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edrive-global.kpmg.com/personal/sdernerova_kpmg_sk/Documents/Documents/HPC/"/>
    </mc:Choice>
  </mc:AlternateContent>
  <xr:revisionPtr revIDLastSave="0" documentId="8_{F5236D82-467D-4A3B-981E-61E36E626815}" xr6:coauthVersionLast="47" xr6:coauthVersionMax="47" xr10:uidLastSave="{00000000-0000-0000-0000-000000000000}"/>
  <bookViews>
    <workbookView xWindow="-108" yWindow="-108" windowWidth="23256" windowHeight="12576" firstSheet="2" activeTab="4" xr2:uid="{00000000-000D-0000-FFFF-FFFF00000000}"/>
  </bookViews>
  <sheets>
    <sheet name="_TM_Scenáre" sheetId="14" state="veryHidden" r:id="rId1"/>
    <sheet name="_TM_Súhrn" sheetId="15" state="veryHidden" r:id="rId2"/>
    <sheet name="Súhrn" sheetId="32" r:id="rId3"/>
    <sheet name="Súhrn CBA" sheetId="31" r:id="rId4"/>
    <sheet name="Náklady" sheetId="13" r:id="rId5"/>
    <sheet name="_TM_Výnosy" sheetId="17" state="veryHidden" r:id="rId6"/>
    <sheet name="Výnosy" sheetId="9" r:id="rId7"/>
    <sheet name="_TM_Prínosy" sheetId="18" state="veryHidden" r:id="rId8"/>
    <sheet name="Prínosy" sheetId="10" r:id="rId9"/>
    <sheet name="_TM_Vstupy cost" sheetId="22" state="veryHidden" r:id="rId10"/>
    <sheet name="Vstupy cost" sheetId="1" r:id="rId11"/>
    <sheet name="_TM_Vstupy výnosy a prínosy" sheetId="16" state="veryHidden" r:id="rId12"/>
    <sheet name="_TM_Vstupy benefit" sheetId="30" state="veryHidden" r:id="rId13"/>
    <sheet name="Vstupy benefit" sheetId="3" r:id="rId14"/>
    <sheet name="Výnosy klientov" sheetId="33" r:id="rId15"/>
    <sheet name="_TM_Sheet1" sheetId="24" state="veryHidden" r:id="rId16"/>
    <sheet name="_TM_Sheet5" sheetId="28" state="veryHidden" r:id="rId17"/>
    <sheet name="_TM_Prevádzkové náklady" sheetId="29" state="veryHidden" r:id="rId18"/>
    <sheet name="Zdroje financovania" sheetId="27" state="hidden" r:id="rId19"/>
    <sheet name="ZF po rokoch" sheetId="23" state="hidden" r:id="rId20"/>
  </sheets>
  <definedNames>
    <definedName name="_xlnm.Print_Area" localSheetId="4">Náklady!$A$1:$R$39,Náklady!$A$41:$R$93,Náklady!$A$95:$R$147,Náklady!$A$149:$R$201,Náklady!$A$203:$R$255,Náklady!$A$257:$R$309,Náklady!$A$311:$R$336</definedName>
    <definedName name="_xlnm.Print_Area" localSheetId="3">'Súhrn CBA'!$A$1:$M$43,'Súhrn CBA'!$A$45:$M$87,'Súhrn CBA'!$A$89:$M$103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8" i="13" l="1"/>
  <c r="E338" i="13"/>
  <c r="H338" i="13"/>
  <c r="I338" i="13"/>
  <c r="J338" i="13"/>
  <c r="K338" i="13"/>
  <c r="L338" i="13"/>
  <c r="C338" i="13"/>
  <c r="Q125" i="13"/>
  <c r="Q131" i="13"/>
  <c r="Q132" i="13"/>
  <c r="Q133" i="13"/>
  <c r="Q134" i="13"/>
  <c r="Q135" i="13"/>
  <c r="Q136" i="13"/>
  <c r="Q138" i="13"/>
  <c r="Q142" i="13"/>
  <c r="Q145" i="13"/>
  <c r="O126" i="13"/>
  <c r="O127" i="13"/>
  <c r="O128" i="13"/>
  <c r="O132" i="13"/>
  <c r="O134" i="13"/>
  <c r="O135" i="13"/>
  <c r="O139" i="13"/>
  <c r="O140" i="13"/>
  <c r="O142" i="13"/>
  <c r="F133" i="13"/>
  <c r="O133" i="13" s="1"/>
  <c r="G126" i="13"/>
  <c r="J128" i="13" s="1"/>
  <c r="J8" i="1"/>
  <c r="F13" i="9"/>
  <c r="B56" i="1"/>
  <c r="D113" i="1"/>
  <c r="E113" i="1"/>
  <c r="F113" i="1"/>
  <c r="G113" i="1"/>
  <c r="H113" i="1"/>
  <c r="I113" i="1"/>
  <c r="J113" i="1"/>
  <c r="K113" i="1"/>
  <c r="C113" i="1"/>
  <c r="F24" i="13"/>
  <c r="F51" i="13"/>
  <c r="F78" i="13"/>
  <c r="F105" i="13"/>
  <c r="L4" i="10"/>
  <c r="L5" i="10"/>
  <c r="L3" i="10"/>
  <c r="I128" i="13" l="1"/>
  <c r="H128" i="13"/>
  <c r="L128" i="13"/>
  <c r="K128" i="13"/>
  <c r="Q126" i="13"/>
  <c r="G338" i="13"/>
  <c r="G128" i="13"/>
  <c r="T4" i="33"/>
  <c r="T5" i="33"/>
  <c r="T3" i="33"/>
  <c r="Q128" i="13" l="1"/>
  <c r="J184" i="32"/>
  <c r="I184" i="32"/>
  <c r="J183" i="32"/>
  <c r="I183" i="32"/>
  <c r="J182" i="32"/>
  <c r="I182" i="32"/>
  <c r="J181" i="32"/>
  <c r="I181" i="32"/>
  <c r="J180" i="32"/>
  <c r="I180" i="32"/>
  <c r="J179" i="32"/>
  <c r="I179" i="32"/>
  <c r="J178" i="32"/>
  <c r="I178" i="32"/>
  <c r="J177" i="32"/>
  <c r="I177" i="32"/>
  <c r="J176" i="32"/>
  <c r="I176" i="32"/>
  <c r="J175" i="32"/>
  <c r="I175" i="32"/>
  <c r="J158" i="32"/>
  <c r="I158" i="32"/>
  <c r="J157" i="32"/>
  <c r="I157" i="32"/>
  <c r="J156" i="32"/>
  <c r="I156" i="32"/>
  <c r="J155" i="32"/>
  <c r="I155" i="32"/>
  <c r="J154" i="32"/>
  <c r="I154" i="32"/>
  <c r="J153" i="32"/>
  <c r="I153" i="32"/>
  <c r="J152" i="32"/>
  <c r="I152" i="32"/>
  <c r="J151" i="32"/>
  <c r="I151" i="32"/>
  <c r="J150" i="32"/>
  <c r="I150" i="32"/>
  <c r="J149" i="32"/>
  <c r="I149" i="32"/>
  <c r="J132" i="32"/>
  <c r="I132" i="32"/>
  <c r="J131" i="32"/>
  <c r="I131" i="32"/>
  <c r="J130" i="32"/>
  <c r="I130" i="32"/>
  <c r="J129" i="32"/>
  <c r="I129" i="32"/>
  <c r="J128" i="32"/>
  <c r="I128" i="32"/>
  <c r="J127" i="32"/>
  <c r="I127" i="32"/>
  <c r="J126" i="32"/>
  <c r="I126" i="32"/>
  <c r="J125" i="32"/>
  <c r="I125" i="32"/>
  <c r="J124" i="32"/>
  <c r="I124" i="32"/>
  <c r="J123" i="32"/>
  <c r="I123" i="32"/>
  <c r="J106" i="32"/>
  <c r="I106" i="32"/>
  <c r="J105" i="32"/>
  <c r="I105" i="32"/>
  <c r="J104" i="32"/>
  <c r="I104" i="32"/>
  <c r="J103" i="32"/>
  <c r="I103" i="32"/>
  <c r="J102" i="32"/>
  <c r="I102" i="32"/>
  <c r="J101" i="32"/>
  <c r="I101" i="32"/>
  <c r="J100" i="32"/>
  <c r="I100" i="32"/>
  <c r="J99" i="32"/>
  <c r="I99" i="32"/>
  <c r="J98" i="32"/>
  <c r="I98" i="32"/>
  <c r="J97" i="32"/>
  <c r="I97" i="32"/>
  <c r="J80" i="32"/>
  <c r="I80" i="32"/>
  <c r="J79" i="32"/>
  <c r="I79" i="32"/>
  <c r="J78" i="32"/>
  <c r="I78" i="32"/>
  <c r="J77" i="32"/>
  <c r="I77" i="32"/>
  <c r="J76" i="32"/>
  <c r="I76" i="32"/>
  <c r="J75" i="32"/>
  <c r="I75" i="32"/>
  <c r="J74" i="32"/>
  <c r="I74" i="32"/>
  <c r="J73" i="32"/>
  <c r="I73" i="32"/>
  <c r="J72" i="32"/>
  <c r="I72" i="32"/>
  <c r="J71" i="32"/>
  <c r="I71" i="32"/>
  <c r="D313" i="13"/>
  <c r="C313" i="13"/>
  <c r="M322" i="13"/>
  <c r="D286" i="13"/>
  <c r="C286" i="13"/>
  <c r="D259" i="13"/>
  <c r="C259" i="13"/>
  <c r="J122" i="32" l="1"/>
  <c r="J174" i="32"/>
  <c r="J148" i="32"/>
  <c r="I174" i="32"/>
  <c r="J70" i="32"/>
  <c r="J96" i="32"/>
  <c r="I70" i="32"/>
  <c r="I96" i="32"/>
  <c r="I122" i="32"/>
  <c r="I148" i="32"/>
  <c r="D232" i="13"/>
  <c r="C232" i="13"/>
  <c r="D205" i="13"/>
  <c r="C205" i="13"/>
  <c r="D178" i="13"/>
  <c r="C178" i="13"/>
  <c r="D151" i="13"/>
  <c r="C151" i="13"/>
  <c r="D124" i="13"/>
  <c r="C124" i="13"/>
  <c r="D97" i="13"/>
  <c r="C97" i="13"/>
  <c r="D70" i="13"/>
  <c r="C70" i="13"/>
  <c r="D43" i="13"/>
  <c r="C43" i="13"/>
  <c r="D16" i="13"/>
  <c r="C16" i="13"/>
  <c r="S15" i="1"/>
  <c r="S14" i="1"/>
  <c r="S13" i="1"/>
  <c r="S12" i="1"/>
  <c r="S11" i="1"/>
  <c r="S10" i="1"/>
  <c r="S9" i="1"/>
  <c r="S8" i="1"/>
  <c r="S7" i="1"/>
  <c r="S6" i="1"/>
  <c r="S5" i="1"/>
  <c r="S4" i="1"/>
  <c r="R15" i="1"/>
  <c r="E318" i="13" s="1"/>
  <c r="R14" i="1"/>
  <c r="E291" i="13" s="1"/>
  <c r="R13" i="1"/>
  <c r="E264" i="13" s="1"/>
  <c r="R12" i="1"/>
  <c r="E237" i="13" s="1"/>
  <c r="R11" i="1"/>
  <c r="E210" i="13" s="1"/>
  <c r="R10" i="1"/>
  <c r="E183" i="13" s="1"/>
  <c r="R9" i="1"/>
  <c r="E156" i="13" s="1"/>
  <c r="R8" i="1"/>
  <c r="R7" i="1"/>
  <c r="E102" i="13" s="1"/>
  <c r="R6" i="1"/>
  <c r="E75" i="13" s="1"/>
  <c r="R5" i="1"/>
  <c r="E48" i="13" s="1"/>
  <c r="R4" i="1"/>
  <c r="E21" i="13" s="1"/>
  <c r="L156" i="13" l="1"/>
  <c r="G156" i="13"/>
  <c r="I156" i="13"/>
  <c r="J156" i="13"/>
  <c r="F156" i="13"/>
  <c r="H156" i="13"/>
  <c r="K156" i="13"/>
  <c r="L183" i="13"/>
  <c r="F183" i="13"/>
  <c r="G183" i="13"/>
  <c r="I183" i="13"/>
  <c r="K183" i="13"/>
  <c r="H183" i="13"/>
  <c r="J183" i="13"/>
  <c r="G48" i="13"/>
  <c r="I48" i="13"/>
  <c r="K48" i="13"/>
  <c r="F48" i="13"/>
  <c r="H48" i="13"/>
  <c r="J48" i="13"/>
  <c r="L48" i="13"/>
  <c r="L264" i="13"/>
  <c r="G264" i="13"/>
  <c r="J264" i="13"/>
  <c r="K264" i="13"/>
  <c r="F264" i="13"/>
  <c r="H264" i="13"/>
  <c r="I264" i="13"/>
  <c r="G210" i="13"/>
  <c r="J210" i="13"/>
  <c r="L210" i="13"/>
  <c r="F210" i="13"/>
  <c r="H210" i="13"/>
  <c r="I210" i="13"/>
  <c r="K210" i="13"/>
  <c r="K21" i="13"/>
  <c r="F21" i="13"/>
  <c r="G21" i="13"/>
  <c r="J21" i="13"/>
  <c r="L21" i="13"/>
  <c r="H21" i="13"/>
  <c r="I21" i="13"/>
  <c r="K237" i="13"/>
  <c r="F237" i="13"/>
  <c r="G237" i="13"/>
  <c r="I237" i="13"/>
  <c r="H237" i="13"/>
  <c r="J237" i="13"/>
  <c r="L237" i="13"/>
  <c r="L75" i="13"/>
  <c r="F75" i="13"/>
  <c r="G75" i="13"/>
  <c r="H75" i="13"/>
  <c r="I75" i="13"/>
  <c r="J75" i="13"/>
  <c r="K75" i="13"/>
  <c r="L291" i="13"/>
  <c r="F291" i="13"/>
  <c r="G291" i="13"/>
  <c r="I291" i="13"/>
  <c r="K291" i="13"/>
  <c r="H291" i="13"/>
  <c r="J291" i="13"/>
  <c r="G102" i="13"/>
  <c r="I102" i="13"/>
  <c r="J102" i="13"/>
  <c r="K102" i="13"/>
  <c r="L102" i="13"/>
  <c r="F102" i="13"/>
  <c r="H102" i="13"/>
  <c r="J318" i="13"/>
  <c r="L318" i="13"/>
  <c r="G318" i="13"/>
  <c r="F318" i="13"/>
  <c r="H318" i="13"/>
  <c r="I318" i="13"/>
  <c r="K318" i="13"/>
  <c r="K129" i="13"/>
  <c r="F129" i="13"/>
  <c r="G129" i="13"/>
  <c r="H129" i="13"/>
  <c r="I129" i="13"/>
  <c r="J129" i="13"/>
  <c r="L129" i="13"/>
  <c r="O129" i="13" l="1"/>
  <c r="Q129" i="13"/>
  <c r="O21" i="13"/>
  <c r="O318" i="13"/>
  <c r="O102" i="13"/>
  <c r="Q102" i="13"/>
  <c r="O264" i="13"/>
  <c r="O48" i="13"/>
  <c r="M210" i="13"/>
  <c r="M102" i="13"/>
  <c r="M75" i="13"/>
  <c r="M21" i="13"/>
  <c r="O237" i="13"/>
  <c r="M156" i="13"/>
  <c r="O183" i="13"/>
  <c r="M48" i="13"/>
  <c r="O75" i="13"/>
  <c r="M129" i="13"/>
  <c r="M264" i="13"/>
  <c r="O291" i="13"/>
  <c r="O156" i="13"/>
  <c r="M237" i="13"/>
  <c r="M318" i="13"/>
  <c r="O210" i="13"/>
  <c r="Q21" i="13"/>
  <c r="Q264" i="13"/>
  <c r="Q291" i="13"/>
  <c r="Q237" i="13"/>
  <c r="Q183" i="13"/>
  <c r="Q156" i="13"/>
  <c r="M183" i="13"/>
  <c r="Q75" i="13"/>
  <c r="Q210" i="13"/>
  <c r="M291" i="13"/>
  <c r="Q318" i="13"/>
  <c r="Q48" i="13"/>
  <c r="B29" i="3"/>
  <c r="B28" i="3"/>
  <c r="M321" i="13" l="1"/>
  <c r="E56" i="31" l="1"/>
  <c r="C184" i="32" s="1"/>
  <c r="E55" i="31"/>
  <c r="C183" i="32" s="1"/>
  <c r="E54" i="31"/>
  <c r="C182" i="32" s="1"/>
  <c r="E53" i="31"/>
  <c r="C181" i="32" s="1"/>
  <c r="E52" i="31"/>
  <c r="C180" i="32" s="1"/>
  <c r="E51" i="31"/>
  <c r="C179" i="32" s="1"/>
  <c r="E48" i="31"/>
  <c r="C176" i="32" s="1"/>
  <c r="E47" i="31"/>
  <c r="C175" i="32" s="1"/>
  <c r="D56" i="31"/>
  <c r="C158" i="32" s="1"/>
  <c r="D55" i="31"/>
  <c r="C157" i="32" s="1"/>
  <c r="D54" i="31"/>
  <c r="C156" i="32" s="1"/>
  <c r="D53" i="31"/>
  <c r="C155" i="32" s="1"/>
  <c r="D52" i="31"/>
  <c r="C154" i="32" s="1"/>
  <c r="D51" i="31"/>
  <c r="C153" i="32" s="1"/>
  <c r="D48" i="31"/>
  <c r="C150" i="32" s="1"/>
  <c r="D47" i="31"/>
  <c r="C149" i="32" s="1"/>
  <c r="C56" i="31"/>
  <c r="C171" i="32" s="1"/>
  <c r="C55" i="31"/>
  <c r="C170" i="32" s="1"/>
  <c r="C54" i="31"/>
  <c r="C169" i="32" s="1"/>
  <c r="C53" i="31"/>
  <c r="C168" i="32" s="1"/>
  <c r="C52" i="31"/>
  <c r="C167" i="32" s="1"/>
  <c r="C51" i="31"/>
  <c r="C166" i="32" s="1"/>
  <c r="C48" i="31"/>
  <c r="C163" i="32" s="1"/>
  <c r="C47" i="31"/>
  <c r="C162" i="32" s="1"/>
  <c r="B56" i="31"/>
  <c r="C145" i="32" s="1"/>
  <c r="B55" i="31"/>
  <c r="C144" i="32" s="1"/>
  <c r="B54" i="31"/>
  <c r="C143" i="32" s="1"/>
  <c r="B53" i="31"/>
  <c r="C142" i="32" s="1"/>
  <c r="B52" i="31"/>
  <c r="C141" i="32" s="1"/>
  <c r="B51" i="31"/>
  <c r="C140" i="32" s="1"/>
  <c r="B48" i="31"/>
  <c r="C137" i="32" s="1"/>
  <c r="B47" i="31"/>
  <c r="C136" i="32" s="1"/>
  <c r="E42" i="31"/>
  <c r="C132" i="32" s="1"/>
  <c r="E41" i="31"/>
  <c r="C131" i="32" s="1"/>
  <c r="E40" i="31"/>
  <c r="C130" i="32" s="1"/>
  <c r="E39" i="31"/>
  <c r="C129" i="32" s="1"/>
  <c r="E38" i="31"/>
  <c r="C128" i="32" s="1"/>
  <c r="E37" i="31"/>
  <c r="C127" i="32" s="1"/>
  <c r="E34" i="31"/>
  <c r="C124" i="32" s="1"/>
  <c r="E33" i="31"/>
  <c r="C123" i="32" s="1"/>
  <c r="D42" i="31"/>
  <c r="C106" i="32" s="1"/>
  <c r="D41" i="31"/>
  <c r="C105" i="32" s="1"/>
  <c r="D40" i="31"/>
  <c r="C104" i="32" s="1"/>
  <c r="D39" i="31"/>
  <c r="C103" i="32" s="1"/>
  <c r="D38" i="31"/>
  <c r="C102" i="32" s="1"/>
  <c r="D37" i="31"/>
  <c r="C101" i="32" s="1"/>
  <c r="D34" i="31"/>
  <c r="C98" i="32" s="1"/>
  <c r="D33" i="31"/>
  <c r="C97" i="32" s="1"/>
  <c r="C42" i="31"/>
  <c r="C119" i="32" s="1"/>
  <c r="C41" i="31"/>
  <c r="C118" i="32" s="1"/>
  <c r="C40" i="31"/>
  <c r="C117" i="32" s="1"/>
  <c r="C39" i="31"/>
  <c r="C116" i="32" s="1"/>
  <c r="C38" i="31"/>
  <c r="C115" i="32" s="1"/>
  <c r="C37" i="31"/>
  <c r="C114" i="32" s="1"/>
  <c r="C34" i="31"/>
  <c r="C111" i="32" s="1"/>
  <c r="C33" i="31"/>
  <c r="C110" i="32" s="1"/>
  <c r="B42" i="31"/>
  <c r="B41" i="31"/>
  <c r="B40" i="31"/>
  <c r="B39" i="31"/>
  <c r="B38" i="31"/>
  <c r="B37" i="31"/>
  <c r="B34" i="31"/>
  <c r="B33" i="31"/>
  <c r="E28" i="31"/>
  <c r="C67" i="32" s="1"/>
  <c r="E27" i="31"/>
  <c r="C66" i="32" s="1"/>
  <c r="E26" i="31"/>
  <c r="C78" i="32" s="1"/>
  <c r="E25" i="31"/>
  <c r="C77" i="32" s="1"/>
  <c r="E24" i="31"/>
  <c r="C76" i="32" s="1"/>
  <c r="E23" i="31"/>
  <c r="C75" i="32" s="1"/>
  <c r="E22" i="31"/>
  <c r="C61" i="32" s="1"/>
  <c r="E20" i="31"/>
  <c r="C72" i="32" s="1"/>
  <c r="E19" i="31"/>
  <c r="C58" i="32" s="1"/>
  <c r="C28" i="31"/>
  <c r="C27" i="31"/>
  <c r="C26" i="31"/>
  <c r="C25" i="31"/>
  <c r="C24" i="31"/>
  <c r="C23" i="31"/>
  <c r="C22" i="31"/>
  <c r="C20" i="31"/>
  <c r="C19" i="31"/>
  <c r="D28" i="31"/>
  <c r="C54" i="32" s="1"/>
  <c r="D27" i="31"/>
  <c r="C53" i="32" s="1"/>
  <c r="D26" i="31"/>
  <c r="C52" i="32" s="1"/>
  <c r="D25" i="31"/>
  <c r="C51" i="32" s="1"/>
  <c r="D24" i="31"/>
  <c r="C50" i="32" s="1"/>
  <c r="D23" i="31"/>
  <c r="C49" i="32" s="1"/>
  <c r="D22" i="31"/>
  <c r="C48" i="32" s="1"/>
  <c r="D20" i="31"/>
  <c r="C46" i="32" s="1"/>
  <c r="D19" i="31"/>
  <c r="C45" i="32" s="1"/>
  <c r="B28" i="31"/>
  <c r="C41" i="32" s="1"/>
  <c r="B27" i="31"/>
  <c r="C40" i="32" s="1"/>
  <c r="B26" i="31"/>
  <c r="C39" i="32" s="1"/>
  <c r="B25" i="31"/>
  <c r="C38" i="32" s="1"/>
  <c r="B24" i="31"/>
  <c r="C37" i="32" s="1"/>
  <c r="B23" i="31"/>
  <c r="C36" i="32" s="1"/>
  <c r="B22" i="31"/>
  <c r="C35" i="32" s="1"/>
  <c r="B20" i="31"/>
  <c r="C33" i="32" s="1"/>
  <c r="B19" i="31"/>
  <c r="C32" i="32" s="1"/>
  <c r="F29" i="31"/>
  <c r="C20" i="32"/>
  <c r="C21" i="32"/>
  <c r="C22" i="32"/>
  <c r="C23" i="32"/>
  <c r="C24" i="32"/>
  <c r="C25" i="32"/>
  <c r="C26" i="32"/>
  <c r="C27" i="32"/>
  <c r="C28" i="32"/>
  <c r="C19" i="32"/>
  <c r="B20" i="32"/>
  <c r="B21" i="32"/>
  <c r="B22" i="32"/>
  <c r="B23" i="32"/>
  <c r="B24" i="32"/>
  <c r="B25" i="32"/>
  <c r="B26" i="32"/>
  <c r="B27" i="32"/>
  <c r="B28" i="32"/>
  <c r="B19" i="32"/>
  <c r="C59" i="32" l="1"/>
  <c r="C64" i="32"/>
  <c r="C63" i="32"/>
  <c r="C71" i="32"/>
  <c r="C80" i="32"/>
  <c r="C65" i="32"/>
  <c r="C74" i="32"/>
  <c r="C62" i="32"/>
  <c r="C79" i="32"/>
  <c r="C18" i="32"/>
  <c r="B18" i="32"/>
  <c r="L12" i="13"/>
  <c r="K12" i="13"/>
  <c r="J12" i="13"/>
  <c r="I12" i="13"/>
  <c r="H12" i="13"/>
  <c r="G12" i="13"/>
  <c r="F12" i="13"/>
  <c r="E12" i="13"/>
  <c r="D12" i="13"/>
  <c r="C12" i="13"/>
  <c r="C93" i="32"/>
  <c r="E5" i="31"/>
  <c r="D5" i="31"/>
  <c r="C5" i="31"/>
  <c r="B5" i="31"/>
  <c r="B136" i="32" s="1"/>
  <c r="E14" i="31"/>
  <c r="E13" i="31"/>
  <c r="E12" i="31"/>
  <c r="E11" i="31"/>
  <c r="E10" i="31"/>
  <c r="E9" i="31"/>
  <c r="E6" i="31"/>
  <c r="D14" i="31"/>
  <c r="D13" i="31"/>
  <c r="D12" i="31"/>
  <c r="D11" i="31"/>
  <c r="D10" i="31"/>
  <c r="D9" i="31"/>
  <c r="D6" i="31"/>
  <c r="C14" i="31"/>
  <c r="C13" i="31"/>
  <c r="C12" i="31"/>
  <c r="C11" i="31"/>
  <c r="C10" i="31"/>
  <c r="C9" i="31"/>
  <c r="C6" i="31"/>
  <c r="B14" i="31"/>
  <c r="B145" i="32" s="1"/>
  <c r="B13" i="31"/>
  <c r="B144" i="32" s="1"/>
  <c r="B12" i="31"/>
  <c r="B143" i="32" s="1"/>
  <c r="B11" i="31"/>
  <c r="B142" i="32" s="1"/>
  <c r="B10" i="31"/>
  <c r="B141" i="32" s="1"/>
  <c r="B9" i="31"/>
  <c r="B140" i="32" s="1"/>
  <c r="B6" i="31"/>
  <c r="B137" i="32" s="1"/>
  <c r="Q334" i="13"/>
  <c r="Q327" i="13"/>
  <c r="P327" i="13"/>
  <c r="Q325" i="13"/>
  <c r="Q322" i="13"/>
  <c r="P322" i="13"/>
  <c r="O322" i="13"/>
  <c r="Q321" i="13"/>
  <c r="P321" i="13"/>
  <c r="O321" i="13"/>
  <c r="O316" i="13"/>
  <c r="Q315" i="13"/>
  <c r="Q314" i="13"/>
  <c r="Q307" i="13"/>
  <c r="Q300" i="13"/>
  <c r="P300" i="13"/>
  <c r="Q298" i="13"/>
  <c r="Q295" i="13"/>
  <c r="P295" i="13"/>
  <c r="O295" i="13"/>
  <c r="Q294" i="13"/>
  <c r="P294" i="13"/>
  <c r="O294" i="13"/>
  <c r="O289" i="13"/>
  <c r="Q288" i="13"/>
  <c r="Q287" i="13"/>
  <c r="Q280" i="13"/>
  <c r="Q273" i="13"/>
  <c r="P273" i="13"/>
  <c r="Q271" i="13"/>
  <c r="Q268" i="13"/>
  <c r="P268" i="13"/>
  <c r="O268" i="13"/>
  <c r="Q267" i="13"/>
  <c r="P267" i="13"/>
  <c r="O267" i="13"/>
  <c r="O262" i="13"/>
  <c r="Q261" i="13"/>
  <c r="Q260" i="13"/>
  <c r="Q253" i="13"/>
  <c r="Q246" i="13"/>
  <c r="P246" i="13"/>
  <c r="Q244" i="13"/>
  <c r="Q241" i="13"/>
  <c r="P241" i="13"/>
  <c r="O241" i="13"/>
  <c r="Q240" i="13"/>
  <c r="P240" i="13"/>
  <c r="O240" i="13"/>
  <c r="O235" i="13"/>
  <c r="Q234" i="13"/>
  <c r="Q233" i="13"/>
  <c r="Q226" i="13"/>
  <c r="Q219" i="13"/>
  <c r="P219" i="13"/>
  <c r="Q217" i="13"/>
  <c r="O216" i="13"/>
  <c r="O215" i="13"/>
  <c r="Q214" i="13"/>
  <c r="P214" i="13"/>
  <c r="Q213" i="13"/>
  <c r="P213" i="13"/>
  <c r="O213" i="13"/>
  <c r="O208" i="13"/>
  <c r="Q207" i="13"/>
  <c r="Q206" i="13"/>
  <c r="Q199" i="13"/>
  <c r="Q192" i="13"/>
  <c r="P192" i="13"/>
  <c r="Q190" i="13"/>
  <c r="O189" i="13"/>
  <c r="O188" i="13"/>
  <c r="Q187" i="13"/>
  <c r="P187" i="13"/>
  <c r="Q186" i="13"/>
  <c r="P186" i="13"/>
  <c r="O186" i="13"/>
  <c r="O181" i="13"/>
  <c r="Q180" i="13"/>
  <c r="Q179" i="13"/>
  <c r="Q172" i="13"/>
  <c r="Q165" i="13"/>
  <c r="P165" i="13"/>
  <c r="Q163" i="13"/>
  <c r="O162" i="13"/>
  <c r="O161" i="13"/>
  <c r="Q160" i="13"/>
  <c r="P160" i="13"/>
  <c r="Q159" i="13"/>
  <c r="P159" i="13"/>
  <c r="O159" i="13"/>
  <c r="O154" i="13"/>
  <c r="Q153" i="13"/>
  <c r="Q152" i="13"/>
  <c r="Q37" i="13"/>
  <c r="Q32" i="13"/>
  <c r="P32" i="13"/>
  <c r="O32" i="13"/>
  <c r="Q30" i="13"/>
  <c r="P30" i="13"/>
  <c r="Q28" i="13"/>
  <c r="O27" i="13"/>
  <c r="O26" i="13"/>
  <c r="Q25" i="13"/>
  <c r="P25" i="13"/>
  <c r="O25" i="13"/>
  <c r="O19" i="13"/>
  <c r="Q18" i="13"/>
  <c r="Q17" i="13"/>
  <c r="Q64" i="13"/>
  <c r="Q59" i="13"/>
  <c r="P59" i="13"/>
  <c r="O59" i="13"/>
  <c r="Q57" i="13"/>
  <c r="P57" i="13"/>
  <c r="Q55" i="13"/>
  <c r="O54" i="13"/>
  <c r="O53" i="13"/>
  <c r="Q52" i="13"/>
  <c r="P52" i="13"/>
  <c r="O52" i="13"/>
  <c r="O46" i="13"/>
  <c r="Q45" i="13"/>
  <c r="Q44" i="13"/>
  <c r="Q91" i="13"/>
  <c r="Q86" i="13"/>
  <c r="P86" i="13"/>
  <c r="O86" i="13"/>
  <c r="Q84" i="13"/>
  <c r="P84" i="13"/>
  <c r="Q82" i="13"/>
  <c r="P82" i="13"/>
  <c r="O81" i="13"/>
  <c r="O80" i="13"/>
  <c r="Q79" i="13"/>
  <c r="P79" i="13"/>
  <c r="O79" i="13"/>
  <c r="O73" i="13"/>
  <c r="Q72" i="13"/>
  <c r="Q71" i="13"/>
  <c r="Q118" i="13"/>
  <c r="Q113" i="13"/>
  <c r="P113" i="13"/>
  <c r="O113" i="13"/>
  <c r="Q111" i="13"/>
  <c r="P111" i="13"/>
  <c r="Q109" i="13"/>
  <c r="O108" i="13"/>
  <c r="O107" i="13"/>
  <c r="Q106" i="13"/>
  <c r="P106" i="13"/>
  <c r="O106" i="13"/>
  <c r="O100" i="13"/>
  <c r="Q99" i="13"/>
  <c r="Q98" i="13"/>
  <c r="M113" i="13"/>
  <c r="M86" i="13"/>
  <c r="M59" i="13"/>
  <c r="M132" i="13"/>
  <c r="M134" i="13"/>
  <c r="M135" i="13"/>
  <c r="M106" i="13"/>
  <c r="M107" i="13"/>
  <c r="M108" i="13"/>
  <c r="M79" i="13"/>
  <c r="M80" i="13"/>
  <c r="M81" i="13"/>
  <c r="M52" i="13"/>
  <c r="M53" i="13"/>
  <c r="M54" i="13"/>
  <c r="M25" i="13"/>
  <c r="M26" i="13"/>
  <c r="M27" i="13"/>
  <c r="M216" i="13"/>
  <c r="M215" i="13"/>
  <c r="M189" i="13"/>
  <c r="M188" i="13"/>
  <c r="M162" i="13"/>
  <c r="M161" i="13"/>
  <c r="M295" i="13"/>
  <c r="M268" i="13"/>
  <c r="M241" i="13"/>
  <c r="M294" i="13"/>
  <c r="M267" i="13"/>
  <c r="M240" i="13"/>
  <c r="M213" i="13"/>
  <c r="M186" i="13"/>
  <c r="M159" i="13"/>
  <c r="D22" i="13"/>
  <c r="C22" i="13"/>
  <c r="D49" i="13"/>
  <c r="C49" i="13"/>
  <c r="D76" i="13"/>
  <c r="C76" i="13"/>
  <c r="D103" i="13"/>
  <c r="C103" i="13"/>
  <c r="D130" i="13"/>
  <c r="C130" i="13"/>
  <c r="C157" i="13"/>
  <c r="C184" i="13"/>
  <c r="C211" i="13"/>
  <c r="C292" i="13"/>
  <c r="D238" i="13"/>
  <c r="C238" i="13"/>
  <c r="C265" i="13"/>
  <c r="C319" i="13"/>
  <c r="O11" i="1"/>
  <c r="E212" i="13" s="1"/>
  <c r="O212" i="13" s="1"/>
  <c r="O10" i="1"/>
  <c r="E185" i="13" s="1"/>
  <c r="O185" i="13" s="1"/>
  <c r="O9" i="1"/>
  <c r="E158" i="13" s="1"/>
  <c r="M158" i="13" s="1"/>
  <c r="E131" i="13"/>
  <c r="O7" i="1"/>
  <c r="E104" i="13" s="1"/>
  <c r="O6" i="1"/>
  <c r="E77" i="13" s="1"/>
  <c r="O77" i="13" s="1"/>
  <c r="O5" i="1"/>
  <c r="E50" i="13" s="1"/>
  <c r="O4" i="1"/>
  <c r="E23" i="13" s="1"/>
  <c r="B21" i="31" s="1"/>
  <c r="C34" i="32" s="1"/>
  <c r="C31" i="32" s="1"/>
  <c r="M131" i="13" l="1"/>
  <c r="O131" i="13"/>
  <c r="S131" i="13" s="1"/>
  <c r="D21" i="31"/>
  <c r="O50" i="13"/>
  <c r="O23" i="13"/>
  <c r="M104" i="13"/>
  <c r="E21" i="31"/>
  <c r="O104" i="13"/>
  <c r="O12" i="13"/>
  <c r="M212" i="13"/>
  <c r="S212" i="13" s="1"/>
  <c r="M77" i="13"/>
  <c r="S77" i="13" s="1"/>
  <c r="C21" i="31"/>
  <c r="C29" i="31" s="1"/>
  <c r="M185" i="13"/>
  <c r="S185" i="13" s="1"/>
  <c r="B29" i="31"/>
  <c r="O158" i="13"/>
  <c r="S158" i="13" s="1"/>
  <c r="R12" i="13"/>
  <c r="B65" i="32"/>
  <c r="B169" i="32"/>
  <c r="B117" i="32"/>
  <c r="B76" i="32"/>
  <c r="B128" i="32"/>
  <c r="B180" i="32"/>
  <c r="B52" i="32"/>
  <c r="B156" i="32"/>
  <c r="B104" i="32"/>
  <c r="B59" i="32"/>
  <c r="B163" i="32"/>
  <c r="B111" i="32"/>
  <c r="B67" i="32"/>
  <c r="B171" i="32"/>
  <c r="B119" i="32"/>
  <c r="B53" i="32"/>
  <c r="B157" i="32"/>
  <c r="B105" i="32"/>
  <c r="B78" i="32"/>
  <c r="B130" i="32"/>
  <c r="B182" i="32"/>
  <c r="B51" i="32"/>
  <c r="B103" i="32"/>
  <c r="B155" i="32"/>
  <c r="B71" i="32"/>
  <c r="B123" i="32"/>
  <c r="B175" i="32"/>
  <c r="B66" i="32"/>
  <c r="B170" i="32"/>
  <c r="B118" i="32"/>
  <c r="B77" i="32"/>
  <c r="B129" i="32"/>
  <c r="B181" i="32"/>
  <c r="B46" i="32"/>
  <c r="B150" i="32"/>
  <c r="B98" i="32"/>
  <c r="B54" i="32"/>
  <c r="B158" i="32"/>
  <c r="B106" i="32"/>
  <c r="B79" i="32"/>
  <c r="B131" i="32"/>
  <c r="B183" i="32"/>
  <c r="B72" i="32"/>
  <c r="B124" i="32"/>
  <c r="B176" i="32"/>
  <c r="B80" i="32"/>
  <c r="B184" i="32"/>
  <c r="B132" i="32"/>
  <c r="B63" i="32"/>
  <c r="B167" i="32"/>
  <c r="B115" i="32"/>
  <c r="B49" i="32"/>
  <c r="B153" i="32"/>
  <c r="B101" i="32"/>
  <c r="B58" i="32"/>
  <c r="B162" i="32"/>
  <c r="B110" i="32"/>
  <c r="B62" i="32"/>
  <c r="B166" i="32"/>
  <c r="B114" i="32"/>
  <c r="B64" i="32"/>
  <c r="B116" i="32"/>
  <c r="B168" i="32"/>
  <c r="B50" i="32"/>
  <c r="B154" i="32"/>
  <c r="B102" i="32"/>
  <c r="B75" i="32"/>
  <c r="B179" i="32"/>
  <c r="B127" i="32"/>
  <c r="B45" i="32"/>
  <c r="B149" i="32"/>
  <c r="B97" i="32"/>
  <c r="C91" i="32"/>
  <c r="B85" i="32"/>
  <c r="B33" i="32"/>
  <c r="B93" i="32"/>
  <c r="B41" i="32"/>
  <c r="C85" i="32"/>
  <c r="B88" i="32"/>
  <c r="B36" i="32"/>
  <c r="C88" i="32"/>
  <c r="B37" i="32"/>
  <c r="B89" i="32"/>
  <c r="B84" i="32"/>
  <c r="B32" i="32"/>
  <c r="C89" i="32"/>
  <c r="B90" i="32"/>
  <c r="B38" i="32"/>
  <c r="C90" i="32"/>
  <c r="B39" i="32"/>
  <c r="B91" i="32"/>
  <c r="B40" i="32"/>
  <c r="B92" i="32"/>
  <c r="C84" i="32"/>
  <c r="C92" i="32"/>
  <c r="S108" i="13"/>
  <c r="M12" i="13"/>
  <c r="S134" i="13"/>
  <c r="S135" i="13"/>
  <c r="S106" i="13"/>
  <c r="S322" i="13"/>
  <c r="S53" i="13"/>
  <c r="S54" i="13"/>
  <c r="S267" i="13"/>
  <c r="S52" i="13"/>
  <c r="S59" i="13"/>
  <c r="S268" i="13"/>
  <c r="S79" i="13"/>
  <c r="S241" i="13"/>
  <c r="S215" i="13"/>
  <c r="S161" i="13"/>
  <c r="S132" i="13"/>
  <c r="S188" i="13"/>
  <c r="S321" i="13"/>
  <c r="S26" i="13"/>
  <c r="S162" i="13"/>
  <c r="S189" i="13"/>
  <c r="S213" i="13"/>
  <c r="S216" i="13"/>
  <c r="S294" i="13"/>
  <c r="S80" i="13"/>
  <c r="S86" i="13"/>
  <c r="S27" i="13"/>
  <c r="S159" i="13"/>
  <c r="S186" i="13"/>
  <c r="S81" i="13"/>
  <c r="S295" i="13"/>
  <c r="S107" i="13"/>
  <c r="S113" i="13"/>
  <c r="S240" i="13"/>
  <c r="S25" i="13"/>
  <c r="M32" i="13"/>
  <c r="S32" i="13" s="1"/>
  <c r="M50" i="13"/>
  <c r="D292" i="13"/>
  <c r="M23" i="13"/>
  <c r="C73" i="1"/>
  <c r="C72" i="1"/>
  <c r="L336" i="13"/>
  <c r="K336" i="13"/>
  <c r="J336" i="13"/>
  <c r="I336" i="13"/>
  <c r="H336" i="13"/>
  <c r="G336" i="13"/>
  <c r="F336" i="13"/>
  <c r="E336" i="13"/>
  <c r="D336" i="13"/>
  <c r="C336" i="13"/>
  <c r="L309" i="13"/>
  <c r="K309" i="13"/>
  <c r="J309" i="13"/>
  <c r="I309" i="13"/>
  <c r="H309" i="13"/>
  <c r="G309" i="13"/>
  <c r="F309" i="13"/>
  <c r="E309" i="13"/>
  <c r="D309" i="13"/>
  <c r="C309" i="13"/>
  <c r="L282" i="13"/>
  <c r="K282" i="13"/>
  <c r="J282" i="13"/>
  <c r="I282" i="13"/>
  <c r="H282" i="13"/>
  <c r="G282" i="13"/>
  <c r="F282" i="13"/>
  <c r="E282" i="13"/>
  <c r="D282" i="13"/>
  <c r="C282" i="13"/>
  <c r="L255" i="13"/>
  <c r="K255" i="13"/>
  <c r="J255" i="13"/>
  <c r="I255" i="13"/>
  <c r="H255" i="13"/>
  <c r="G255" i="13"/>
  <c r="F255" i="13"/>
  <c r="E255" i="13"/>
  <c r="D255" i="13"/>
  <c r="C255" i="13"/>
  <c r="L228" i="13"/>
  <c r="K228" i="13"/>
  <c r="J228" i="13"/>
  <c r="I228" i="13"/>
  <c r="H228" i="13"/>
  <c r="G228" i="13"/>
  <c r="F228" i="13"/>
  <c r="E228" i="13"/>
  <c r="D228" i="13"/>
  <c r="C228" i="13"/>
  <c r="L201" i="13"/>
  <c r="K201" i="13"/>
  <c r="J201" i="13"/>
  <c r="I201" i="13"/>
  <c r="H201" i="13"/>
  <c r="G201" i="13"/>
  <c r="F201" i="13"/>
  <c r="E201" i="13"/>
  <c r="D201" i="13"/>
  <c r="C201" i="13"/>
  <c r="L174" i="13"/>
  <c r="K174" i="13"/>
  <c r="J174" i="13"/>
  <c r="I174" i="13"/>
  <c r="H174" i="13"/>
  <c r="G174" i="13"/>
  <c r="F174" i="13"/>
  <c r="E174" i="13"/>
  <c r="D174" i="13"/>
  <c r="C174" i="13"/>
  <c r="L120" i="13"/>
  <c r="K120" i="13"/>
  <c r="J120" i="13"/>
  <c r="I120" i="13"/>
  <c r="H120" i="13"/>
  <c r="G120" i="13"/>
  <c r="F120" i="13"/>
  <c r="E120" i="13"/>
  <c r="D120" i="13"/>
  <c r="C120" i="13"/>
  <c r="L93" i="13"/>
  <c r="K93" i="13"/>
  <c r="J93" i="13"/>
  <c r="I93" i="13"/>
  <c r="H93" i="13"/>
  <c r="G93" i="13"/>
  <c r="F93" i="13"/>
  <c r="E93" i="13"/>
  <c r="D93" i="13"/>
  <c r="C93" i="13"/>
  <c r="L66" i="13"/>
  <c r="K66" i="13"/>
  <c r="J66" i="13"/>
  <c r="I66" i="13"/>
  <c r="H66" i="13"/>
  <c r="G66" i="13"/>
  <c r="F66" i="13"/>
  <c r="E66" i="13"/>
  <c r="D66" i="13"/>
  <c r="C66" i="13"/>
  <c r="L39" i="13"/>
  <c r="K39" i="13"/>
  <c r="J39" i="13"/>
  <c r="I39" i="13"/>
  <c r="H39" i="13"/>
  <c r="G39" i="13"/>
  <c r="F39" i="13"/>
  <c r="E39" i="13"/>
  <c r="D39" i="13"/>
  <c r="C39" i="13"/>
  <c r="L147" i="13"/>
  <c r="K147" i="13"/>
  <c r="J147" i="13"/>
  <c r="I147" i="13"/>
  <c r="H147" i="13"/>
  <c r="G147" i="13"/>
  <c r="F147" i="13"/>
  <c r="E147" i="13"/>
  <c r="D147" i="13"/>
  <c r="C147" i="13"/>
  <c r="F57" i="31"/>
  <c r="F43" i="31"/>
  <c r="F15" i="31"/>
  <c r="R175" i="13"/>
  <c r="E136" i="13"/>
  <c r="Q147" i="13" l="1"/>
  <c r="O147" i="13"/>
  <c r="S50" i="13"/>
  <c r="S104" i="13"/>
  <c r="S23" i="13"/>
  <c r="O39" i="13"/>
  <c r="R93" i="13"/>
  <c r="O174" i="13"/>
  <c r="R228" i="13"/>
  <c r="O282" i="13"/>
  <c r="R336" i="13"/>
  <c r="O66" i="13"/>
  <c r="R120" i="13"/>
  <c r="O201" i="13"/>
  <c r="R255" i="13"/>
  <c r="O309" i="13"/>
  <c r="R39" i="13"/>
  <c r="O93" i="13"/>
  <c r="R174" i="13"/>
  <c r="O228" i="13"/>
  <c r="R282" i="13"/>
  <c r="O336" i="13"/>
  <c r="C60" i="32"/>
  <c r="C57" i="32" s="1"/>
  <c r="C73" i="32"/>
  <c r="C70" i="32" s="1"/>
  <c r="E29" i="31"/>
  <c r="S12" i="13"/>
  <c r="R66" i="13"/>
  <c r="R201" i="13"/>
  <c r="O255" i="13"/>
  <c r="R309" i="13"/>
  <c r="O120" i="13"/>
  <c r="C47" i="32"/>
  <c r="C44" i="32" s="1"/>
  <c r="D29" i="31"/>
  <c r="M228" i="13"/>
  <c r="M255" i="13"/>
  <c r="M39" i="13"/>
  <c r="M201" i="13"/>
  <c r="M120" i="13"/>
  <c r="M336" i="13"/>
  <c r="M282" i="13"/>
  <c r="M309" i="13"/>
  <c r="M174" i="13"/>
  <c r="M93" i="13"/>
  <c r="M66" i="13"/>
  <c r="M147" i="13"/>
  <c r="F13" i="1"/>
  <c r="F14" i="1"/>
  <c r="F15" i="1"/>
  <c r="F12" i="1"/>
  <c r="F9" i="1"/>
  <c r="F10" i="1"/>
  <c r="F11" i="1"/>
  <c r="F8" i="1"/>
  <c r="F5" i="1"/>
  <c r="F6" i="1"/>
  <c r="F7" i="1"/>
  <c r="F4" i="1"/>
  <c r="B17" i="3"/>
  <c r="B21" i="3"/>
  <c r="B20" i="3"/>
  <c r="B19" i="3"/>
  <c r="B18" i="3"/>
  <c r="C4" i="9" l="1"/>
  <c r="B4" i="9"/>
  <c r="S255" i="13"/>
  <c r="S66" i="13"/>
  <c r="S93" i="13"/>
  <c r="S174" i="13"/>
  <c r="S228" i="13"/>
  <c r="S39" i="13"/>
  <c r="S309" i="13"/>
  <c r="S282" i="13"/>
  <c r="S336" i="13"/>
  <c r="S120" i="13"/>
  <c r="S147" i="13"/>
  <c r="S201" i="13"/>
  <c r="B35" i="31"/>
  <c r="C86" i="32" s="1"/>
  <c r="D5" i="13"/>
  <c r="E5" i="13"/>
  <c r="F5" i="13"/>
  <c r="G5" i="13"/>
  <c r="H5" i="13"/>
  <c r="I5" i="13"/>
  <c r="J5" i="13"/>
  <c r="K5" i="13"/>
  <c r="L5" i="13"/>
  <c r="C5" i="13"/>
  <c r="C85" i="23"/>
  <c r="E85" i="23"/>
  <c r="G85" i="23"/>
  <c r="H85" i="23"/>
  <c r="I85" i="23"/>
  <c r="J85" i="23"/>
  <c r="K85" i="23"/>
  <c r="B85" i="23"/>
  <c r="I15" i="1"/>
  <c r="I14" i="1"/>
  <c r="I13" i="1"/>
  <c r="I12" i="1"/>
  <c r="I11" i="1"/>
  <c r="I10" i="1"/>
  <c r="I9" i="1"/>
  <c r="I8" i="1"/>
  <c r="D334" i="13"/>
  <c r="C334" i="13"/>
  <c r="D307" i="13"/>
  <c r="C307" i="13"/>
  <c r="D280" i="13"/>
  <c r="C280" i="13"/>
  <c r="D253" i="13"/>
  <c r="C253" i="13"/>
  <c r="D226" i="13"/>
  <c r="C226" i="13"/>
  <c r="D199" i="13"/>
  <c r="C199" i="13"/>
  <c r="D172" i="13"/>
  <c r="C172" i="13"/>
  <c r="D145" i="13"/>
  <c r="C145" i="13"/>
  <c r="D118" i="13"/>
  <c r="C118" i="13"/>
  <c r="D91" i="13"/>
  <c r="C91" i="13"/>
  <c r="D64" i="13"/>
  <c r="C64" i="13"/>
  <c r="D37" i="13"/>
  <c r="C37" i="13"/>
  <c r="D10" i="13"/>
  <c r="C10" i="13"/>
  <c r="D34" i="13"/>
  <c r="E34" i="13"/>
  <c r="F34" i="13"/>
  <c r="G34" i="13"/>
  <c r="H34" i="13"/>
  <c r="I34" i="13"/>
  <c r="J34" i="13"/>
  <c r="K34" i="13"/>
  <c r="L34" i="13"/>
  <c r="O145" i="13" l="1"/>
  <c r="O64" i="13"/>
  <c r="O172" i="13"/>
  <c r="O280" i="13"/>
  <c r="O307" i="13"/>
  <c r="O34" i="13"/>
  <c r="Q34" i="13"/>
  <c r="O199" i="13"/>
  <c r="O118" i="13"/>
  <c r="O226" i="13"/>
  <c r="O334" i="13"/>
  <c r="Q5" i="13"/>
  <c r="O91" i="13"/>
  <c r="O37" i="13"/>
  <c r="O253" i="13"/>
  <c r="O5" i="13"/>
  <c r="H8" i="1" l="1"/>
  <c r="C16" i="10"/>
  <c r="M78" i="31" s="1"/>
  <c r="B16" i="10"/>
  <c r="M77" i="31" s="1"/>
  <c r="C13" i="10"/>
  <c r="M64" i="31" s="1"/>
  <c r="J20" i="32" s="1"/>
  <c r="B13" i="10"/>
  <c r="M63" i="31" s="1"/>
  <c r="J19" i="32" s="1"/>
  <c r="C10" i="10"/>
  <c r="M50" i="31" s="1"/>
  <c r="B10" i="10"/>
  <c r="M49" i="31" s="1"/>
  <c r="C10" i="9"/>
  <c r="D10" i="9"/>
  <c r="E10" i="9"/>
  <c r="F10" i="9"/>
  <c r="G10" i="9"/>
  <c r="H10" i="9"/>
  <c r="I10" i="9"/>
  <c r="J10" i="9"/>
  <c r="K10" i="9"/>
  <c r="B10" i="9"/>
  <c r="C7" i="9"/>
  <c r="D7" i="9"/>
  <c r="E7" i="9"/>
  <c r="F7" i="9"/>
  <c r="G7" i="9"/>
  <c r="H7" i="9"/>
  <c r="I7" i="9"/>
  <c r="J7" i="9"/>
  <c r="K7" i="9"/>
  <c r="B7" i="9"/>
  <c r="D4" i="9"/>
  <c r="E4" i="9"/>
  <c r="F4" i="9"/>
  <c r="G4" i="9"/>
  <c r="H4" i="9"/>
  <c r="I4" i="9"/>
  <c r="J4" i="9"/>
  <c r="K4" i="9"/>
  <c r="J11" i="9"/>
  <c r="J8" i="9"/>
  <c r="D44" i="9"/>
  <c r="I41" i="9"/>
  <c r="G35" i="9"/>
  <c r="K29" i="9"/>
  <c r="H46" i="9"/>
  <c r="I46" i="9"/>
  <c r="J46" i="9"/>
  <c r="K46" i="9"/>
  <c r="G46" i="9"/>
  <c r="C46" i="9"/>
  <c r="D46" i="9"/>
  <c r="E46" i="9"/>
  <c r="F46" i="9"/>
  <c r="B46" i="9"/>
  <c r="H43" i="9"/>
  <c r="I43" i="9"/>
  <c r="J43" i="9"/>
  <c r="K43" i="9"/>
  <c r="G43" i="9"/>
  <c r="C43" i="9"/>
  <c r="D43" i="9"/>
  <c r="E43" i="9"/>
  <c r="F43" i="9"/>
  <c r="B43" i="9"/>
  <c r="H40" i="9"/>
  <c r="I40" i="9"/>
  <c r="J40" i="9"/>
  <c r="K40" i="9"/>
  <c r="G40" i="9"/>
  <c r="C40" i="9"/>
  <c r="D40" i="9"/>
  <c r="E40" i="9"/>
  <c r="F40" i="9"/>
  <c r="B40" i="9"/>
  <c r="H37" i="9"/>
  <c r="I37" i="9"/>
  <c r="J37" i="9"/>
  <c r="K37" i="9"/>
  <c r="G37" i="9"/>
  <c r="C37" i="9"/>
  <c r="D37" i="9"/>
  <c r="E37" i="9"/>
  <c r="F37" i="9"/>
  <c r="B37" i="9"/>
  <c r="H34" i="9"/>
  <c r="I34" i="9"/>
  <c r="J34" i="9"/>
  <c r="K34" i="9"/>
  <c r="G34" i="9"/>
  <c r="C34" i="9"/>
  <c r="D34" i="9"/>
  <c r="E34" i="9"/>
  <c r="F34" i="9"/>
  <c r="B34" i="9"/>
  <c r="H31" i="9"/>
  <c r="I31" i="9"/>
  <c r="J31" i="9"/>
  <c r="K31" i="9"/>
  <c r="G31" i="9"/>
  <c r="C31" i="9"/>
  <c r="D31" i="9"/>
  <c r="E31" i="9"/>
  <c r="F31" i="9"/>
  <c r="B31" i="9"/>
  <c r="H28" i="9"/>
  <c r="I28" i="9"/>
  <c r="J28" i="9"/>
  <c r="K28" i="9"/>
  <c r="G28" i="9"/>
  <c r="C28" i="9"/>
  <c r="D28" i="9"/>
  <c r="E28" i="9"/>
  <c r="F28" i="9"/>
  <c r="B28" i="9"/>
  <c r="H25" i="9"/>
  <c r="I25" i="9"/>
  <c r="J25" i="9"/>
  <c r="K25" i="9"/>
  <c r="G25" i="9"/>
  <c r="C25" i="9"/>
  <c r="D25" i="9"/>
  <c r="E25" i="9"/>
  <c r="F25" i="9"/>
  <c r="B25" i="9"/>
  <c r="B41" i="9"/>
  <c r="B29" i="9"/>
  <c r="B22" i="9"/>
  <c r="E23" i="9"/>
  <c r="H23" i="9"/>
  <c r="J23" i="9"/>
  <c r="H22" i="9"/>
  <c r="I22" i="9"/>
  <c r="J22" i="9"/>
  <c r="K22" i="9"/>
  <c r="G22" i="9"/>
  <c r="C22" i="9"/>
  <c r="D22" i="9"/>
  <c r="E22" i="9"/>
  <c r="F22" i="9"/>
  <c r="B22" i="3"/>
  <c r="K11" i="9" s="1"/>
  <c r="D20" i="9"/>
  <c r="J20" i="9"/>
  <c r="B20" i="9"/>
  <c r="C14" i="9"/>
  <c r="F14" i="9"/>
  <c r="G14" i="9"/>
  <c r="K14" i="9"/>
  <c r="F19" i="9"/>
  <c r="F16" i="9"/>
  <c r="B19" i="9"/>
  <c r="C19" i="9"/>
  <c r="B16" i="9"/>
  <c r="C16" i="9"/>
  <c r="B13" i="9"/>
  <c r="C13" i="9"/>
  <c r="G19" i="9"/>
  <c r="H19" i="9"/>
  <c r="I19" i="9"/>
  <c r="J19" i="9"/>
  <c r="K19" i="9"/>
  <c r="E19" i="9"/>
  <c r="D19" i="9"/>
  <c r="G16" i="9"/>
  <c r="H16" i="9"/>
  <c r="I16" i="9"/>
  <c r="J16" i="9"/>
  <c r="K16" i="9"/>
  <c r="E16" i="9"/>
  <c r="D16" i="9"/>
  <c r="G13" i="9"/>
  <c r="H13" i="9"/>
  <c r="I13" i="9"/>
  <c r="J13" i="9"/>
  <c r="K13" i="9"/>
  <c r="E13" i="9"/>
  <c r="D13" i="9"/>
  <c r="E15" i="1"/>
  <c r="F326" i="13" s="1"/>
  <c r="H326" i="13"/>
  <c r="E13" i="1"/>
  <c r="F272" i="13" s="1"/>
  <c r="K272" i="13"/>
  <c r="E14" i="1"/>
  <c r="F299" i="13" s="1"/>
  <c r="K299" i="13"/>
  <c r="L245" i="13"/>
  <c r="G137" i="13"/>
  <c r="G164" i="13"/>
  <c r="H191" i="13"/>
  <c r="J218" i="13"/>
  <c r="E9" i="1"/>
  <c r="E10" i="1"/>
  <c r="E11" i="1"/>
  <c r="E12" i="1"/>
  <c r="E8" i="1"/>
  <c r="H29" i="13"/>
  <c r="G56" i="13"/>
  <c r="K83" i="13"/>
  <c r="H110" i="13"/>
  <c r="E5" i="1"/>
  <c r="E6" i="1"/>
  <c r="E7" i="1"/>
  <c r="E4" i="1"/>
  <c r="E191" i="13" l="1"/>
  <c r="F191" i="13"/>
  <c r="F56" i="13"/>
  <c r="E56" i="13"/>
  <c r="E164" i="13"/>
  <c r="F164" i="13"/>
  <c r="E29" i="13"/>
  <c r="F29" i="13"/>
  <c r="F137" i="13"/>
  <c r="E110" i="13"/>
  <c r="F110" i="13"/>
  <c r="E245" i="13"/>
  <c r="F245" i="13"/>
  <c r="E83" i="13"/>
  <c r="F83" i="13"/>
  <c r="E218" i="13"/>
  <c r="F218" i="13"/>
  <c r="C26" i="9"/>
  <c r="C24" i="9" s="1"/>
  <c r="C38" i="9"/>
  <c r="C36" i="9" s="1"/>
  <c r="H5" i="9"/>
  <c r="H3" i="9" s="1"/>
  <c r="M11" i="31" s="1"/>
  <c r="G33" i="9"/>
  <c r="C29" i="9"/>
  <c r="C27" i="9" s="1"/>
  <c r="H41" i="9"/>
  <c r="H39" i="9" s="1"/>
  <c r="I8" i="9"/>
  <c r="I6" i="9" s="1"/>
  <c r="M26" i="31" s="1"/>
  <c r="I26" i="32" s="1"/>
  <c r="H32" i="9"/>
  <c r="I44" i="9"/>
  <c r="I42" i="9" s="1"/>
  <c r="D8" i="9"/>
  <c r="D6" i="9" s="1"/>
  <c r="M21" i="31" s="1"/>
  <c r="I21" i="32" s="1"/>
  <c r="F32" i="9"/>
  <c r="F30" i="9" s="1"/>
  <c r="E44" i="9"/>
  <c r="E42" i="9" s="1"/>
  <c r="E20" i="9"/>
  <c r="E18" i="9" s="1"/>
  <c r="C5" i="9"/>
  <c r="C3" i="9" s="1"/>
  <c r="M6" i="31" s="1"/>
  <c r="B5" i="9"/>
  <c r="B3" i="9" s="1"/>
  <c r="M5" i="31" s="1"/>
  <c r="B44" i="9"/>
  <c r="B42" i="9" s="1"/>
  <c r="E35" i="9"/>
  <c r="E33" i="9" s="1"/>
  <c r="K5" i="9"/>
  <c r="K3" i="9" s="1"/>
  <c r="E11" i="9"/>
  <c r="E9" i="9" s="1"/>
  <c r="M36" i="31" s="1"/>
  <c r="F26" i="9"/>
  <c r="K38" i="9"/>
  <c r="K36" i="9" s="1"/>
  <c r="J42" i="31" s="1"/>
  <c r="I5" i="9"/>
  <c r="I3" i="9" s="1"/>
  <c r="C11" i="9"/>
  <c r="C9" i="9" s="1"/>
  <c r="M34" i="31" s="1"/>
  <c r="J58" i="32"/>
  <c r="G19" i="32"/>
  <c r="J162" i="32"/>
  <c r="J110" i="32"/>
  <c r="J111" i="32"/>
  <c r="J59" i="32"/>
  <c r="G20" i="32"/>
  <c r="J163" i="32"/>
  <c r="H30" i="9"/>
  <c r="H14" i="9"/>
  <c r="K20" i="9"/>
  <c r="K18" i="9" s="1"/>
  <c r="I42" i="31" s="1"/>
  <c r="I23" i="9"/>
  <c r="B38" i="9"/>
  <c r="B36" i="9" s="1"/>
  <c r="D26" i="9"/>
  <c r="D24" i="9" s="1"/>
  <c r="I32" i="9"/>
  <c r="I30" i="9" s="1"/>
  <c r="F35" i="9"/>
  <c r="F33" i="9" s="1"/>
  <c r="K41" i="9"/>
  <c r="K39" i="9" s="1"/>
  <c r="H44" i="9"/>
  <c r="H42" i="9" s="1"/>
  <c r="J5" i="9"/>
  <c r="J3" i="9" s="1"/>
  <c r="M13" i="31" s="1"/>
  <c r="K8" i="9"/>
  <c r="K6" i="9" s="1"/>
  <c r="M28" i="31" s="1"/>
  <c r="I28" i="32" s="1"/>
  <c r="C8" i="9"/>
  <c r="C6" i="9" s="1"/>
  <c r="M20" i="31" s="1"/>
  <c r="I20" i="32" s="1"/>
  <c r="D11" i="9"/>
  <c r="D9" i="9" s="1"/>
  <c r="M35" i="31" s="1"/>
  <c r="D23" i="9"/>
  <c r="D21" i="9" s="1"/>
  <c r="B47" i="9"/>
  <c r="B45" i="9" s="1"/>
  <c r="H29" i="9"/>
  <c r="H27" i="9" s="1"/>
  <c r="E32" i="9"/>
  <c r="E30" i="9" s="1"/>
  <c r="J38" i="9"/>
  <c r="J36" i="9" s="1"/>
  <c r="J41" i="31" s="1"/>
  <c r="G41" i="9"/>
  <c r="G39" i="9" s="1"/>
  <c r="K47" i="9"/>
  <c r="K45" i="9" s="1"/>
  <c r="L42" i="31" s="1"/>
  <c r="G5" i="9"/>
  <c r="G3" i="9" s="1"/>
  <c r="H8" i="9"/>
  <c r="H6" i="9" s="1"/>
  <c r="M25" i="31" s="1"/>
  <c r="I25" i="32" s="1"/>
  <c r="I11" i="9"/>
  <c r="I9" i="9" s="1"/>
  <c r="M40" i="31" s="1"/>
  <c r="I17" i="9"/>
  <c r="I15" i="9" s="1"/>
  <c r="C23" i="9"/>
  <c r="C21" i="9" s="1"/>
  <c r="K26" i="9"/>
  <c r="K24" i="9" s="1"/>
  <c r="K28" i="31" s="1"/>
  <c r="I54" i="32" s="1"/>
  <c r="G29" i="9"/>
  <c r="D32" i="9"/>
  <c r="D30" i="9" s="1"/>
  <c r="H38" i="9"/>
  <c r="H36" i="9" s="1"/>
  <c r="D41" i="9"/>
  <c r="D39" i="9" s="1"/>
  <c r="F5" i="9"/>
  <c r="G8" i="9"/>
  <c r="G6" i="9" s="1"/>
  <c r="M24" i="31" s="1"/>
  <c r="I24" i="32" s="1"/>
  <c r="H11" i="9"/>
  <c r="H9" i="9" s="1"/>
  <c r="M39" i="31" s="1"/>
  <c r="H17" i="9"/>
  <c r="H15" i="9" s="1"/>
  <c r="B23" i="9"/>
  <c r="B21" i="9" s="1"/>
  <c r="J26" i="9"/>
  <c r="J24" i="9" s="1"/>
  <c r="K27" i="31" s="1"/>
  <c r="I53" i="32" s="1"/>
  <c r="E29" i="9"/>
  <c r="E27" i="9" s="1"/>
  <c r="J35" i="9"/>
  <c r="J33" i="9" s="1"/>
  <c r="J27" i="31" s="1"/>
  <c r="G38" i="9"/>
  <c r="G36" i="9" s="1"/>
  <c r="C41" i="9"/>
  <c r="C39" i="9" s="1"/>
  <c r="B8" i="9"/>
  <c r="B6" i="9" s="1"/>
  <c r="M19" i="31" s="1"/>
  <c r="E5" i="9"/>
  <c r="E3" i="9" s="1"/>
  <c r="F8" i="9"/>
  <c r="F6" i="9" s="1"/>
  <c r="M23" i="31" s="1"/>
  <c r="I23" i="32" s="1"/>
  <c r="G11" i="9"/>
  <c r="G9" i="9" s="1"/>
  <c r="M38" i="31" s="1"/>
  <c r="E17" i="9"/>
  <c r="E15" i="9" s="1"/>
  <c r="K23" i="9"/>
  <c r="K21" i="9" s="1"/>
  <c r="K14" i="31" s="1"/>
  <c r="B26" i="9"/>
  <c r="B24" i="9" s="1"/>
  <c r="G26" i="9"/>
  <c r="G24" i="9" s="1"/>
  <c r="D29" i="9"/>
  <c r="D27" i="9" s="1"/>
  <c r="I35" i="9"/>
  <c r="I33" i="9" s="1"/>
  <c r="F38" i="9"/>
  <c r="F36" i="9" s="1"/>
  <c r="J44" i="9"/>
  <c r="J42" i="9" s="1"/>
  <c r="L27" i="31" s="1"/>
  <c r="B11" i="9"/>
  <c r="B9" i="9" s="1"/>
  <c r="D5" i="9"/>
  <c r="D3" i="9" s="1"/>
  <c r="E8" i="9"/>
  <c r="E6" i="9" s="1"/>
  <c r="M22" i="31" s="1"/>
  <c r="I22" i="32" s="1"/>
  <c r="F11" i="9"/>
  <c r="F9" i="9" s="1"/>
  <c r="M37" i="31" s="1"/>
  <c r="H137" i="13"/>
  <c r="K245" i="13"/>
  <c r="K137" i="13"/>
  <c r="G272" i="13"/>
  <c r="G110" i="13"/>
  <c r="L272" i="13"/>
  <c r="J110" i="13"/>
  <c r="I218" i="13"/>
  <c r="H218" i="13"/>
  <c r="I110" i="13"/>
  <c r="L137" i="13"/>
  <c r="J245" i="13"/>
  <c r="K29" i="13"/>
  <c r="G218" i="13"/>
  <c r="J83" i="13"/>
  <c r="L218" i="13"/>
  <c r="G29" i="13"/>
  <c r="L110" i="13"/>
  <c r="J137" i="13"/>
  <c r="K218" i="13"/>
  <c r="I245" i="13"/>
  <c r="K326" i="13"/>
  <c r="G326" i="13"/>
  <c r="L326" i="13"/>
  <c r="L29" i="13"/>
  <c r="K110" i="13"/>
  <c r="I137" i="13"/>
  <c r="H245" i="13"/>
  <c r="J326" i="13"/>
  <c r="I326" i="13"/>
  <c r="J29" i="13"/>
  <c r="H164" i="13"/>
  <c r="I29" i="13"/>
  <c r="G191" i="13"/>
  <c r="G245" i="13"/>
  <c r="I272" i="13"/>
  <c r="L191" i="13"/>
  <c r="J299" i="13"/>
  <c r="K9" i="9"/>
  <c r="M42" i="31" s="1"/>
  <c r="J9" i="9"/>
  <c r="M41" i="31" s="1"/>
  <c r="J6" i="9"/>
  <c r="M27" i="31" s="1"/>
  <c r="I27" i="32" s="1"/>
  <c r="H21" i="9"/>
  <c r="G27" i="9"/>
  <c r="D42" i="9"/>
  <c r="K27" i="9"/>
  <c r="K42" i="31" s="1"/>
  <c r="E21" i="9"/>
  <c r="I39" i="9"/>
  <c r="D18" i="9"/>
  <c r="J18" i="9"/>
  <c r="I41" i="31" s="1"/>
  <c r="L4" i="9"/>
  <c r="B27" i="9"/>
  <c r="B39" i="9"/>
  <c r="J21" i="9"/>
  <c r="K13" i="31" s="1"/>
  <c r="L7" i="9"/>
  <c r="I21" i="9"/>
  <c r="B18" i="9"/>
  <c r="F24" i="9"/>
  <c r="L10" i="9"/>
  <c r="J47" i="9"/>
  <c r="J45" i="9" s="1"/>
  <c r="L41" i="31" s="1"/>
  <c r="I47" i="9"/>
  <c r="I45" i="9" s="1"/>
  <c r="J17" i="9"/>
  <c r="J15" i="9" s="1"/>
  <c r="I27" i="31" s="1"/>
  <c r="I40" i="32" s="1"/>
  <c r="C20" i="9"/>
  <c r="C18" i="9" s="1"/>
  <c r="G23" i="9"/>
  <c r="G21" i="9" s="1"/>
  <c r="B32" i="9"/>
  <c r="B30" i="9" s="1"/>
  <c r="I26" i="9"/>
  <c r="I24" i="9" s="1"/>
  <c r="J29" i="9"/>
  <c r="J27" i="9" s="1"/>
  <c r="K41" i="31" s="1"/>
  <c r="K32" i="9"/>
  <c r="K30" i="9" s="1"/>
  <c r="J14" i="31" s="1"/>
  <c r="C32" i="9"/>
  <c r="C30" i="9" s="1"/>
  <c r="D35" i="9"/>
  <c r="D33" i="9" s="1"/>
  <c r="E38" i="9"/>
  <c r="E36" i="9" s="1"/>
  <c r="F41" i="9"/>
  <c r="F39" i="9" s="1"/>
  <c r="G44" i="9"/>
  <c r="G42" i="9" s="1"/>
  <c r="H47" i="9"/>
  <c r="H45" i="9" s="1"/>
  <c r="F23" i="9"/>
  <c r="F21" i="9" s="1"/>
  <c r="B35" i="9"/>
  <c r="B33" i="9" s="1"/>
  <c r="H26" i="9"/>
  <c r="H24" i="9" s="1"/>
  <c r="I29" i="9"/>
  <c r="I27" i="9" s="1"/>
  <c r="J32" i="9"/>
  <c r="J30" i="9" s="1"/>
  <c r="J13" i="31" s="1"/>
  <c r="K35" i="9"/>
  <c r="K33" i="9" s="1"/>
  <c r="J28" i="31" s="1"/>
  <c r="C35" i="9"/>
  <c r="C33" i="9" s="1"/>
  <c r="D38" i="9"/>
  <c r="D36" i="9" s="1"/>
  <c r="E41" i="9"/>
  <c r="E39" i="9" s="1"/>
  <c r="F44" i="9"/>
  <c r="F42" i="9" s="1"/>
  <c r="G47" i="9"/>
  <c r="G45" i="9" s="1"/>
  <c r="F47" i="9"/>
  <c r="F45" i="9" s="1"/>
  <c r="E47" i="9"/>
  <c r="E45" i="9" s="1"/>
  <c r="E26" i="9"/>
  <c r="E24" i="9" s="1"/>
  <c r="F29" i="9"/>
  <c r="F27" i="9" s="1"/>
  <c r="G32" i="9"/>
  <c r="G30" i="9" s="1"/>
  <c r="H35" i="9"/>
  <c r="H33" i="9" s="1"/>
  <c r="I38" i="9"/>
  <c r="I36" i="9" s="1"/>
  <c r="J41" i="9"/>
  <c r="J39" i="9" s="1"/>
  <c r="K44" i="9"/>
  <c r="K42" i="9" s="1"/>
  <c r="L28" i="31" s="1"/>
  <c r="C44" i="9"/>
  <c r="C42" i="9" s="1"/>
  <c r="D47" i="9"/>
  <c r="D45" i="9" s="1"/>
  <c r="C47" i="9"/>
  <c r="C45" i="9" s="1"/>
  <c r="I83" i="13"/>
  <c r="I299" i="13"/>
  <c r="H83" i="13"/>
  <c r="K191" i="13"/>
  <c r="H299" i="13"/>
  <c r="J191" i="13"/>
  <c r="G299" i="13"/>
  <c r="I191" i="13"/>
  <c r="G83" i="13"/>
  <c r="L83" i="13"/>
  <c r="L299" i="13"/>
  <c r="J272" i="13"/>
  <c r="L56" i="13"/>
  <c r="K56" i="13"/>
  <c r="J56" i="13"/>
  <c r="H56" i="13"/>
  <c r="L164" i="13"/>
  <c r="K164" i="13"/>
  <c r="J164" i="13"/>
  <c r="I56" i="13"/>
  <c r="I164" i="13"/>
  <c r="H272" i="13"/>
  <c r="E14" i="9"/>
  <c r="G17" i="9"/>
  <c r="G15" i="9" s="1"/>
  <c r="I20" i="9"/>
  <c r="I18" i="9" s="1"/>
  <c r="B14" i="9"/>
  <c r="B12" i="9" s="1"/>
  <c r="D14" i="9"/>
  <c r="F17" i="9"/>
  <c r="F15" i="9" s="1"/>
  <c r="H20" i="9"/>
  <c r="H18" i="9" s="1"/>
  <c r="G20" i="9"/>
  <c r="G18" i="9" s="1"/>
  <c r="F20" i="9"/>
  <c r="F18" i="9" s="1"/>
  <c r="J14" i="9"/>
  <c r="B17" i="9"/>
  <c r="B15" i="9" s="1"/>
  <c r="D17" i="9"/>
  <c r="D15" i="9" s="1"/>
  <c r="I14" i="9"/>
  <c r="K17" i="9"/>
  <c r="K15" i="9" s="1"/>
  <c r="I28" i="31" s="1"/>
  <c r="I41" i="32" s="1"/>
  <c r="C17" i="9"/>
  <c r="C15" i="9" s="1"/>
  <c r="H9" i="1"/>
  <c r="D42" i="27" s="1"/>
  <c r="H10" i="1"/>
  <c r="D43" i="27" s="1"/>
  <c r="H11" i="1"/>
  <c r="D44" i="27" s="1"/>
  <c r="H12" i="1"/>
  <c r="F246" i="13" s="1"/>
  <c r="O246" i="13" s="1"/>
  <c r="H13" i="1"/>
  <c r="F273" i="13" s="1"/>
  <c r="O273" i="13" s="1"/>
  <c r="H14" i="1"/>
  <c r="H15" i="1"/>
  <c r="F327" i="13" s="1"/>
  <c r="O327" i="13" s="1"/>
  <c r="H4" i="1"/>
  <c r="H5" i="1"/>
  <c r="H6" i="1"/>
  <c r="H7" i="1"/>
  <c r="E299" i="13"/>
  <c r="E61" i="23"/>
  <c r="G61" i="23"/>
  <c r="H61" i="23"/>
  <c r="I61" i="23"/>
  <c r="J61" i="23"/>
  <c r="K61" i="23"/>
  <c r="B61" i="23"/>
  <c r="B53" i="23"/>
  <c r="B45" i="23"/>
  <c r="B37" i="23"/>
  <c r="C29" i="23"/>
  <c r="E29" i="23"/>
  <c r="G29" i="23"/>
  <c r="H29" i="23"/>
  <c r="I29" i="23"/>
  <c r="J29" i="23"/>
  <c r="K29" i="23"/>
  <c r="B29" i="23"/>
  <c r="G21" i="23"/>
  <c r="H21" i="23"/>
  <c r="I21" i="23"/>
  <c r="J21" i="23"/>
  <c r="K21" i="23"/>
  <c r="E21" i="23"/>
  <c r="C21" i="23"/>
  <c r="B21" i="23"/>
  <c r="C12" i="23"/>
  <c r="E12" i="23"/>
  <c r="G12" i="23"/>
  <c r="H12" i="23"/>
  <c r="I12" i="23"/>
  <c r="J12" i="23"/>
  <c r="K12" i="23"/>
  <c r="B12" i="23"/>
  <c r="L98" i="23"/>
  <c r="L99" i="23"/>
  <c r="L106" i="23"/>
  <c r="L107" i="23"/>
  <c r="F325" i="13"/>
  <c r="F298" i="13"/>
  <c r="F271" i="13"/>
  <c r="F244" i="13"/>
  <c r="P244" i="13" s="1"/>
  <c r="F217" i="13"/>
  <c r="P217" i="13" s="1"/>
  <c r="F214" i="13"/>
  <c r="E214" i="13"/>
  <c r="F190" i="13"/>
  <c r="P190" i="13" s="1"/>
  <c r="F187" i="13"/>
  <c r="E187" i="13"/>
  <c r="F160" i="13"/>
  <c r="E160" i="13"/>
  <c r="F163" i="13"/>
  <c r="P163" i="13" s="1"/>
  <c r="F136" i="13"/>
  <c r="O136" i="13" s="1"/>
  <c r="G109" i="13"/>
  <c r="F109" i="13"/>
  <c r="F55" i="13"/>
  <c r="P55" i="13" s="1"/>
  <c r="E55" i="13"/>
  <c r="F28" i="13"/>
  <c r="P28" i="13" s="1"/>
  <c r="E28" i="13"/>
  <c r="E82" i="13"/>
  <c r="E217" i="13"/>
  <c r="E190" i="13"/>
  <c r="P3" i="13"/>
  <c r="E15" i="27" s="1"/>
  <c r="N13" i="1"/>
  <c r="F260" i="13" s="1"/>
  <c r="N10" i="1"/>
  <c r="F179" i="13" s="1"/>
  <c r="N7" i="1"/>
  <c r="N12" i="1"/>
  <c r="F233" i="13" s="1"/>
  <c r="M5" i="1"/>
  <c r="E44" i="13" s="1"/>
  <c r="M6" i="1"/>
  <c r="E71" i="13" s="1"/>
  <c r="M7" i="1"/>
  <c r="E98" i="13" s="1"/>
  <c r="M12" i="1"/>
  <c r="E233" i="13" s="1"/>
  <c r="Q13" i="1"/>
  <c r="F270" i="13" s="1"/>
  <c r="O270" i="13" s="1"/>
  <c r="Q14" i="1"/>
  <c r="F297" i="13" s="1"/>
  <c r="O297" i="13" s="1"/>
  <c r="Q15" i="1"/>
  <c r="F324" i="13" s="1"/>
  <c r="O324" i="13" s="1"/>
  <c r="Q12" i="1"/>
  <c r="F243" i="13" s="1"/>
  <c r="O243" i="13" s="1"/>
  <c r="E44" i="27"/>
  <c r="E298" i="13"/>
  <c r="E42" i="27"/>
  <c r="E41" i="27"/>
  <c r="O12" i="1"/>
  <c r="E239" i="13" s="1"/>
  <c r="O13" i="1"/>
  <c r="E266" i="13" s="1"/>
  <c r="O14" i="1"/>
  <c r="E293" i="13" s="1"/>
  <c r="O15" i="1"/>
  <c r="E320" i="13" s="1"/>
  <c r="B85" i="1"/>
  <c r="C36" i="27"/>
  <c r="B36" i="27"/>
  <c r="C37" i="23"/>
  <c r="E37" i="23"/>
  <c r="G37" i="23"/>
  <c r="H37" i="23"/>
  <c r="I37" i="23"/>
  <c r="J37" i="23"/>
  <c r="K37" i="23"/>
  <c r="E45" i="23"/>
  <c r="G45" i="23"/>
  <c r="H45" i="23"/>
  <c r="I45" i="23"/>
  <c r="J45" i="23"/>
  <c r="K45" i="23"/>
  <c r="E53" i="23"/>
  <c r="G53" i="23"/>
  <c r="H53" i="23"/>
  <c r="I53" i="23"/>
  <c r="J53" i="23"/>
  <c r="K53" i="23"/>
  <c r="E69" i="23"/>
  <c r="G69" i="23"/>
  <c r="H69" i="23"/>
  <c r="I69" i="23"/>
  <c r="J69" i="23"/>
  <c r="K69" i="23"/>
  <c r="C77" i="23"/>
  <c r="E77" i="23"/>
  <c r="G77" i="23"/>
  <c r="H77" i="23"/>
  <c r="I77" i="23"/>
  <c r="J77" i="23"/>
  <c r="K77" i="23"/>
  <c r="C93" i="23"/>
  <c r="E93" i="23"/>
  <c r="G93" i="23"/>
  <c r="H93" i="23"/>
  <c r="I93" i="23"/>
  <c r="J93" i="23"/>
  <c r="K93" i="23"/>
  <c r="C101" i="23"/>
  <c r="E101" i="23"/>
  <c r="G101" i="23"/>
  <c r="H101" i="23"/>
  <c r="I101" i="23"/>
  <c r="J101" i="23"/>
  <c r="K101" i="23"/>
  <c r="C52" i="10"/>
  <c r="L78" i="31" s="1"/>
  <c r="B52" i="10"/>
  <c r="L77" i="31" s="1"/>
  <c r="B49" i="10"/>
  <c r="L63" i="31" s="1"/>
  <c r="C49" i="10"/>
  <c r="L64" i="31" s="1"/>
  <c r="C46" i="10"/>
  <c r="L50" i="31" s="1"/>
  <c r="B46" i="10"/>
  <c r="L49" i="31" s="1"/>
  <c r="B43" i="10"/>
  <c r="J77" i="31" s="1"/>
  <c r="C43" i="10"/>
  <c r="J78" i="31" s="1"/>
  <c r="C40" i="10"/>
  <c r="J64" i="31" s="1"/>
  <c r="B40" i="10"/>
  <c r="J63" i="31" s="1"/>
  <c r="C37" i="10"/>
  <c r="J50" i="31" s="1"/>
  <c r="B37" i="10"/>
  <c r="J49" i="31" s="1"/>
  <c r="C34" i="10"/>
  <c r="K78" i="31" s="1"/>
  <c r="B34" i="10"/>
  <c r="K77" i="31" s="1"/>
  <c r="C31" i="10"/>
  <c r="K64" i="31" s="1"/>
  <c r="J46" i="32" s="1"/>
  <c r="B28" i="10"/>
  <c r="K49" i="31" s="1"/>
  <c r="C25" i="10"/>
  <c r="I78" i="31" s="1"/>
  <c r="B25" i="10"/>
  <c r="I77" i="31" s="1"/>
  <c r="C22" i="10"/>
  <c r="I64" i="31" s="1"/>
  <c r="J33" i="32" s="1"/>
  <c r="B22" i="10"/>
  <c r="I63" i="31" s="1"/>
  <c r="J32" i="32" s="1"/>
  <c r="B19" i="10"/>
  <c r="I49" i="31" s="1"/>
  <c r="C19" i="10"/>
  <c r="I50" i="31" s="1"/>
  <c r="E326" i="13"/>
  <c r="L331" i="13"/>
  <c r="K331" i="13"/>
  <c r="J331" i="13"/>
  <c r="I331" i="13"/>
  <c r="H331" i="13"/>
  <c r="G331" i="13"/>
  <c r="F331" i="13"/>
  <c r="E331" i="13"/>
  <c r="D331" i="13"/>
  <c r="L304" i="13"/>
  <c r="K304" i="13"/>
  <c r="J304" i="13"/>
  <c r="I304" i="13"/>
  <c r="H304" i="13"/>
  <c r="G304" i="13"/>
  <c r="F304" i="13"/>
  <c r="E304" i="13"/>
  <c r="D304" i="13"/>
  <c r="E272" i="13"/>
  <c r="O272" i="13" s="1"/>
  <c r="K91" i="23"/>
  <c r="J91" i="23"/>
  <c r="I91" i="23"/>
  <c r="H91" i="23"/>
  <c r="G91" i="23"/>
  <c r="F91" i="23"/>
  <c r="E91" i="23"/>
  <c r="D91" i="23"/>
  <c r="C91" i="23"/>
  <c r="L277" i="13"/>
  <c r="K277" i="13"/>
  <c r="J277" i="13"/>
  <c r="I277" i="13"/>
  <c r="H277" i="13"/>
  <c r="G277" i="13"/>
  <c r="F277" i="13"/>
  <c r="E277" i="13"/>
  <c r="D277" i="13"/>
  <c r="K75" i="23"/>
  <c r="J75" i="23"/>
  <c r="I75" i="23"/>
  <c r="H75" i="23"/>
  <c r="G75" i="23"/>
  <c r="F75" i="23"/>
  <c r="E75" i="23"/>
  <c r="D75" i="23"/>
  <c r="C75" i="23"/>
  <c r="L223" i="13"/>
  <c r="K223" i="13"/>
  <c r="J223" i="13"/>
  <c r="I223" i="13"/>
  <c r="H223" i="13"/>
  <c r="G223" i="13"/>
  <c r="F223" i="13"/>
  <c r="E223" i="13"/>
  <c r="D223" i="13"/>
  <c r="L196" i="13"/>
  <c r="K196" i="13"/>
  <c r="J196" i="13"/>
  <c r="I196" i="13"/>
  <c r="H196" i="13"/>
  <c r="G196" i="13"/>
  <c r="F196" i="13"/>
  <c r="E196" i="13"/>
  <c r="D196" i="13"/>
  <c r="L7" i="13"/>
  <c r="K7" i="13"/>
  <c r="J7" i="13"/>
  <c r="I7" i="13"/>
  <c r="H7" i="13"/>
  <c r="G7" i="13"/>
  <c r="F7" i="13"/>
  <c r="E7" i="13"/>
  <c r="D7" i="13"/>
  <c r="L88" i="13"/>
  <c r="K88" i="13"/>
  <c r="J88" i="13"/>
  <c r="I88" i="13"/>
  <c r="H88" i="13"/>
  <c r="G88" i="13"/>
  <c r="F88" i="13"/>
  <c r="E88" i="13"/>
  <c r="D88" i="13"/>
  <c r="L61" i="13"/>
  <c r="K61" i="13"/>
  <c r="J61" i="13"/>
  <c r="I61" i="13"/>
  <c r="H61" i="13"/>
  <c r="G61" i="13"/>
  <c r="F61" i="13"/>
  <c r="E61" i="13"/>
  <c r="D61" i="13"/>
  <c r="L115" i="13"/>
  <c r="K115" i="13"/>
  <c r="J115" i="13"/>
  <c r="I115" i="13"/>
  <c r="H115" i="13"/>
  <c r="G115" i="13"/>
  <c r="F115" i="13"/>
  <c r="E115" i="13"/>
  <c r="D115" i="13"/>
  <c r="L169" i="13"/>
  <c r="K169" i="13"/>
  <c r="J169" i="13"/>
  <c r="I169" i="13"/>
  <c r="H169" i="13"/>
  <c r="G169" i="13"/>
  <c r="F169" i="13"/>
  <c r="E169" i="13"/>
  <c r="D169" i="13"/>
  <c r="D250" i="13"/>
  <c r="E250" i="13"/>
  <c r="F250" i="13"/>
  <c r="G250" i="13"/>
  <c r="H250" i="13"/>
  <c r="I250" i="13"/>
  <c r="J250" i="13"/>
  <c r="K250" i="13"/>
  <c r="L250" i="13"/>
  <c r="K83" i="23"/>
  <c r="J83" i="23"/>
  <c r="I83" i="23"/>
  <c r="H83" i="23"/>
  <c r="G83" i="23"/>
  <c r="F83" i="23"/>
  <c r="E83" i="23"/>
  <c r="D83" i="23"/>
  <c r="C83" i="23"/>
  <c r="C19" i="23"/>
  <c r="B19" i="23"/>
  <c r="G105" i="13"/>
  <c r="H105" i="13"/>
  <c r="I105" i="13"/>
  <c r="J105" i="13"/>
  <c r="K105" i="13"/>
  <c r="L105" i="13"/>
  <c r="G78" i="13"/>
  <c r="H78" i="13"/>
  <c r="I78" i="13"/>
  <c r="J78" i="13"/>
  <c r="K78" i="13"/>
  <c r="L78" i="13"/>
  <c r="L24" i="13"/>
  <c r="K24" i="13"/>
  <c r="J24" i="13"/>
  <c r="I24" i="13"/>
  <c r="H24" i="13"/>
  <c r="G24" i="13"/>
  <c r="L51" i="13"/>
  <c r="K51" i="13"/>
  <c r="J51" i="13"/>
  <c r="I51" i="13"/>
  <c r="H51" i="13"/>
  <c r="G51" i="13"/>
  <c r="B62" i="1"/>
  <c r="B73" i="1" s="1"/>
  <c r="F323" i="13" s="1"/>
  <c r="C56" i="1"/>
  <c r="O137" i="13" l="1"/>
  <c r="Q137" i="13"/>
  <c r="O191" i="13"/>
  <c r="O164" i="13"/>
  <c r="O190" i="13"/>
  <c r="O218" i="13"/>
  <c r="O110" i="13"/>
  <c r="C224" i="13"/>
  <c r="C305" i="13"/>
  <c r="C89" i="13"/>
  <c r="C116" i="13"/>
  <c r="C197" i="13"/>
  <c r="C9" i="13"/>
  <c r="F93" i="31" s="1"/>
  <c r="E19" i="32" s="1"/>
  <c r="C333" i="13"/>
  <c r="C117" i="13"/>
  <c r="C198" i="13"/>
  <c r="C332" i="13"/>
  <c r="C8" i="13"/>
  <c r="C225" i="13"/>
  <c r="C306" i="13"/>
  <c r="C90" i="13"/>
  <c r="O83" i="13"/>
  <c r="O29" i="13"/>
  <c r="O56" i="13"/>
  <c r="J25" i="33"/>
  <c r="J7" i="33"/>
  <c r="J34" i="31"/>
  <c r="E16" i="33"/>
  <c r="E34" i="33"/>
  <c r="L38" i="31"/>
  <c r="I17" i="33"/>
  <c r="I35" i="33"/>
  <c r="L40" i="31"/>
  <c r="K35" i="33"/>
  <c r="K17" i="33"/>
  <c r="J22" i="31"/>
  <c r="G29" i="33"/>
  <c r="G11" i="33"/>
  <c r="I19" i="31"/>
  <c r="I32" i="32" s="1"/>
  <c r="D27" i="33"/>
  <c r="D9" i="33"/>
  <c r="I40" i="31"/>
  <c r="K14" i="33"/>
  <c r="K32" i="33"/>
  <c r="J10" i="31"/>
  <c r="I24" i="33"/>
  <c r="I6" i="33"/>
  <c r="J35" i="31"/>
  <c r="F16" i="33"/>
  <c r="F34" i="33"/>
  <c r="L39" i="31"/>
  <c r="J35" i="33"/>
  <c r="J17" i="33"/>
  <c r="K26" i="31"/>
  <c r="I52" i="32" s="1"/>
  <c r="K28" i="33"/>
  <c r="K10" i="33"/>
  <c r="K23" i="31"/>
  <c r="I49" i="32" s="1"/>
  <c r="H10" i="33"/>
  <c r="H28" i="33"/>
  <c r="K20" i="31"/>
  <c r="I46" i="32" s="1"/>
  <c r="E28" i="33"/>
  <c r="E10" i="33"/>
  <c r="L19" i="31"/>
  <c r="D12" i="33"/>
  <c r="D30" i="33"/>
  <c r="K38" i="31"/>
  <c r="I33" i="33"/>
  <c r="I15" i="33"/>
  <c r="L33" i="31"/>
  <c r="D35" i="33"/>
  <c r="D17" i="33"/>
  <c r="J23" i="31"/>
  <c r="H11" i="33"/>
  <c r="H29" i="33"/>
  <c r="I22" i="31"/>
  <c r="I35" i="32" s="1"/>
  <c r="G9" i="33"/>
  <c r="G27" i="33"/>
  <c r="I24" i="31"/>
  <c r="I9" i="33"/>
  <c r="I27" i="33"/>
  <c r="K37" i="31"/>
  <c r="H33" i="33"/>
  <c r="H15" i="33"/>
  <c r="J5" i="31"/>
  <c r="F162" i="32" s="1"/>
  <c r="D6" i="33"/>
  <c r="D24" i="33"/>
  <c r="K34" i="31"/>
  <c r="E33" i="33"/>
  <c r="E15" i="33"/>
  <c r="K36" i="31"/>
  <c r="G15" i="33"/>
  <c r="G33" i="33"/>
  <c r="K7" i="31"/>
  <c r="F47" i="32" s="1"/>
  <c r="F23" i="33"/>
  <c r="F5" i="33"/>
  <c r="I37" i="31"/>
  <c r="H32" i="33"/>
  <c r="H14" i="33"/>
  <c r="L35" i="31"/>
  <c r="F35" i="33"/>
  <c r="F17" i="33"/>
  <c r="K22" i="31"/>
  <c r="I48" i="32" s="1"/>
  <c r="G28" i="33"/>
  <c r="G10" i="33"/>
  <c r="H7" i="33"/>
  <c r="H25" i="33"/>
  <c r="K10" i="31"/>
  <c r="F102" i="32" s="1"/>
  <c r="I5" i="33"/>
  <c r="I23" i="33"/>
  <c r="I36" i="31"/>
  <c r="G14" i="33"/>
  <c r="G32" i="33"/>
  <c r="K33" i="31"/>
  <c r="D33" i="33"/>
  <c r="D15" i="33"/>
  <c r="J39" i="31"/>
  <c r="J16" i="33"/>
  <c r="J34" i="33"/>
  <c r="K21" i="31"/>
  <c r="I47" i="32" s="1"/>
  <c r="F10" i="33"/>
  <c r="F28" i="33"/>
  <c r="L34" i="31"/>
  <c r="E35" i="33"/>
  <c r="E17" i="33"/>
  <c r="L24" i="31"/>
  <c r="I30" i="33"/>
  <c r="I12" i="33"/>
  <c r="D25" i="33"/>
  <c r="D7" i="33"/>
  <c r="F25" i="33"/>
  <c r="F7" i="33"/>
  <c r="J12" i="31"/>
  <c r="F65" i="32" s="1"/>
  <c r="K24" i="33"/>
  <c r="K6" i="33"/>
  <c r="I38" i="31"/>
  <c r="I14" i="33"/>
  <c r="I32" i="33"/>
  <c r="L20" i="31"/>
  <c r="E30" i="33"/>
  <c r="E12" i="33"/>
  <c r="L36" i="31"/>
  <c r="G35" i="33"/>
  <c r="G17" i="33"/>
  <c r="J36" i="31"/>
  <c r="G16" i="33"/>
  <c r="G34" i="33"/>
  <c r="I34" i="31"/>
  <c r="E32" i="33"/>
  <c r="E14" i="33"/>
  <c r="I33" i="31"/>
  <c r="D14" i="33"/>
  <c r="D32" i="33"/>
  <c r="I35" i="31"/>
  <c r="F32" i="33"/>
  <c r="F14" i="33"/>
  <c r="L26" i="31"/>
  <c r="K12" i="33"/>
  <c r="K30" i="33"/>
  <c r="J37" i="31"/>
  <c r="H16" i="33"/>
  <c r="H34" i="33"/>
  <c r="K5" i="31"/>
  <c r="F149" i="32" s="1"/>
  <c r="D23" i="33"/>
  <c r="D5" i="33"/>
  <c r="J7" i="31"/>
  <c r="F24" i="33"/>
  <c r="F6" i="33"/>
  <c r="J33" i="31"/>
  <c r="D34" i="33"/>
  <c r="D16" i="33"/>
  <c r="J24" i="31"/>
  <c r="I11" i="33"/>
  <c r="I29" i="33"/>
  <c r="J20" i="31"/>
  <c r="E29" i="33"/>
  <c r="E11" i="33"/>
  <c r="K11" i="31"/>
  <c r="F51" i="32" s="1"/>
  <c r="J5" i="33"/>
  <c r="J23" i="33"/>
  <c r="I20" i="31"/>
  <c r="I33" i="32" s="1"/>
  <c r="E9" i="33"/>
  <c r="E27" i="33"/>
  <c r="I39" i="31"/>
  <c r="J14" i="33"/>
  <c r="J32" i="33"/>
  <c r="L37" i="31"/>
  <c r="H17" i="33"/>
  <c r="H35" i="33"/>
  <c r="K40" i="31"/>
  <c r="K15" i="33"/>
  <c r="K33" i="33"/>
  <c r="J21" i="31"/>
  <c r="F29" i="33"/>
  <c r="F11" i="33"/>
  <c r="K12" i="31"/>
  <c r="F156" i="32" s="1"/>
  <c r="K5" i="33"/>
  <c r="K23" i="33"/>
  <c r="L22" i="31"/>
  <c r="G12" i="33"/>
  <c r="G30" i="33"/>
  <c r="K25" i="33"/>
  <c r="K7" i="33"/>
  <c r="J38" i="31"/>
  <c r="I34" i="33"/>
  <c r="I16" i="33"/>
  <c r="I25" i="31"/>
  <c r="I38" i="32" s="1"/>
  <c r="J27" i="33"/>
  <c r="J9" i="33"/>
  <c r="I25" i="33"/>
  <c r="I7" i="33"/>
  <c r="K35" i="31"/>
  <c r="F33" i="33"/>
  <c r="F15" i="33"/>
  <c r="I23" i="31"/>
  <c r="I36" i="32" s="1"/>
  <c r="H9" i="33"/>
  <c r="H27" i="33"/>
  <c r="K25" i="31"/>
  <c r="I51" i="32" s="1"/>
  <c r="J28" i="33"/>
  <c r="J10" i="33"/>
  <c r="J40" i="31"/>
  <c r="K34" i="33"/>
  <c r="K16" i="33"/>
  <c r="L23" i="31"/>
  <c r="H12" i="33"/>
  <c r="H30" i="33"/>
  <c r="J19" i="31"/>
  <c r="D11" i="33"/>
  <c r="D29" i="33"/>
  <c r="J26" i="31"/>
  <c r="K11" i="33"/>
  <c r="K29" i="33"/>
  <c r="J9" i="31"/>
  <c r="H6" i="33"/>
  <c r="H24" i="33"/>
  <c r="K24" i="31"/>
  <c r="I50" i="32" s="1"/>
  <c r="I10" i="33"/>
  <c r="I28" i="33"/>
  <c r="E25" i="33"/>
  <c r="E7" i="33"/>
  <c r="K6" i="31"/>
  <c r="F150" i="32" s="1"/>
  <c r="E5" i="33"/>
  <c r="E23" i="33"/>
  <c r="J8" i="31"/>
  <c r="F61" i="32" s="1"/>
  <c r="G6" i="33"/>
  <c r="G24" i="33"/>
  <c r="L25" i="31"/>
  <c r="J30" i="33"/>
  <c r="J12" i="33"/>
  <c r="J6" i="31"/>
  <c r="F59" i="32" s="1"/>
  <c r="E6" i="33"/>
  <c r="E24" i="33"/>
  <c r="K8" i="31"/>
  <c r="F100" i="32" s="1"/>
  <c r="G5" i="33"/>
  <c r="G23" i="33"/>
  <c r="I21" i="31"/>
  <c r="I34" i="32" s="1"/>
  <c r="F27" i="33"/>
  <c r="F9" i="33"/>
  <c r="I5" i="31"/>
  <c r="F32" i="32" s="1"/>
  <c r="D22" i="33"/>
  <c r="D4" i="33"/>
  <c r="J25" i="31"/>
  <c r="J29" i="33"/>
  <c r="J11" i="33"/>
  <c r="G7" i="33"/>
  <c r="G25" i="33"/>
  <c r="K9" i="31"/>
  <c r="F49" i="32" s="1"/>
  <c r="H23" i="33"/>
  <c r="H5" i="33"/>
  <c r="L21" i="31"/>
  <c r="F30" i="33"/>
  <c r="F12" i="33"/>
  <c r="K19" i="31"/>
  <c r="I45" i="32" s="1"/>
  <c r="D28" i="33"/>
  <c r="D10" i="33"/>
  <c r="I26" i="31"/>
  <c r="I39" i="32" s="1"/>
  <c r="K27" i="33"/>
  <c r="K9" i="33"/>
  <c r="K39" i="31"/>
  <c r="J15" i="33"/>
  <c r="J33" i="33"/>
  <c r="J11" i="31"/>
  <c r="F64" i="32" s="1"/>
  <c r="J24" i="33"/>
  <c r="J6" i="33"/>
  <c r="G59" i="32"/>
  <c r="G163" i="32"/>
  <c r="G111" i="32"/>
  <c r="G45" i="32"/>
  <c r="G97" i="32"/>
  <c r="G149" i="32"/>
  <c r="G58" i="32"/>
  <c r="G110" i="32"/>
  <c r="G162" i="32"/>
  <c r="G137" i="32"/>
  <c r="G33" i="32"/>
  <c r="G85" i="32"/>
  <c r="G71" i="32"/>
  <c r="J136" i="32"/>
  <c r="J84" i="32"/>
  <c r="G123" i="32"/>
  <c r="G175" i="32"/>
  <c r="G136" i="32"/>
  <c r="G32" i="32"/>
  <c r="G84" i="32"/>
  <c r="G72" i="32"/>
  <c r="J137" i="32"/>
  <c r="J85" i="32"/>
  <c r="G176" i="32"/>
  <c r="G124" i="32"/>
  <c r="I19" i="32"/>
  <c r="M29" i="31"/>
  <c r="I37" i="32"/>
  <c r="F20" i="32"/>
  <c r="I111" i="32"/>
  <c r="I59" i="32"/>
  <c r="I163" i="32"/>
  <c r="F19" i="32"/>
  <c r="I110" i="32"/>
  <c r="I58" i="32"/>
  <c r="I162" i="32"/>
  <c r="F27" i="32"/>
  <c r="I118" i="32"/>
  <c r="I170" i="32"/>
  <c r="I66" i="32"/>
  <c r="F25" i="32"/>
  <c r="I168" i="32"/>
  <c r="I116" i="32"/>
  <c r="I64" i="32"/>
  <c r="P260" i="13"/>
  <c r="C71" i="23"/>
  <c r="L6" i="31"/>
  <c r="F58" i="32"/>
  <c r="B71" i="23"/>
  <c r="L5" i="31"/>
  <c r="P233" i="13"/>
  <c r="P179" i="13"/>
  <c r="O217" i="13"/>
  <c r="O55" i="13"/>
  <c r="Q24" i="13"/>
  <c r="O277" i="13"/>
  <c r="D17" i="10"/>
  <c r="M33" i="31"/>
  <c r="M43" i="31" s="1"/>
  <c r="Q105" i="13"/>
  <c r="P164" i="13"/>
  <c r="Q51" i="13"/>
  <c r="Q169" i="13"/>
  <c r="Q304" i="13"/>
  <c r="O233" i="13"/>
  <c r="P56" i="13"/>
  <c r="Q56" i="13"/>
  <c r="M82" i="13"/>
  <c r="O82" i="13"/>
  <c r="P29" i="13"/>
  <c r="Q29" i="13"/>
  <c r="Q164" i="13"/>
  <c r="O115" i="13"/>
  <c r="P51" i="13"/>
  <c r="O51" i="13"/>
  <c r="Q78" i="13"/>
  <c r="P105" i="13"/>
  <c r="O105" i="13"/>
  <c r="Q250" i="13"/>
  <c r="O88" i="13"/>
  <c r="Q196" i="13"/>
  <c r="O326" i="13"/>
  <c r="E49" i="31"/>
  <c r="C177" i="32" s="1"/>
  <c r="O320" i="13"/>
  <c r="O28" i="13"/>
  <c r="M133" i="13"/>
  <c r="P326" i="13"/>
  <c r="Q326" i="13"/>
  <c r="O223" i="13"/>
  <c r="O61" i="13"/>
  <c r="Q115" i="13"/>
  <c r="Q223" i="13"/>
  <c r="Q331" i="13"/>
  <c r="D49" i="31"/>
  <c r="C151" i="32" s="1"/>
  <c r="O266" i="13"/>
  <c r="Q218" i="13"/>
  <c r="P218" i="13"/>
  <c r="P24" i="13"/>
  <c r="O24" i="13"/>
  <c r="Q61" i="13"/>
  <c r="M239" i="13"/>
  <c r="B49" i="31"/>
  <c r="C138" i="32" s="1"/>
  <c r="O239" i="13"/>
  <c r="D184" i="13"/>
  <c r="O187" i="13"/>
  <c r="C35" i="31"/>
  <c r="P83" i="13"/>
  <c r="Q83" i="13"/>
  <c r="P78" i="13"/>
  <c r="O78" i="13"/>
  <c r="M293" i="13"/>
  <c r="C49" i="31"/>
  <c r="C164" i="32" s="1"/>
  <c r="O293" i="13"/>
  <c r="O250" i="13"/>
  <c r="Q88" i="13"/>
  <c r="O196" i="13"/>
  <c r="P109" i="13"/>
  <c r="O109" i="13"/>
  <c r="O169" i="13"/>
  <c r="Q277" i="13"/>
  <c r="O304" i="13"/>
  <c r="Q299" i="13"/>
  <c r="P299" i="13"/>
  <c r="Q245" i="13"/>
  <c r="P245" i="13"/>
  <c r="Q110" i="13"/>
  <c r="P110" i="13"/>
  <c r="O331" i="13"/>
  <c r="K73" i="13"/>
  <c r="M136" i="13"/>
  <c r="D211" i="13"/>
  <c r="O214" i="13"/>
  <c r="E35" i="31"/>
  <c r="P191" i="13"/>
  <c r="Q191" i="13"/>
  <c r="Q272" i="13"/>
  <c r="P272" i="13"/>
  <c r="D71" i="23"/>
  <c r="L7" i="31"/>
  <c r="F60" i="32"/>
  <c r="F112" i="32"/>
  <c r="F164" i="32"/>
  <c r="F48" i="32"/>
  <c r="F54" i="32"/>
  <c r="F158" i="32"/>
  <c r="F106" i="32"/>
  <c r="E71" i="23"/>
  <c r="L8" i="31"/>
  <c r="F52" i="32"/>
  <c r="F53" i="32"/>
  <c r="F157" i="32"/>
  <c r="F105" i="32"/>
  <c r="F71" i="23"/>
  <c r="L9" i="31"/>
  <c r="F66" i="32"/>
  <c r="F170" i="32"/>
  <c r="F118" i="32"/>
  <c r="F117" i="32"/>
  <c r="F67" i="32"/>
  <c r="F171" i="32"/>
  <c r="F119" i="32"/>
  <c r="F63" i="32"/>
  <c r="F115" i="32"/>
  <c r="F167" i="32"/>
  <c r="K71" i="23"/>
  <c r="L14" i="31"/>
  <c r="J71" i="23"/>
  <c r="L13" i="31"/>
  <c r="I71" i="23"/>
  <c r="L12" i="31"/>
  <c r="H71" i="23"/>
  <c r="L11" i="31"/>
  <c r="G71" i="23"/>
  <c r="L10" i="31"/>
  <c r="B72" i="1"/>
  <c r="F269" i="13" s="1"/>
  <c r="D157" i="13"/>
  <c r="O160" i="13"/>
  <c r="P325" i="13"/>
  <c r="P298" i="13"/>
  <c r="O298" i="13"/>
  <c r="P271" i="13"/>
  <c r="M29" i="13"/>
  <c r="M110" i="13"/>
  <c r="M83" i="13"/>
  <c r="M28" i="13"/>
  <c r="M56" i="13"/>
  <c r="M55" i="13"/>
  <c r="M24" i="13"/>
  <c r="M109" i="13"/>
  <c r="M51" i="13"/>
  <c r="M105" i="13"/>
  <c r="M78" i="13"/>
  <c r="D319" i="13"/>
  <c r="M320" i="13"/>
  <c r="J46" i="13"/>
  <c r="D265" i="13"/>
  <c r="M266" i="13"/>
  <c r="K235" i="13"/>
  <c r="L235" i="13"/>
  <c r="J100" i="13"/>
  <c r="F296" i="13"/>
  <c r="C5" i="23"/>
  <c r="C144" i="13"/>
  <c r="C36" i="13"/>
  <c r="C279" i="13"/>
  <c r="C143" i="13"/>
  <c r="C35" i="13"/>
  <c r="C278" i="13"/>
  <c r="C63" i="13"/>
  <c r="C171" i="13"/>
  <c r="C62" i="13"/>
  <c r="C170" i="13"/>
  <c r="D63" i="31" s="1"/>
  <c r="C252" i="13"/>
  <c r="C251" i="13"/>
  <c r="K5" i="23"/>
  <c r="M14" i="31"/>
  <c r="F98" i="13"/>
  <c r="I5" i="23"/>
  <c r="M12" i="31"/>
  <c r="D5" i="23"/>
  <c r="M7" i="31"/>
  <c r="G5" i="23"/>
  <c r="M10" i="31"/>
  <c r="B75" i="23"/>
  <c r="L75" i="23" s="1"/>
  <c r="E5" i="23"/>
  <c r="M8" i="31"/>
  <c r="B79" i="1"/>
  <c r="B83" i="23"/>
  <c r="L83" i="23" s="1"/>
  <c r="L5" i="9"/>
  <c r="F3" i="9"/>
  <c r="I12" i="10" s="1"/>
  <c r="L8" i="9"/>
  <c r="L11" i="9"/>
  <c r="H5" i="23"/>
  <c r="B91" i="23"/>
  <c r="L91" i="23" s="1"/>
  <c r="I7" i="1"/>
  <c r="F111" i="13" s="1"/>
  <c r="I6" i="1"/>
  <c r="F84" i="13" s="1"/>
  <c r="I5" i="1"/>
  <c r="F57" i="13" s="1"/>
  <c r="I4" i="1"/>
  <c r="F30" i="13" s="1"/>
  <c r="E18" i="10"/>
  <c r="E17" i="10"/>
  <c r="G274" i="13"/>
  <c r="H274" i="13"/>
  <c r="I274" i="13"/>
  <c r="J274" i="13"/>
  <c r="K274" i="13"/>
  <c r="L274" i="13"/>
  <c r="G328" i="13"/>
  <c r="H328" i="13"/>
  <c r="I328" i="13"/>
  <c r="J328" i="13"/>
  <c r="K328" i="13"/>
  <c r="L328" i="13"/>
  <c r="G247" i="13"/>
  <c r="H247" i="13"/>
  <c r="I247" i="13"/>
  <c r="J247" i="13"/>
  <c r="K247" i="13"/>
  <c r="L247" i="13"/>
  <c r="D14" i="10"/>
  <c r="D15" i="10"/>
  <c r="J235" i="13"/>
  <c r="C53" i="23"/>
  <c r="F18" i="10"/>
  <c r="H18" i="10"/>
  <c r="D18" i="10"/>
  <c r="H17" i="10"/>
  <c r="F17" i="10"/>
  <c r="E15" i="10"/>
  <c r="J17" i="10"/>
  <c r="E11" i="10"/>
  <c r="I17" i="10"/>
  <c r="G18" i="10"/>
  <c r="G17" i="10"/>
  <c r="L9" i="9"/>
  <c r="J18" i="10"/>
  <c r="K18" i="10"/>
  <c r="E12" i="10"/>
  <c r="B5" i="23"/>
  <c r="I18" i="10"/>
  <c r="E14" i="10"/>
  <c r="K17" i="10"/>
  <c r="J14" i="10"/>
  <c r="K15" i="10"/>
  <c r="F15" i="10"/>
  <c r="J5" i="23"/>
  <c r="F12" i="10"/>
  <c r="I14" i="10"/>
  <c r="G14" i="10"/>
  <c r="G15" i="10"/>
  <c r="L6" i="9"/>
  <c r="D11" i="10"/>
  <c r="I15" i="10"/>
  <c r="H14" i="10"/>
  <c r="D12" i="10"/>
  <c r="H15" i="10"/>
  <c r="F11" i="10"/>
  <c r="J15" i="10"/>
  <c r="K14" i="10"/>
  <c r="G12" i="10"/>
  <c r="G11" i="10"/>
  <c r="F14" i="10"/>
  <c r="L21" i="9"/>
  <c r="L36" i="9"/>
  <c r="L24" i="9"/>
  <c r="L42" i="9"/>
  <c r="L33" i="9"/>
  <c r="L39" i="9"/>
  <c r="L18" i="9"/>
  <c r="L27" i="9"/>
  <c r="L30" i="9"/>
  <c r="L45" i="9"/>
  <c r="L15" i="9"/>
  <c r="Q11" i="1"/>
  <c r="M137" i="13"/>
  <c r="D41" i="27"/>
  <c r="D19" i="23"/>
  <c r="H35" i="23"/>
  <c r="E51" i="23"/>
  <c r="F67" i="23"/>
  <c r="B80" i="1"/>
  <c r="J14" i="1" s="1"/>
  <c r="D27" i="23"/>
  <c r="H43" i="23"/>
  <c r="D59" i="23"/>
  <c r="E10" i="23"/>
  <c r="H51" i="23"/>
  <c r="I67" i="23"/>
  <c r="O245" i="13"/>
  <c r="G19" i="23"/>
  <c r="C35" i="23"/>
  <c r="K35" i="23"/>
  <c r="G27" i="23"/>
  <c r="C43" i="23"/>
  <c r="K43" i="23"/>
  <c r="G59" i="23"/>
  <c r="F300" i="13"/>
  <c r="O300" i="13" s="1"/>
  <c r="O299" i="13"/>
  <c r="K19" i="23"/>
  <c r="I19" i="23"/>
  <c r="G35" i="23"/>
  <c r="E35" i="23"/>
  <c r="C27" i="23"/>
  <c r="K27" i="23"/>
  <c r="I27" i="23"/>
  <c r="G43" i="23"/>
  <c r="K59" i="23"/>
  <c r="K10" i="23"/>
  <c r="B35" i="23"/>
  <c r="B43" i="23"/>
  <c r="H67" i="23"/>
  <c r="E43" i="23"/>
  <c r="B51" i="23"/>
  <c r="J51" i="23"/>
  <c r="K67" i="23"/>
  <c r="I59" i="23"/>
  <c r="I51" i="23"/>
  <c r="B67" i="23"/>
  <c r="J67" i="23"/>
  <c r="F10" i="23"/>
  <c r="G10" i="23"/>
  <c r="B10" i="23"/>
  <c r="G51" i="23"/>
  <c r="D10" i="23"/>
  <c r="C10" i="23"/>
  <c r="J10" i="23"/>
  <c r="J19" i="23"/>
  <c r="F35" i="23"/>
  <c r="B27" i="23"/>
  <c r="J27" i="23"/>
  <c r="J59" i="23"/>
  <c r="C51" i="23"/>
  <c r="H19" i="23"/>
  <c r="D35" i="23"/>
  <c r="H27" i="23"/>
  <c r="D43" i="23"/>
  <c r="H59" i="23"/>
  <c r="I10" i="23"/>
  <c r="E271" i="13"/>
  <c r="O271" i="13" s="1"/>
  <c r="E19" i="23"/>
  <c r="I35" i="23"/>
  <c r="E27" i="23"/>
  <c r="I43" i="23"/>
  <c r="E59" i="23"/>
  <c r="F51" i="23"/>
  <c r="G67" i="23"/>
  <c r="F19" i="23"/>
  <c r="J35" i="23"/>
  <c r="F27" i="23"/>
  <c r="J43" i="23"/>
  <c r="F59" i="23"/>
  <c r="C67" i="23"/>
  <c r="F43" i="23"/>
  <c r="B59" i="23"/>
  <c r="K51" i="23"/>
  <c r="D67" i="23"/>
  <c r="D51" i="23"/>
  <c r="E67" i="23"/>
  <c r="C61" i="23"/>
  <c r="C59" i="23"/>
  <c r="H10" i="23"/>
  <c r="F165" i="13"/>
  <c r="O165" i="13" s="1"/>
  <c r="F219" i="13"/>
  <c r="O219" i="13" s="1"/>
  <c r="E244" i="13"/>
  <c r="O244" i="13" s="1"/>
  <c r="Q9" i="1"/>
  <c r="E43" i="27"/>
  <c r="N5" i="1"/>
  <c r="F192" i="13"/>
  <c r="O192" i="13" s="1"/>
  <c r="M8" i="1"/>
  <c r="M4" i="1"/>
  <c r="E17" i="13" s="1"/>
  <c r="E163" i="13"/>
  <c r="O163" i="13" s="1"/>
  <c r="E325" i="13"/>
  <c r="O325" i="13" s="1"/>
  <c r="F138" i="13"/>
  <c r="C69" i="23"/>
  <c r="C45" i="23"/>
  <c r="M297" i="13"/>
  <c r="S297" i="13" s="1"/>
  <c r="M15" i="1"/>
  <c r="E314" i="13" s="1"/>
  <c r="N11" i="1"/>
  <c r="F206" i="13" s="1"/>
  <c r="N15" i="1"/>
  <c r="F314" i="13" s="1"/>
  <c r="P314" i="13" s="1"/>
  <c r="Q10" i="1"/>
  <c r="N6" i="1"/>
  <c r="N14" i="1"/>
  <c r="F287" i="13" s="1"/>
  <c r="M11" i="1"/>
  <c r="E206" i="13" s="1"/>
  <c r="F11" i="13"/>
  <c r="L11" i="13"/>
  <c r="D11" i="13"/>
  <c r="I11" i="13"/>
  <c r="O7" i="13"/>
  <c r="Q7" i="13"/>
  <c r="H11" i="13"/>
  <c r="C11" i="13"/>
  <c r="G11" i="13"/>
  <c r="E11" i="13"/>
  <c r="K11" i="13"/>
  <c r="J11" i="13"/>
  <c r="N9" i="1"/>
  <c r="M9" i="1"/>
  <c r="C44" i="27"/>
  <c r="M14" i="1"/>
  <c r="E287" i="13" s="1"/>
  <c r="M10" i="1"/>
  <c r="E179" i="13" s="1"/>
  <c r="M13" i="1"/>
  <c r="E260" i="13" s="1"/>
  <c r="B42" i="27"/>
  <c r="N4" i="1"/>
  <c r="N8" i="1"/>
  <c r="F125" i="13" s="1"/>
  <c r="C43" i="27"/>
  <c r="C85" i="1"/>
  <c r="D50" i="10"/>
  <c r="M246" i="13"/>
  <c r="S246" i="13" s="1"/>
  <c r="L173" i="13"/>
  <c r="M298" i="13"/>
  <c r="I200" i="13"/>
  <c r="J308" i="13"/>
  <c r="F281" i="13"/>
  <c r="H281" i="13"/>
  <c r="C308" i="13"/>
  <c r="L308" i="13"/>
  <c r="L40" i="9"/>
  <c r="L47" i="9"/>
  <c r="F335" i="13"/>
  <c r="G227" i="13"/>
  <c r="I308" i="13"/>
  <c r="M243" i="13"/>
  <c r="S243" i="13" s="1"/>
  <c r="G308" i="13"/>
  <c r="E335" i="13"/>
  <c r="L44" i="9"/>
  <c r="F146" i="13"/>
  <c r="L32" i="9"/>
  <c r="L13" i="9"/>
  <c r="I281" i="13"/>
  <c r="L28" i="9"/>
  <c r="L46" i="9"/>
  <c r="L37" i="9"/>
  <c r="H335" i="13"/>
  <c r="L35" i="9"/>
  <c r="C28" i="10"/>
  <c r="K50" i="31" s="1"/>
  <c r="B31" i="10"/>
  <c r="K63" i="31" s="1"/>
  <c r="J45" i="32" s="1"/>
  <c r="J335" i="13"/>
  <c r="J227" i="13"/>
  <c r="C335" i="13"/>
  <c r="D308" i="13"/>
  <c r="L38" i="9"/>
  <c r="L41" i="9"/>
  <c r="L31" i="9"/>
  <c r="L34" i="9"/>
  <c r="L43" i="9"/>
  <c r="L14" i="9"/>
  <c r="L17" i="9"/>
  <c r="L26" i="9"/>
  <c r="L20" i="9"/>
  <c r="L19" i="9"/>
  <c r="L25" i="9"/>
  <c r="L29" i="9"/>
  <c r="L23" i="9"/>
  <c r="L22" i="9"/>
  <c r="L16" i="9"/>
  <c r="I227" i="13"/>
  <c r="E227" i="13"/>
  <c r="K227" i="13"/>
  <c r="G281" i="13"/>
  <c r="J281" i="13"/>
  <c r="M327" i="13"/>
  <c r="S327" i="13" s="1"/>
  <c r="C281" i="13"/>
  <c r="K281" i="13"/>
  <c r="K308" i="13"/>
  <c r="I335" i="13"/>
  <c r="J92" i="13"/>
  <c r="H119" i="13"/>
  <c r="J254" i="13"/>
  <c r="H254" i="13"/>
  <c r="M324" i="13"/>
  <c r="S324" i="13" s="1"/>
  <c r="D200" i="13"/>
  <c r="G335" i="13"/>
  <c r="J38" i="13"/>
  <c r="H38" i="13"/>
  <c r="F92" i="13"/>
  <c r="J65" i="13"/>
  <c r="F119" i="13"/>
  <c r="J173" i="13"/>
  <c r="F254" i="13"/>
  <c r="H227" i="13"/>
  <c r="D281" i="13"/>
  <c r="L281" i="13"/>
  <c r="H308" i="13"/>
  <c r="K335" i="13"/>
  <c r="M190" i="13"/>
  <c r="S190" i="13" s="1"/>
  <c r="C227" i="13"/>
  <c r="E281" i="13"/>
  <c r="D335" i="13"/>
  <c r="L335" i="13"/>
  <c r="D227" i="13"/>
  <c r="L227" i="13"/>
  <c r="F308" i="13"/>
  <c r="M277" i="13"/>
  <c r="M326" i="13"/>
  <c r="M331" i="13"/>
  <c r="M304" i="13"/>
  <c r="E308" i="13"/>
  <c r="M270" i="13"/>
  <c r="S270" i="13" s="1"/>
  <c r="M273" i="13"/>
  <c r="S273" i="13" s="1"/>
  <c r="M272" i="13"/>
  <c r="H200" i="13"/>
  <c r="F227" i="13"/>
  <c r="D254" i="13"/>
  <c r="L254" i="13"/>
  <c r="L200" i="13"/>
  <c r="J200" i="13"/>
  <c r="M223" i="13"/>
  <c r="E200" i="13"/>
  <c r="J146" i="13"/>
  <c r="F200" i="13"/>
  <c r="M217" i="13"/>
  <c r="D173" i="13"/>
  <c r="M196" i="13"/>
  <c r="G200" i="13"/>
  <c r="M233" i="13"/>
  <c r="M218" i="13"/>
  <c r="I38" i="13"/>
  <c r="E119" i="13"/>
  <c r="C119" i="13"/>
  <c r="K119" i="13"/>
  <c r="C200" i="13"/>
  <c r="K200" i="13"/>
  <c r="H92" i="13"/>
  <c r="C146" i="13"/>
  <c r="K146" i="13"/>
  <c r="D146" i="13"/>
  <c r="L146" i="13"/>
  <c r="G146" i="13"/>
  <c r="E38" i="13"/>
  <c r="E65" i="13"/>
  <c r="I119" i="13"/>
  <c r="E173" i="13"/>
  <c r="I254" i="13"/>
  <c r="I146" i="13"/>
  <c r="F173" i="13"/>
  <c r="H146" i="13"/>
  <c r="C38" i="13"/>
  <c r="G92" i="13"/>
  <c r="K65" i="13"/>
  <c r="G119" i="13"/>
  <c r="K173" i="13"/>
  <c r="E146" i="13"/>
  <c r="K38" i="13"/>
  <c r="C65" i="13"/>
  <c r="C173" i="13"/>
  <c r="G254" i="13"/>
  <c r="F38" i="13"/>
  <c r="L38" i="13"/>
  <c r="F65" i="13"/>
  <c r="L65" i="13"/>
  <c r="J119" i="13"/>
  <c r="C92" i="13"/>
  <c r="K92" i="13"/>
  <c r="C254" i="13"/>
  <c r="K254" i="13"/>
  <c r="M142" i="13"/>
  <c r="L92" i="13"/>
  <c r="L119" i="13"/>
  <c r="H173" i="13"/>
  <c r="I65" i="13"/>
  <c r="I173" i="13"/>
  <c r="I92" i="13"/>
  <c r="G38" i="13"/>
  <c r="G65" i="13"/>
  <c r="G173" i="13"/>
  <c r="E92" i="13"/>
  <c r="H65" i="13"/>
  <c r="E254" i="13"/>
  <c r="D119" i="13"/>
  <c r="D65" i="13"/>
  <c r="D92" i="13"/>
  <c r="D38" i="13"/>
  <c r="M34" i="13"/>
  <c r="S34" i="13" s="1"/>
  <c r="M61" i="13"/>
  <c r="M88" i="13"/>
  <c r="M250" i="13"/>
  <c r="M164" i="13"/>
  <c r="M169" i="13"/>
  <c r="M7" i="13"/>
  <c r="M115" i="13"/>
  <c r="M5" i="13"/>
  <c r="O125" i="13" l="1"/>
  <c r="F338" i="13"/>
  <c r="M338" i="13" s="1"/>
  <c r="B63" i="31"/>
  <c r="C339" i="13"/>
  <c r="B36" i="31"/>
  <c r="O138" i="13"/>
  <c r="F169" i="32"/>
  <c r="F97" i="32"/>
  <c r="F101" i="32"/>
  <c r="F163" i="32"/>
  <c r="F45" i="32"/>
  <c r="F116" i="32"/>
  <c r="F111" i="32"/>
  <c r="F153" i="32"/>
  <c r="F168" i="32"/>
  <c r="J15" i="31"/>
  <c r="F103" i="32"/>
  <c r="F84" i="32"/>
  <c r="F136" i="32"/>
  <c r="I43" i="31"/>
  <c r="F242" i="13"/>
  <c r="B50" i="31" s="1"/>
  <c r="P15" i="1"/>
  <c r="P14" i="1"/>
  <c r="D332" i="13"/>
  <c r="D116" i="13"/>
  <c r="E78" i="31" s="1"/>
  <c r="D72" i="32" s="1"/>
  <c r="D197" i="13"/>
  <c r="C64" i="31" s="1"/>
  <c r="D163" i="32" s="1"/>
  <c r="D9" i="13"/>
  <c r="F94" i="31" s="1"/>
  <c r="E20" i="32" s="1"/>
  <c r="D333" i="13"/>
  <c r="D117" i="13"/>
  <c r="D198" i="13"/>
  <c r="C94" i="31" s="1"/>
  <c r="D8" i="13"/>
  <c r="D305" i="13"/>
  <c r="D89" i="13"/>
  <c r="C78" i="31" s="1"/>
  <c r="D59" i="32" s="1"/>
  <c r="D224" i="13"/>
  <c r="E64" i="31" s="1"/>
  <c r="D176" i="32" s="1"/>
  <c r="D225" i="13"/>
  <c r="E94" i="31" s="1"/>
  <c r="D306" i="13"/>
  <c r="D90" i="13"/>
  <c r="B77" i="31"/>
  <c r="D32" i="32" s="1"/>
  <c r="C63" i="31"/>
  <c r="E93" i="31"/>
  <c r="E77" i="31"/>
  <c r="D71" i="32" s="1"/>
  <c r="C77" i="31"/>
  <c r="D58" i="32" s="1"/>
  <c r="F63" i="31"/>
  <c r="D19" i="32" s="1"/>
  <c r="H19" i="32" s="1"/>
  <c r="F77" i="31"/>
  <c r="D77" i="31"/>
  <c r="D45" i="32" s="1"/>
  <c r="C93" i="31"/>
  <c r="E63" i="31"/>
  <c r="F154" i="32"/>
  <c r="F46" i="32"/>
  <c r="F151" i="32"/>
  <c r="F155" i="32"/>
  <c r="F50" i="32"/>
  <c r="F104" i="32"/>
  <c r="L29" i="31"/>
  <c r="L43" i="31"/>
  <c r="K43" i="31"/>
  <c r="F99" i="32"/>
  <c r="L15" i="33"/>
  <c r="F114" i="32"/>
  <c r="L29" i="33"/>
  <c r="J29" i="31"/>
  <c r="F166" i="32"/>
  <c r="L11" i="33"/>
  <c r="J43" i="31"/>
  <c r="F62" i="32"/>
  <c r="F57" i="32" s="1"/>
  <c r="F98" i="32"/>
  <c r="I44" i="32"/>
  <c r="F113" i="32"/>
  <c r="L32" i="33"/>
  <c r="L25" i="33"/>
  <c r="L12" i="33"/>
  <c r="L27" i="33"/>
  <c r="F165" i="32"/>
  <c r="K15" i="31"/>
  <c r="L14" i="33"/>
  <c r="L17" i="33"/>
  <c r="F152" i="32"/>
  <c r="F110" i="32"/>
  <c r="F109" i="32" s="1"/>
  <c r="L24" i="33"/>
  <c r="L35" i="33"/>
  <c r="L6" i="33"/>
  <c r="K29" i="31"/>
  <c r="L5" i="33"/>
  <c r="L23" i="33"/>
  <c r="I29" i="31"/>
  <c r="L10" i="33"/>
  <c r="L16" i="33"/>
  <c r="L33" i="33"/>
  <c r="L28" i="33"/>
  <c r="L34" i="33"/>
  <c r="L7" i="33"/>
  <c r="L30" i="33"/>
  <c r="L9" i="33"/>
  <c r="G46" i="32"/>
  <c r="G150" i="32"/>
  <c r="G98" i="32"/>
  <c r="I18" i="32"/>
  <c r="D16" i="10"/>
  <c r="M79" i="31" s="1"/>
  <c r="S169" i="13"/>
  <c r="F24" i="32"/>
  <c r="I167" i="32"/>
  <c r="I115" i="32"/>
  <c r="I63" i="32"/>
  <c r="F21" i="32"/>
  <c r="I164" i="32"/>
  <c r="I112" i="32"/>
  <c r="I60" i="32"/>
  <c r="I92" i="32"/>
  <c r="I144" i="32"/>
  <c r="I89" i="32"/>
  <c r="I141" i="32"/>
  <c r="I84" i="32"/>
  <c r="I136" i="32"/>
  <c r="I137" i="32"/>
  <c r="I85" i="32"/>
  <c r="F26" i="32"/>
  <c r="I169" i="32"/>
  <c r="I117" i="32"/>
  <c r="I65" i="32"/>
  <c r="I145" i="32"/>
  <c r="I93" i="32"/>
  <c r="I88" i="32"/>
  <c r="I140" i="32"/>
  <c r="F22" i="32"/>
  <c r="I165" i="32"/>
  <c r="I113" i="32"/>
  <c r="I61" i="32"/>
  <c r="I142" i="32"/>
  <c r="I90" i="32"/>
  <c r="I138" i="32"/>
  <c r="I86" i="32"/>
  <c r="I139" i="32"/>
  <c r="I87" i="32"/>
  <c r="F28" i="32"/>
  <c r="I67" i="32"/>
  <c r="I171" i="32"/>
  <c r="I119" i="32"/>
  <c r="I143" i="32"/>
  <c r="I91" i="32"/>
  <c r="P287" i="13"/>
  <c r="O260" i="13"/>
  <c r="F71" i="32"/>
  <c r="F175" i="32"/>
  <c r="F123" i="32"/>
  <c r="F72" i="32"/>
  <c r="F176" i="32"/>
  <c r="F124" i="32"/>
  <c r="P206" i="13"/>
  <c r="O179" i="13"/>
  <c r="S217" i="13"/>
  <c r="S142" i="13"/>
  <c r="O98" i="13"/>
  <c r="S320" i="13"/>
  <c r="S55" i="13"/>
  <c r="S233" i="13"/>
  <c r="S304" i="13"/>
  <c r="O287" i="13"/>
  <c r="S105" i="13"/>
  <c r="S164" i="13"/>
  <c r="S277" i="13"/>
  <c r="S28" i="13"/>
  <c r="S29" i="13"/>
  <c r="S136" i="13"/>
  <c r="S266" i="13"/>
  <c r="S109" i="13"/>
  <c r="S56" i="13"/>
  <c r="S115" i="13"/>
  <c r="S218" i="13"/>
  <c r="S272" i="13"/>
  <c r="S83" i="13"/>
  <c r="S137" i="13"/>
  <c r="S250" i="13"/>
  <c r="O206" i="13"/>
  <c r="S133" i="13"/>
  <c r="S82" i="13"/>
  <c r="S326" i="13"/>
  <c r="S196" i="13"/>
  <c r="C125" i="32"/>
  <c r="D84" i="32"/>
  <c r="D136" i="32"/>
  <c r="D149" i="32"/>
  <c r="D97" i="32"/>
  <c r="S110" i="13"/>
  <c r="C36" i="31"/>
  <c r="C113" i="32" s="1"/>
  <c r="S239" i="13"/>
  <c r="M138" i="13"/>
  <c r="S51" i="13"/>
  <c r="O314" i="13"/>
  <c r="D93" i="31"/>
  <c r="D36" i="31"/>
  <c r="C100" i="32" s="1"/>
  <c r="S88" i="13"/>
  <c r="S331" i="13"/>
  <c r="M30" i="13"/>
  <c r="O30" i="13"/>
  <c r="L100" i="13"/>
  <c r="P98" i="13"/>
  <c r="S24" i="13"/>
  <c r="S293" i="13"/>
  <c r="C112" i="32"/>
  <c r="E36" i="31"/>
  <c r="C126" i="32" s="1"/>
  <c r="S61" i="13"/>
  <c r="M57" i="13"/>
  <c r="O57" i="13"/>
  <c r="C50" i="31"/>
  <c r="O296" i="13"/>
  <c r="M84" i="13"/>
  <c r="O84" i="13"/>
  <c r="C87" i="32"/>
  <c r="C83" i="32" s="1"/>
  <c r="B43" i="31"/>
  <c r="M111" i="13"/>
  <c r="O111" i="13"/>
  <c r="S223" i="13"/>
  <c r="S78" i="13"/>
  <c r="D35" i="31"/>
  <c r="C99" i="32" s="1"/>
  <c r="F73" i="32"/>
  <c r="F177" i="32"/>
  <c r="F125" i="32"/>
  <c r="F75" i="32"/>
  <c r="F179" i="32"/>
  <c r="F127" i="32"/>
  <c r="F74" i="32"/>
  <c r="F178" i="32"/>
  <c r="F126" i="32"/>
  <c r="F78" i="32"/>
  <c r="F130" i="32"/>
  <c r="F182" i="32"/>
  <c r="F77" i="32"/>
  <c r="F129" i="32"/>
  <c r="F181" i="32"/>
  <c r="F79" i="32"/>
  <c r="F183" i="32"/>
  <c r="F131" i="32"/>
  <c r="F76" i="32"/>
  <c r="F180" i="32"/>
  <c r="F128" i="32"/>
  <c r="L15" i="31"/>
  <c r="F80" i="32"/>
  <c r="F184" i="32"/>
  <c r="F132" i="32"/>
  <c r="D50" i="31"/>
  <c r="O269" i="13"/>
  <c r="E50" i="31"/>
  <c r="O323" i="13"/>
  <c r="B93" i="31"/>
  <c r="E136" i="32" s="1"/>
  <c r="O328" i="13"/>
  <c r="S298" i="13"/>
  <c r="Q235" i="13"/>
  <c r="O274" i="13"/>
  <c r="O247" i="13"/>
  <c r="Q247" i="13"/>
  <c r="Q328" i="13"/>
  <c r="Q274" i="13"/>
  <c r="K316" i="13"/>
  <c r="L316" i="13"/>
  <c r="K127" i="13"/>
  <c r="L127" i="13"/>
  <c r="L208" i="13"/>
  <c r="K208" i="13"/>
  <c r="M235" i="13"/>
  <c r="J262" i="13"/>
  <c r="L262" i="13"/>
  <c r="K262" i="13"/>
  <c r="K181" i="13"/>
  <c r="L181" i="13"/>
  <c r="K100" i="13"/>
  <c r="L289" i="13"/>
  <c r="K289" i="13"/>
  <c r="J19" i="13"/>
  <c r="K58" i="13"/>
  <c r="K49" i="13" s="1"/>
  <c r="M323" i="13"/>
  <c r="M269" i="13"/>
  <c r="L3" i="9"/>
  <c r="B86" i="23"/>
  <c r="J11" i="10"/>
  <c r="D13" i="10"/>
  <c r="M65" i="31" s="1"/>
  <c r="M296" i="13"/>
  <c r="E13" i="10"/>
  <c r="M66" i="31" s="1"/>
  <c r="J22" i="32" s="1"/>
  <c r="D278" i="13"/>
  <c r="D279" i="13"/>
  <c r="D35" i="13"/>
  <c r="B78" i="31" s="1"/>
  <c r="D63" i="13"/>
  <c r="D251" i="13"/>
  <c r="D143" i="13"/>
  <c r="D36" i="13"/>
  <c r="D252" i="13"/>
  <c r="D144" i="13"/>
  <c r="B94" i="31" s="1"/>
  <c r="E137" i="32" s="1"/>
  <c r="D62" i="13"/>
  <c r="D78" i="31" s="1"/>
  <c r="F44" i="13"/>
  <c r="K13" i="10"/>
  <c r="M72" i="31" s="1"/>
  <c r="J28" i="32" s="1"/>
  <c r="J13" i="10"/>
  <c r="M71" i="31" s="1"/>
  <c r="J27" i="32" s="1"/>
  <c r="F17" i="13"/>
  <c r="G13" i="10"/>
  <c r="M68" i="31" s="1"/>
  <c r="J24" i="32" s="1"/>
  <c r="B88" i="23"/>
  <c r="B80" i="23"/>
  <c r="F5" i="23"/>
  <c r="L5" i="23" s="1"/>
  <c r="M9" i="31"/>
  <c r="B72" i="23"/>
  <c r="F71" i="13"/>
  <c r="I16" i="10"/>
  <c r="M84" i="31" s="1"/>
  <c r="K16" i="10"/>
  <c r="M86" i="31" s="1"/>
  <c r="E16" i="10"/>
  <c r="M80" i="31" s="1"/>
  <c r="L18" i="10"/>
  <c r="J16" i="10"/>
  <c r="M85" i="31" s="1"/>
  <c r="G16" i="10"/>
  <c r="M82" i="31" s="1"/>
  <c r="F16" i="10"/>
  <c r="M81" i="31" s="1"/>
  <c r="L17" i="10"/>
  <c r="H16" i="10"/>
  <c r="M83" i="31" s="1"/>
  <c r="L15" i="10"/>
  <c r="F13" i="10"/>
  <c r="M67" i="31" s="1"/>
  <c r="J23" i="32" s="1"/>
  <c r="L14" i="10"/>
  <c r="I13" i="10"/>
  <c r="M70" i="31" s="1"/>
  <c r="J26" i="32" s="1"/>
  <c r="H13" i="10"/>
  <c r="M69" i="31" s="1"/>
  <c r="J25" i="32" s="1"/>
  <c r="K11" i="10"/>
  <c r="J12" i="10"/>
  <c r="F10" i="10"/>
  <c r="M53" i="31" s="1"/>
  <c r="K12" i="10"/>
  <c r="I11" i="10"/>
  <c r="I10" i="10" s="1"/>
  <c r="M56" i="31" s="1"/>
  <c r="H11" i="10"/>
  <c r="H12" i="10"/>
  <c r="G10" i="10"/>
  <c r="M54" i="31" s="1"/>
  <c r="E10" i="10"/>
  <c r="M52" i="31" s="1"/>
  <c r="K31" i="13"/>
  <c r="K22" i="13" s="1"/>
  <c r="I31" i="13"/>
  <c r="I22" i="13" s="1"/>
  <c r="J31" i="13"/>
  <c r="J22" i="13" s="1"/>
  <c r="G31" i="13"/>
  <c r="G85" i="13"/>
  <c r="L85" i="13"/>
  <c r="L76" i="13" s="1"/>
  <c r="H85" i="13"/>
  <c r="H76" i="13" s="1"/>
  <c r="G112" i="13"/>
  <c r="H112" i="13"/>
  <c r="H103" i="13" s="1"/>
  <c r="I112" i="13"/>
  <c r="I103" i="13" s="1"/>
  <c r="J112" i="13"/>
  <c r="J103" i="13" s="1"/>
  <c r="F103" i="13"/>
  <c r="K112" i="13"/>
  <c r="K103" i="13" s="1"/>
  <c r="L112" i="13"/>
  <c r="L103" i="13" s="1"/>
  <c r="H31" i="13"/>
  <c r="H22" i="13" s="1"/>
  <c r="J58" i="13"/>
  <c r="J49" i="13" s="1"/>
  <c r="K85" i="13"/>
  <c r="K76" i="13" s="1"/>
  <c r="I58" i="13"/>
  <c r="I49" i="13" s="1"/>
  <c r="J85" i="13"/>
  <c r="J76" i="13" s="1"/>
  <c r="F22" i="13"/>
  <c r="H58" i="13"/>
  <c r="H49" i="13" s="1"/>
  <c r="L31" i="13"/>
  <c r="L22" i="13" s="1"/>
  <c r="G58" i="13"/>
  <c r="I85" i="13"/>
  <c r="I76" i="13" s="1"/>
  <c r="F49" i="13"/>
  <c r="L58" i="13"/>
  <c r="L49" i="13" s="1"/>
  <c r="G301" i="13"/>
  <c r="H301" i="13"/>
  <c r="I301" i="13"/>
  <c r="J301" i="13"/>
  <c r="K301" i="13"/>
  <c r="L301" i="13"/>
  <c r="G220" i="13"/>
  <c r="H220" i="13"/>
  <c r="I220" i="13"/>
  <c r="J220" i="13"/>
  <c r="K220" i="13"/>
  <c r="L220" i="13"/>
  <c r="G166" i="13"/>
  <c r="H166" i="13"/>
  <c r="I166" i="13"/>
  <c r="J166" i="13"/>
  <c r="K166" i="13"/>
  <c r="L166" i="13"/>
  <c r="G193" i="13"/>
  <c r="H193" i="13"/>
  <c r="I193" i="13"/>
  <c r="J193" i="13"/>
  <c r="K193" i="13"/>
  <c r="L193" i="13"/>
  <c r="G139" i="13"/>
  <c r="H139" i="13"/>
  <c r="I139" i="13"/>
  <c r="J139" i="13"/>
  <c r="K139" i="13"/>
  <c r="L139" i="13"/>
  <c r="C6" i="13"/>
  <c r="D85" i="1"/>
  <c r="D170" i="13"/>
  <c r="D64" i="31" s="1"/>
  <c r="D171" i="13"/>
  <c r="D94" i="31" s="1"/>
  <c r="D10" i="10"/>
  <c r="M51" i="31" s="1"/>
  <c r="K63" i="23"/>
  <c r="K31" i="23"/>
  <c r="D39" i="23"/>
  <c r="H55" i="23"/>
  <c r="H23" i="23"/>
  <c r="J63" i="23"/>
  <c r="J31" i="23"/>
  <c r="C63" i="23"/>
  <c r="C31" i="23"/>
  <c r="H39" i="23"/>
  <c r="F63" i="23"/>
  <c r="F31" i="23"/>
  <c r="B63" i="23"/>
  <c r="B31" i="23"/>
  <c r="B32" i="23" s="1"/>
  <c r="G55" i="23"/>
  <c r="G23" i="23"/>
  <c r="H31" i="23"/>
  <c r="H63" i="23"/>
  <c r="K55" i="23"/>
  <c r="K23" i="23"/>
  <c r="B23" i="23"/>
  <c r="B24" i="23" s="1"/>
  <c r="B55" i="23"/>
  <c r="B39" i="23"/>
  <c r="J39" i="23"/>
  <c r="C55" i="23"/>
  <c r="C23" i="23"/>
  <c r="G31" i="23"/>
  <c r="G63" i="23"/>
  <c r="K39" i="23"/>
  <c r="E23" i="23"/>
  <c r="E55" i="23"/>
  <c r="F55" i="23"/>
  <c r="F23" i="23"/>
  <c r="G39" i="23"/>
  <c r="D55" i="23"/>
  <c r="D23" i="23"/>
  <c r="E39" i="23"/>
  <c r="E63" i="23"/>
  <c r="E31" i="23"/>
  <c r="I31" i="23"/>
  <c r="I63" i="23"/>
  <c r="C39" i="23"/>
  <c r="J55" i="23"/>
  <c r="J23" i="23"/>
  <c r="D63" i="23"/>
  <c r="D31" i="23"/>
  <c r="I55" i="23"/>
  <c r="I23" i="23"/>
  <c r="F39" i="23"/>
  <c r="I39" i="23"/>
  <c r="M191" i="13"/>
  <c r="S191" i="13" s="1"/>
  <c r="M299" i="13"/>
  <c r="S299" i="13" s="1"/>
  <c r="M245" i="13"/>
  <c r="S245" i="13" s="1"/>
  <c r="M300" i="13"/>
  <c r="S300" i="13" s="1"/>
  <c r="M325" i="13"/>
  <c r="S325" i="13" s="1"/>
  <c r="M244" i="13"/>
  <c r="S244" i="13" s="1"/>
  <c r="M271" i="13"/>
  <c r="S271" i="13" s="1"/>
  <c r="L67" i="23"/>
  <c r="L43" i="23"/>
  <c r="L10" i="23"/>
  <c r="L51" i="23"/>
  <c r="L27" i="23"/>
  <c r="L35" i="23"/>
  <c r="L59" i="23"/>
  <c r="L19" i="23"/>
  <c r="B4" i="23"/>
  <c r="B6" i="23" s="1"/>
  <c r="B9" i="23" s="1"/>
  <c r="B13" i="23"/>
  <c r="M179" i="13"/>
  <c r="F97" i="23"/>
  <c r="L97" i="23" s="1"/>
  <c r="F105" i="23"/>
  <c r="L105" i="23" s="1"/>
  <c r="B38" i="23"/>
  <c r="B30" i="23"/>
  <c r="B22" i="23"/>
  <c r="B46" i="23"/>
  <c r="M163" i="13"/>
  <c r="S163" i="13" s="1"/>
  <c r="M206" i="13"/>
  <c r="B41" i="27"/>
  <c r="E152" i="13"/>
  <c r="F152" i="13"/>
  <c r="M11" i="13"/>
  <c r="R176" i="13"/>
  <c r="R311" i="13"/>
  <c r="R284" i="13"/>
  <c r="R257" i="13"/>
  <c r="M125" i="13"/>
  <c r="R122" i="13"/>
  <c r="Q339" i="13" s="1"/>
  <c r="R230" i="13"/>
  <c r="R203" i="13"/>
  <c r="R149" i="13"/>
  <c r="M314" i="13"/>
  <c r="J316" i="13"/>
  <c r="J181" i="13"/>
  <c r="R14" i="13"/>
  <c r="G8" i="27" s="1"/>
  <c r="J208" i="13"/>
  <c r="J289" i="13"/>
  <c r="M187" i="13"/>
  <c r="S187" i="13" s="1"/>
  <c r="S7" i="13"/>
  <c r="O10" i="13"/>
  <c r="Q10" i="13"/>
  <c r="M287" i="13"/>
  <c r="M98" i="13"/>
  <c r="M260" i="13"/>
  <c r="D51" i="10"/>
  <c r="D49" i="10" s="1"/>
  <c r="L65" i="31" s="1"/>
  <c r="I50" i="10"/>
  <c r="E51" i="10"/>
  <c r="E50" i="10"/>
  <c r="F51" i="10"/>
  <c r="K33" i="10"/>
  <c r="K32" i="10"/>
  <c r="J33" i="10"/>
  <c r="J32" i="10"/>
  <c r="I32" i="10"/>
  <c r="H33" i="10"/>
  <c r="H32" i="10"/>
  <c r="G33" i="10"/>
  <c r="G32" i="10"/>
  <c r="F33" i="10"/>
  <c r="F32" i="10"/>
  <c r="E33" i="10"/>
  <c r="E32" i="10"/>
  <c r="I33" i="10"/>
  <c r="D33" i="10"/>
  <c r="D32" i="10"/>
  <c r="G24" i="10"/>
  <c r="G23" i="10"/>
  <c r="E24" i="10"/>
  <c r="F24" i="10"/>
  <c r="F23" i="10"/>
  <c r="D24" i="10"/>
  <c r="D23" i="10"/>
  <c r="K24" i="10"/>
  <c r="K23" i="10"/>
  <c r="J24" i="10"/>
  <c r="J23" i="10"/>
  <c r="E23" i="10"/>
  <c r="I24" i="10"/>
  <c r="I23" i="10"/>
  <c r="H24" i="10"/>
  <c r="H23" i="10"/>
  <c r="K39" i="10"/>
  <c r="K38" i="10"/>
  <c r="I38" i="10"/>
  <c r="J39" i="10"/>
  <c r="J38" i="10"/>
  <c r="H39" i="10"/>
  <c r="H38" i="10"/>
  <c r="G39" i="10"/>
  <c r="G38" i="10"/>
  <c r="F39" i="10"/>
  <c r="F38" i="10"/>
  <c r="E39" i="10"/>
  <c r="E38" i="10"/>
  <c r="D39" i="10"/>
  <c r="D38" i="10"/>
  <c r="I39" i="10"/>
  <c r="J50" i="10"/>
  <c r="H51" i="10"/>
  <c r="J51" i="10"/>
  <c r="G30" i="10"/>
  <c r="G29" i="10"/>
  <c r="F30" i="10"/>
  <c r="F29" i="10"/>
  <c r="D30" i="10"/>
  <c r="D29" i="10"/>
  <c r="E29" i="10"/>
  <c r="K30" i="10"/>
  <c r="K29" i="10"/>
  <c r="J30" i="10"/>
  <c r="J29" i="10"/>
  <c r="E30" i="10"/>
  <c r="I30" i="10"/>
  <c r="I29" i="10"/>
  <c r="H30" i="10"/>
  <c r="H29" i="10"/>
  <c r="J48" i="10"/>
  <c r="J47" i="10"/>
  <c r="I48" i="10"/>
  <c r="I47" i="10"/>
  <c r="H47" i="10"/>
  <c r="G48" i="10"/>
  <c r="G47" i="10"/>
  <c r="F48" i="10"/>
  <c r="F47" i="10"/>
  <c r="E48" i="10"/>
  <c r="E47" i="10"/>
  <c r="D48" i="10"/>
  <c r="D47" i="10"/>
  <c r="H48" i="10"/>
  <c r="K48" i="10"/>
  <c r="K47" i="10"/>
  <c r="H50" i="10"/>
  <c r="G36" i="10"/>
  <c r="G35" i="10"/>
  <c r="F36" i="10"/>
  <c r="F35" i="10"/>
  <c r="D36" i="10"/>
  <c r="D35" i="10"/>
  <c r="K36" i="10"/>
  <c r="K35" i="10"/>
  <c r="E35" i="10"/>
  <c r="J36" i="10"/>
  <c r="J35" i="10"/>
  <c r="E36" i="10"/>
  <c r="I36" i="10"/>
  <c r="I35" i="10"/>
  <c r="H36" i="10"/>
  <c r="H35" i="10"/>
  <c r="E45" i="10"/>
  <c r="E44" i="10"/>
  <c r="D45" i="10"/>
  <c r="D44" i="10"/>
  <c r="J45" i="10"/>
  <c r="J44" i="10"/>
  <c r="I45" i="10"/>
  <c r="I44" i="10"/>
  <c r="H45" i="10"/>
  <c r="H44" i="10"/>
  <c r="K45" i="10"/>
  <c r="G45" i="10"/>
  <c r="G44" i="10"/>
  <c r="F45" i="10"/>
  <c r="F44" i="10"/>
  <c r="K44" i="10"/>
  <c r="H42" i="10"/>
  <c r="H41" i="10"/>
  <c r="G42" i="10"/>
  <c r="G41" i="10"/>
  <c r="F41" i="10"/>
  <c r="E42" i="10"/>
  <c r="E41" i="10"/>
  <c r="D42" i="10"/>
  <c r="D41" i="10"/>
  <c r="K42" i="10"/>
  <c r="K41" i="10"/>
  <c r="F42" i="10"/>
  <c r="J42" i="10"/>
  <c r="J41" i="10"/>
  <c r="I42" i="10"/>
  <c r="I41" i="10"/>
  <c r="K27" i="10"/>
  <c r="K26" i="10"/>
  <c r="J27" i="10"/>
  <c r="J26" i="10"/>
  <c r="I27" i="10"/>
  <c r="H27" i="10"/>
  <c r="H26" i="10"/>
  <c r="G27" i="10"/>
  <c r="G26" i="10"/>
  <c r="F27" i="10"/>
  <c r="F26" i="10"/>
  <c r="E27" i="10"/>
  <c r="E26" i="10"/>
  <c r="I26" i="10"/>
  <c r="D27" i="10"/>
  <c r="D26" i="10"/>
  <c r="F50" i="10"/>
  <c r="K51" i="10"/>
  <c r="G51" i="10"/>
  <c r="I51" i="10"/>
  <c r="J54" i="10"/>
  <c r="J53" i="10"/>
  <c r="I54" i="10"/>
  <c r="I53" i="10"/>
  <c r="G54" i="10"/>
  <c r="G53" i="10"/>
  <c r="F54" i="10"/>
  <c r="F53" i="10"/>
  <c r="H53" i="10"/>
  <c r="E54" i="10"/>
  <c r="E53" i="10"/>
  <c r="H54" i="10"/>
  <c r="D54" i="10"/>
  <c r="D53" i="10"/>
  <c r="K54" i="10"/>
  <c r="K53" i="10"/>
  <c r="K50" i="10"/>
  <c r="G50" i="10"/>
  <c r="C141" i="13"/>
  <c r="J11" i="1"/>
  <c r="C168" i="13"/>
  <c r="M165" i="13"/>
  <c r="S165" i="13" s="1"/>
  <c r="C222" i="13"/>
  <c r="C330" i="13"/>
  <c r="M328" i="13"/>
  <c r="M192" i="13"/>
  <c r="S192" i="13" s="1"/>
  <c r="M219" i="13"/>
  <c r="S219" i="13" s="1"/>
  <c r="M247" i="13"/>
  <c r="J10" i="1"/>
  <c r="B37" i="27"/>
  <c r="C37" i="27"/>
  <c r="J15" i="1"/>
  <c r="M160" i="13"/>
  <c r="S160" i="13" s="1"/>
  <c r="M226" i="13"/>
  <c r="S226" i="13" s="1"/>
  <c r="M281" i="13"/>
  <c r="M335" i="13"/>
  <c r="M308" i="13"/>
  <c r="M145" i="13"/>
  <c r="S145" i="13" s="1"/>
  <c r="M307" i="13"/>
  <c r="S307" i="13" s="1"/>
  <c r="M280" i="13"/>
  <c r="S280" i="13" s="1"/>
  <c r="L302" i="13"/>
  <c r="E302" i="13"/>
  <c r="F302" i="13"/>
  <c r="G302" i="13"/>
  <c r="H302" i="13"/>
  <c r="I302" i="13"/>
  <c r="J302" i="13"/>
  <c r="K302" i="13"/>
  <c r="C33" i="13"/>
  <c r="M199" i="13"/>
  <c r="S199" i="13" s="1"/>
  <c r="C195" i="13"/>
  <c r="C276" i="13"/>
  <c r="C60" i="13"/>
  <c r="M334" i="13"/>
  <c r="S334" i="13" s="1"/>
  <c r="M227" i="13"/>
  <c r="C303" i="13"/>
  <c r="C87" i="13"/>
  <c r="C114" i="13"/>
  <c r="M274" i="13"/>
  <c r="C249" i="13"/>
  <c r="M200" i="13"/>
  <c r="M38" i="13"/>
  <c r="M146" i="13"/>
  <c r="M173" i="13"/>
  <c r="M119" i="13"/>
  <c r="M92" i="13"/>
  <c r="M254" i="13"/>
  <c r="M65" i="13"/>
  <c r="M172" i="13"/>
  <c r="S172" i="13" s="1"/>
  <c r="M91" i="13"/>
  <c r="S91" i="13" s="1"/>
  <c r="M118" i="13"/>
  <c r="S118" i="13" s="1"/>
  <c r="M253" i="13"/>
  <c r="S253" i="13" s="1"/>
  <c r="M10" i="13"/>
  <c r="S5" i="13"/>
  <c r="M64" i="13"/>
  <c r="S64" i="13" s="1"/>
  <c r="M37" i="13"/>
  <c r="S37" i="13" s="1"/>
  <c r="J13" i="1"/>
  <c r="J12" i="1"/>
  <c r="E248" i="13" s="1"/>
  <c r="J9" i="1"/>
  <c r="E167" i="13" s="1"/>
  <c r="Q127" i="13" l="1"/>
  <c r="Q139" i="13"/>
  <c r="B64" i="31"/>
  <c r="D339" i="13"/>
  <c r="F161" i="32"/>
  <c r="D111" i="32"/>
  <c r="O9" i="13"/>
  <c r="K19" i="32"/>
  <c r="D330" i="13"/>
  <c r="O242" i="13"/>
  <c r="M242" i="13"/>
  <c r="D124" i="32"/>
  <c r="E332" i="13"/>
  <c r="E116" i="13"/>
  <c r="E197" i="13"/>
  <c r="E9" i="13"/>
  <c r="F95" i="31" s="1"/>
  <c r="E8" i="13"/>
  <c r="E333" i="13"/>
  <c r="E117" i="13"/>
  <c r="E198" i="13"/>
  <c r="E224" i="13"/>
  <c r="E305" i="13"/>
  <c r="E89" i="13"/>
  <c r="E225" i="13"/>
  <c r="E95" i="31" s="1"/>
  <c r="E306" i="13"/>
  <c r="E90" i="13"/>
  <c r="E163" i="32"/>
  <c r="H163" i="32" s="1"/>
  <c r="K163" i="32" s="1"/>
  <c r="E111" i="32"/>
  <c r="E59" i="32"/>
  <c r="H59" i="32" s="1"/>
  <c r="K59" i="32" s="1"/>
  <c r="D123" i="32"/>
  <c r="D175" i="32"/>
  <c r="E58" i="32"/>
  <c r="E110" i="32"/>
  <c r="E162" i="32"/>
  <c r="D110" i="32"/>
  <c r="D162" i="32"/>
  <c r="E194" i="13"/>
  <c r="E184" i="13" s="1"/>
  <c r="F194" i="13"/>
  <c r="E72" i="32"/>
  <c r="H72" i="32" s="1"/>
  <c r="K72" i="32" s="1"/>
  <c r="E176" i="32"/>
  <c r="H176" i="32" s="1"/>
  <c r="K176" i="32" s="1"/>
  <c r="E124" i="32"/>
  <c r="E71" i="32"/>
  <c r="H71" i="32" s="1"/>
  <c r="K71" i="32" s="1"/>
  <c r="E123" i="32"/>
  <c r="E175" i="32"/>
  <c r="F78" i="31"/>
  <c r="F64" i="31"/>
  <c r="G3" i="27"/>
  <c r="G10" i="27"/>
  <c r="G4" i="27"/>
  <c r="G9" i="27"/>
  <c r="G12" i="27"/>
  <c r="G6" i="27"/>
  <c r="G7" i="27"/>
  <c r="G13" i="27"/>
  <c r="F44" i="32"/>
  <c r="F96" i="32"/>
  <c r="F148" i="32"/>
  <c r="D37" i="10"/>
  <c r="J51" i="31" s="1"/>
  <c r="G112" i="32" s="1"/>
  <c r="H37" i="10"/>
  <c r="J55" i="31" s="1"/>
  <c r="G168" i="32" s="1"/>
  <c r="D22" i="10"/>
  <c r="I65" i="31" s="1"/>
  <c r="J34" i="32" s="1"/>
  <c r="E49" i="10"/>
  <c r="L66" i="31" s="1"/>
  <c r="D40" i="10"/>
  <c r="J65" i="31" s="1"/>
  <c r="J21" i="32"/>
  <c r="M73" i="31"/>
  <c r="F2" i="32" s="1"/>
  <c r="E34" i="10"/>
  <c r="K80" i="31" s="1"/>
  <c r="H52" i="10"/>
  <c r="L83" i="31" s="1"/>
  <c r="E25" i="10"/>
  <c r="I80" i="31" s="1"/>
  <c r="G43" i="10"/>
  <c r="J82" i="31" s="1"/>
  <c r="K22" i="10"/>
  <c r="I72" i="31" s="1"/>
  <c r="J41" i="32" s="1"/>
  <c r="S260" i="13"/>
  <c r="S179" i="13"/>
  <c r="G22" i="32"/>
  <c r="J113" i="32"/>
  <c r="J165" i="32"/>
  <c r="J61" i="32"/>
  <c r="G24" i="32"/>
  <c r="J167" i="32"/>
  <c r="J115" i="32"/>
  <c r="J63" i="32"/>
  <c r="I114" i="32"/>
  <c r="I109" i="32" s="1"/>
  <c r="I62" i="32"/>
  <c r="I57" i="32" s="1"/>
  <c r="I166" i="32"/>
  <c r="I161" i="32" s="1"/>
  <c r="G21" i="32"/>
  <c r="J164" i="32"/>
  <c r="J112" i="32"/>
  <c r="J60" i="32"/>
  <c r="I135" i="32"/>
  <c r="G26" i="32"/>
  <c r="J65" i="32"/>
  <c r="J169" i="32"/>
  <c r="J117" i="32"/>
  <c r="I31" i="32"/>
  <c r="I83" i="32"/>
  <c r="G23" i="32"/>
  <c r="J166" i="32"/>
  <c r="J114" i="32"/>
  <c r="J62" i="32"/>
  <c r="S98" i="13"/>
  <c r="S125" i="13"/>
  <c r="P152" i="13"/>
  <c r="S287" i="13"/>
  <c r="M44" i="13"/>
  <c r="S314" i="13"/>
  <c r="O17" i="13"/>
  <c r="C43" i="31"/>
  <c r="S296" i="13"/>
  <c r="S111" i="13"/>
  <c r="C109" i="32"/>
  <c r="S206" i="13"/>
  <c r="S138" i="13"/>
  <c r="H136" i="32"/>
  <c r="K136" i="32" s="1"/>
  <c r="C96" i="32"/>
  <c r="O152" i="13"/>
  <c r="Q302" i="13"/>
  <c r="P302" i="13"/>
  <c r="D33" i="32"/>
  <c r="S84" i="13"/>
  <c r="S57" i="13"/>
  <c r="D46" i="32"/>
  <c r="O302" i="13"/>
  <c r="S269" i="13"/>
  <c r="E46" i="32"/>
  <c r="E98" i="32"/>
  <c r="E150" i="32"/>
  <c r="E45" i="32"/>
  <c r="K45" i="32" s="1"/>
  <c r="E149" i="32"/>
  <c r="E97" i="32"/>
  <c r="D43" i="31"/>
  <c r="K19" i="13"/>
  <c r="P17" i="13"/>
  <c r="S30" i="13"/>
  <c r="P71" i="13"/>
  <c r="O71" i="13"/>
  <c r="C165" i="32"/>
  <c r="C161" i="32" s="1"/>
  <c r="C57" i="31"/>
  <c r="E43" i="31"/>
  <c r="P44" i="13"/>
  <c r="O44" i="13"/>
  <c r="C122" i="32"/>
  <c r="H28" i="10"/>
  <c r="K55" i="31" s="1"/>
  <c r="G103" i="32" s="1"/>
  <c r="I46" i="10"/>
  <c r="L56" i="31" s="1"/>
  <c r="J49" i="10"/>
  <c r="L71" i="31" s="1"/>
  <c r="F70" i="32"/>
  <c r="K46" i="10"/>
  <c r="L58" i="31" s="1"/>
  <c r="F122" i="32"/>
  <c r="K49" i="10"/>
  <c r="L72" i="31" s="1"/>
  <c r="F174" i="32"/>
  <c r="D25" i="10"/>
  <c r="I79" i="31" s="1"/>
  <c r="D34" i="10"/>
  <c r="K79" i="31" s="1"/>
  <c r="M87" i="31"/>
  <c r="I2" i="32" s="1"/>
  <c r="D43" i="10"/>
  <c r="J79" i="31" s="1"/>
  <c r="D46" i="10"/>
  <c r="L51" i="31" s="1"/>
  <c r="D31" i="10"/>
  <c r="K65" i="31" s="1"/>
  <c r="J47" i="32" s="1"/>
  <c r="H31" i="10"/>
  <c r="K69" i="31" s="1"/>
  <c r="J51" i="32" s="1"/>
  <c r="D52" i="10"/>
  <c r="L79" i="31" s="1"/>
  <c r="G52" i="10"/>
  <c r="L82" i="31" s="1"/>
  <c r="K25" i="10"/>
  <c r="I86" i="31" s="1"/>
  <c r="H43" i="10"/>
  <c r="J83" i="31" s="1"/>
  <c r="G34" i="10"/>
  <c r="K82" i="31" s="1"/>
  <c r="C178" i="32"/>
  <c r="C174" i="32" s="1"/>
  <c r="E57" i="31"/>
  <c r="C139" i="32"/>
  <c r="C135" i="32" s="1"/>
  <c r="B57" i="31"/>
  <c r="S323" i="13"/>
  <c r="C152" i="32"/>
  <c r="C148" i="32" s="1"/>
  <c r="D57" i="31"/>
  <c r="E84" i="32"/>
  <c r="E32" i="32"/>
  <c r="K32" i="32" s="1"/>
  <c r="E85" i="32"/>
  <c r="E33" i="32"/>
  <c r="M15" i="31"/>
  <c r="F23" i="32"/>
  <c r="M100" i="13"/>
  <c r="F76" i="13"/>
  <c r="S235" i="13"/>
  <c r="Q289" i="13"/>
  <c r="Q181" i="13"/>
  <c r="Q208" i="13"/>
  <c r="Q316" i="13"/>
  <c r="S328" i="13"/>
  <c r="Q166" i="13"/>
  <c r="E76" i="13"/>
  <c r="O85" i="13"/>
  <c r="Q193" i="13"/>
  <c r="Q262" i="13"/>
  <c r="O301" i="13"/>
  <c r="G103" i="13"/>
  <c r="Q112" i="13"/>
  <c r="O31" i="13"/>
  <c r="G49" i="13"/>
  <c r="Q58" i="13"/>
  <c r="E49" i="13"/>
  <c r="O58" i="13"/>
  <c r="O220" i="13"/>
  <c r="E103" i="13"/>
  <c r="O112" i="13"/>
  <c r="S247" i="13"/>
  <c r="O193" i="13"/>
  <c r="Q100" i="13"/>
  <c r="G76" i="13"/>
  <c r="Q85" i="13"/>
  <c r="O166" i="13"/>
  <c r="Q220" i="13"/>
  <c r="Q301" i="13"/>
  <c r="Q31" i="13"/>
  <c r="S274" i="13"/>
  <c r="E22" i="13"/>
  <c r="G22" i="13"/>
  <c r="M181" i="13"/>
  <c r="M208" i="13"/>
  <c r="L19" i="13"/>
  <c r="H140" i="13"/>
  <c r="H130" i="13" s="1"/>
  <c r="E292" i="13"/>
  <c r="L154" i="13"/>
  <c r="K154" i="13"/>
  <c r="M127" i="13"/>
  <c r="F221" i="13"/>
  <c r="F211" i="13" s="1"/>
  <c r="E221" i="13"/>
  <c r="F292" i="13"/>
  <c r="L46" i="13"/>
  <c r="K46" i="13"/>
  <c r="J292" i="13"/>
  <c r="I292" i="13"/>
  <c r="H292" i="13"/>
  <c r="L73" i="13"/>
  <c r="G292" i="13"/>
  <c r="L292" i="13"/>
  <c r="K292" i="13"/>
  <c r="D249" i="13"/>
  <c r="B84" i="23"/>
  <c r="M71" i="13"/>
  <c r="D222" i="13"/>
  <c r="D276" i="13"/>
  <c r="C80" i="23"/>
  <c r="D60" i="13"/>
  <c r="J10" i="10"/>
  <c r="M57" i="31" s="1"/>
  <c r="C22" i="23"/>
  <c r="C13" i="23"/>
  <c r="D195" i="13"/>
  <c r="D303" i="13"/>
  <c r="M17" i="13"/>
  <c r="D114" i="13"/>
  <c r="C24" i="23"/>
  <c r="C30" i="23"/>
  <c r="C72" i="23"/>
  <c r="D33" i="13"/>
  <c r="D87" i="13"/>
  <c r="I194" i="13"/>
  <c r="I184" i="13" s="1"/>
  <c r="D6" i="13"/>
  <c r="D3" i="13" s="1"/>
  <c r="C86" i="23"/>
  <c r="C88" i="23"/>
  <c r="E63" i="13"/>
  <c r="E278" i="13"/>
  <c r="E279" i="13"/>
  <c r="E144" i="13"/>
  <c r="E35" i="13"/>
  <c r="E252" i="13"/>
  <c r="E62" i="13"/>
  <c r="E251" i="13"/>
  <c r="E143" i="13"/>
  <c r="E36" i="13"/>
  <c r="H10" i="10"/>
  <c r="M55" i="31" s="1"/>
  <c r="J34" i="10"/>
  <c r="K85" i="31" s="1"/>
  <c r="I52" i="10"/>
  <c r="L84" i="31" s="1"/>
  <c r="K43" i="10"/>
  <c r="J86" i="31" s="1"/>
  <c r="I43" i="10"/>
  <c r="J84" i="31" s="1"/>
  <c r="H34" i="10"/>
  <c r="K83" i="31" s="1"/>
  <c r="K34" i="10"/>
  <c r="K86" i="31" s="1"/>
  <c r="E43" i="10"/>
  <c r="J80" i="31" s="1"/>
  <c r="E52" i="10"/>
  <c r="L80" i="31" s="1"/>
  <c r="H25" i="10"/>
  <c r="I83" i="31" s="1"/>
  <c r="F43" i="10"/>
  <c r="J81" i="31" s="1"/>
  <c r="L44" i="10"/>
  <c r="J52" i="10"/>
  <c r="L85" i="31" s="1"/>
  <c r="I25" i="10"/>
  <c r="I84" i="31" s="1"/>
  <c r="L45" i="10"/>
  <c r="J43" i="10"/>
  <c r="J85" i="31" s="1"/>
  <c r="I34" i="10"/>
  <c r="K84" i="31" s="1"/>
  <c r="K52" i="10"/>
  <c r="L86" i="31" s="1"/>
  <c r="L53" i="10"/>
  <c r="F52" i="10"/>
  <c r="L81" i="31" s="1"/>
  <c r="J25" i="10"/>
  <c r="I85" i="31" s="1"/>
  <c r="F34" i="10"/>
  <c r="K81" i="31" s="1"/>
  <c r="L35" i="10"/>
  <c r="L54" i="10"/>
  <c r="F25" i="10"/>
  <c r="I81" i="31" s="1"/>
  <c r="L26" i="10"/>
  <c r="L36" i="10"/>
  <c r="L16" i="10"/>
  <c r="L27" i="10"/>
  <c r="G25" i="10"/>
  <c r="I82" i="31" s="1"/>
  <c r="G40" i="10"/>
  <c r="J68" i="31" s="1"/>
  <c r="H22" i="10"/>
  <c r="I69" i="31" s="1"/>
  <c r="J38" i="32" s="1"/>
  <c r="E31" i="10"/>
  <c r="K66" i="31" s="1"/>
  <c r="J48" i="32" s="1"/>
  <c r="I40" i="10"/>
  <c r="J70" i="31" s="1"/>
  <c r="E22" i="10"/>
  <c r="I66" i="31" s="1"/>
  <c r="J35" i="32" s="1"/>
  <c r="J31" i="10"/>
  <c r="K71" i="31" s="1"/>
  <c r="J53" i="32" s="1"/>
  <c r="G49" i="10"/>
  <c r="L68" i="31" s="1"/>
  <c r="G22" i="10"/>
  <c r="I68" i="31" s="1"/>
  <c r="J37" i="32" s="1"/>
  <c r="K31" i="10"/>
  <c r="K72" i="31" s="1"/>
  <c r="J54" i="32" s="1"/>
  <c r="H40" i="10"/>
  <c r="J69" i="31" s="1"/>
  <c r="I31" i="10"/>
  <c r="K70" i="31" s="1"/>
  <c r="H49" i="10"/>
  <c r="L69" i="31" s="1"/>
  <c r="E40" i="10"/>
  <c r="J66" i="31" s="1"/>
  <c r="F40" i="10"/>
  <c r="J67" i="31" s="1"/>
  <c r="L41" i="10"/>
  <c r="G31" i="10"/>
  <c r="K68" i="31" s="1"/>
  <c r="J50" i="32" s="1"/>
  <c r="L42" i="10"/>
  <c r="L51" i="10"/>
  <c r="K40" i="10"/>
  <c r="J72" i="31" s="1"/>
  <c r="I22" i="10"/>
  <c r="I70" i="31" s="1"/>
  <c r="L50" i="10"/>
  <c r="F49" i="10"/>
  <c r="L67" i="31" s="1"/>
  <c r="L23" i="10"/>
  <c r="F22" i="10"/>
  <c r="I67" i="31" s="1"/>
  <c r="J36" i="32" s="1"/>
  <c r="I49" i="10"/>
  <c r="L70" i="31" s="1"/>
  <c r="L24" i="10"/>
  <c r="J22" i="10"/>
  <c r="I71" i="31" s="1"/>
  <c r="J40" i="32" s="1"/>
  <c r="F31" i="10"/>
  <c r="K67" i="31" s="1"/>
  <c r="J49" i="32" s="1"/>
  <c r="L32" i="10"/>
  <c r="L13" i="10"/>
  <c r="J40" i="10"/>
  <c r="J71" i="31" s="1"/>
  <c r="L33" i="10"/>
  <c r="J46" i="10"/>
  <c r="L57" i="31" s="1"/>
  <c r="G28" i="10"/>
  <c r="K54" i="31" s="1"/>
  <c r="E37" i="10"/>
  <c r="J52" i="31" s="1"/>
  <c r="J37" i="10"/>
  <c r="J57" i="31" s="1"/>
  <c r="K28" i="10"/>
  <c r="K58" i="31" s="1"/>
  <c r="E28" i="10"/>
  <c r="K52" i="31" s="1"/>
  <c r="I28" i="10"/>
  <c r="K56" i="31" s="1"/>
  <c r="D28" i="10"/>
  <c r="K51" i="31" s="1"/>
  <c r="G37" i="10"/>
  <c r="J54" i="31" s="1"/>
  <c r="E46" i="10"/>
  <c r="L52" i="31" s="1"/>
  <c r="K10" i="10"/>
  <c r="M58" i="31" s="1"/>
  <c r="H46" i="10"/>
  <c r="L55" i="31" s="1"/>
  <c r="L12" i="10"/>
  <c r="L29" i="10"/>
  <c r="F28" i="10"/>
  <c r="K53" i="31" s="1"/>
  <c r="J28" i="10"/>
  <c r="K57" i="31" s="1"/>
  <c r="L30" i="10"/>
  <c r="L11" i="10"/>
  <c r="L47" i="10"/>
  <c r="F46" i="10"/>
  <c r="L53" i="31" s="1"/>
  <c r="L48" i="10"/>
  <c r="L38" i="10"/>
  <c r="F37" i="10"/>
  <c r="J53" i="31" s="1"/>
  <c r="I37" i="10"/>
  <c r="J56" i="31" s="1"/>
  <c r="G46" i="10"/>
  <c r="L54" i="31" s="1"/>
  <c r="L39" i="10"/>
  <c r="K37" i="10"/>
  <c r="J58" i="31" s="1"/>
  <c r="D168" i="13"/>
  <c r="M85" i="13"/>
  <c r="M58" i="13"/>
  <c r="M112" i="13"/>
  <c r="M31" i="13"/>
  <c r="C56" i="23"/>
  <c r="D141" i="13"/>
  <c r="O8" i="13"/>
  <c r="C4" i="23"/>
  <c r="C6" i="23" s="1"/>
  <c r="C32" i="23"/>
  <c r="C40" i="23"/>
  <c r="E85" i="1"/>
  <c r="E170" i="13"/>
  <c r="E171" i="13"/>
  <c r="D95" i="31" s="1"/>
  <c r="L39" i="23"/>
  <c r="L31" i="23"/>
  <c r="B40" i="23"/>
  <c r="B36" i="23" s="1"/>
  <c r="L63" i="23"/>
  <c r="L55" i="23"/>
  <c r="M301" i="13"/>
  <c r="B28" i="23"/>
  <c r="B7" i="23"/>
  <c r="B20" i="23"/>
  <c r="B64" i="23"/>
  <c r="B62" i="23"/>
  <c r="B54" i="23"/>
  <c r="B56" i="23"/>
  <c r="C62" i="23"/>
  <c r="C64" i="23"/>
  <c r="J154" i="13"/>
  <c r="M152" i="13"/>
  <c r="M316" i="13"/>
  <c r="R95" i="13"/>
  <c r="G14" i="27" s="1"/>
  <c r="R68" i="13"/>
  <c r="G11" i="27" s="1"/>
  <c r="M262" i="13"/>
  <c r="R41" i="13"/>
  <c r="G5" i="27" s="1"/>
  <c r="M214" i="13"/>
  <c r="S214" i="13" s="1"/>
  <c r="R3" i="13"/>
  <c r="G15" i="27" s="1"/>
  <c r="S10" i="13"/>
  <c r="C3" i="13"/>
  <c r="M289" i="13"/>
  <c r="H194" i="13"/>
  <c r="H184" i="13" s="1"/>
  <c r="L221" i="13"/>
  <c r="L211" i="13" s="1"/>
  <c r="J221" i="13"/>
  <c r="J211" i="13" s="1"/>
  <c r="K221" i="13"/>
  <c r="K211" i="13" s="1"/>
  <c r="I221" i="13"/>
  <c r="I211" i="13" s="1"/>
  <c r="H221" i="13"/>
  <c r="H211" i="13" s="1"/>
  <c r="G221" i="13"/>
  <c r="K329" i="13"/>
  <c r="K319" i="13" s="1"/>
  <c r="M193" i="13"/>
  <c r="M220" i="13"/>
  <c r="M166" i="13"/>
  <c r="M139" i="13"/>
  <c r="G194" i="13"/>
  <c r="K194" i="13"/>
  <c r="K184" i="13" s="1"/>
  <c r="L194" i="13"/>
  <c r="L184" i="13" s="1"/>
  <c r="J194" i="13"/>
  <c r="J184" i="13" s="1"/>
  <c r="I329" i="13"/>
  <c r="I319" i="13" s="1"/>
  <c r="H329" i="13"/>
  <c r="H319" i="13" s="1"/>
  <c r="G329" i="13"/>
  <c r="F329" i="13"/>
  <c r="F319" i="13" s="1"/>
  <c r="E329" i="13"/>
  <c r="L329" i="13"/>
  <c r="L319" i="13" s="1"/>
  <c r="J329" i="13"/>
  <c r="J319" i="13" s="1"/>
  <c r="H167" i="13"/>
  <c r="H157" i="13" s="1"/>
  <c r="I167" i="13"/>
  <c r="I157" i="13" s="1"/>
  <c r="J167" i="13"/>
  <c r="J157" i="13" s="1"/>
  <c r="K167" i="13"/>
  <c r="K157" i="13" s="1"/>
  <c r="L167" i="13"/>
  <c r="L157" i="13" s="1"/>
  <c r="F167" i="13"/>
  <c r="F157" i="13" s="1"/>
  <c r="E157" i="13"/>
  <c r="G167" i="13"/>
  <c r="J140" i="13"/>
  <c r="J130" i="13" s="1"/>
  <c r="I140" i="13"/>
  <c r="I130" i="13" s="1"/>
  <c r="G140" i="13"/>
  <c r="L140" i="13"/>
  <c r="L130" i="13" s="1"/>
  <c r="K140" i="13"/>
  <c r="K130" i="13" s="1"/>
  <c r="F130" i="13"/>
  <c r="H248" i="13"/>
  <c r="H238" i="13" s="1"/>
  <c r="I248" i="13"/>
  <c r="I238" i="13" s="1"/>
  <c r="J248" i="13"/>
  <c r="J238" i="13" s="1"/>
  <c r="K248" i="13"/>
  <c r="K238" i="13" s="1"/>
  <c r="L248" i="13"/>
  <c r="L238" i="13" s="1"/>
  <c r="E238" i="13"/>
  <c r="F248" i="13"/>
  <c r="F238" i="13" s="1"/>
  <c r="G248" i="13"/>
  <c r="K275" i="13"/>
  <c r="K265" i="13" s="1"/>
  <c r="L275" i="13"/>
  <c r="L265" i="13" s="1"/>
  <c r="E275" i="13"/>
  <c r="F275" i="13"/>
  <c r="F265" i="13" s="1"/>
  <c r="G275" i="13"/>
  <c r="H275" i="13"/>
  <c r="H265" i="13" s="1"/>
  <c r="I275" i="13"/>
  <c r="I265" i="13" s="1"/>
  <c r="J275" i="13"/>
  <c r="J265" i="13" s="1"/>
  <c r="M302" i="13"/>
  <c r="E339" i="13" l="1"/>
  <c r="Q140" i="13"/>
  <c r="O3" i="13"/>
  <c r="D15" i="27" s="1"/>
  <c r="G116" i="32"/>
  <c r="H111" i="32"/>
  <c r="K111" i="32" s="1"/>
  <c r="H124" i="32"/>
  <c r="K124" i="32" s="1"/>
  <c r="S242" i="13"/>
  <c r="H110" i="32"/>
  <c r="K110" i="32" s="1"/>
  <c r="H175" i="32"/>
  <c r="K175" i="32" s="1"/>
  <c r="H123" i="32"/>
  <c r="K123" i="32" s="1"/>
  <c r="H162" i="32"/>
  <c r="K162" i="32" s="1"/>
  <c r="H58" i="32"/>
  <c r="K58" i="32" s="1"/>
  <c r="D20" i="32"/>
  <c r="O194" i="13"/>
  <c r="F65" i="31"/>
  <c r="D21" i="32" s="1"/>
  <c r="F79" i="31"/>
  <c r="E73" i="32"/>
  <c r="E177" i="32"/>
  <c r="E125" i="32"/>
  <c r="E21" i="32"/>
  <c r="F225" i="13"/>
  <c r="F306" i="13"/>
  <c r="O306" i="13" s="1"/>
  <c r="F90" i="13"/>
  <c r="O90" i="13" s="1"/>
  <c r="F117" i="13"/>
  <c r="O117" i="13" s="1"/>
  <c r="F8" i="13"/>
  <c r="F198" i="13"/>
  <c r="C96" i="31" s="1"/>
  <c r="F332" i="13"/>
  <c r="O332" i="13" s="1"/>
  <c r="F116" i="13"/>
  <c r="O116" i="13" s="1"/>
  <c r="F197" i="13"/>
  <c r="O197" i="13" s="1"/>
  <c r="F9" i="13"/>
  <c r="F96" i="31" s="1"/>
  <c r="E22" i="32" s="1"/>
  <c r="F333" i="13"/>
  <c r="F224" i="13"/>
  <c r="O224" i="13" s="1"/>
  <c r="F305" i="13"/>
  <c r="O305" i="13" s="1"/>
  <c r="F89" i="13"/>
  <c r="O89" i="13" s="1"/>
  <c r="E330" i="13"/>
  <c r="C95" i="31"/>
  <c r="G64" i="32"/>
  <c r="G164" i="32"/>
  <c r="G60" i="32"/>
  <c r="J18" i="32"/>
  <c r="L73" i="31"/>
  <c r="F10" i="32" s="1"/>
  <c r="J73" i="31"/>
  <c r="J39" i="32"/>
  <c r="I73" i="31"/>
  <c r="J52" i="32"/>
  <c r="J44" i="32" s="1"/>
  <c r="K73" i="31"/>
  <c r="K46" i="32"/>
  <c r="K33" i="32"/>
  <c r="J141" i="32"/>
  <c r="J89" i="32"/>
  <c r="J144" i="32"/>
  <c r="J92" i="32"/>
  <c r="G27" i="32"/>
  <c r="J170" i="32"/>
  <c r="J118" i="32"/>
  <c r="J66" i="32"/>
  <c r="G73" i="32"/>
  <c r="J86" i="32"/>
  <c r="J138" i="32"/>
  <c r="G80" i="32"/>
  <c r="J145" i="32"/>
  <c r="J93" i="32"/>
  <c r="J139" i="32"/>
  <c r="J87" i="32"/>
  <c r="G78" i="32"/>
  <c r="J91" i="32"/>
  <c r="J143" i="32"/>
  <c r="J140" i="32"/>
  <c r="J88" i="32"/>
  <c r="J142" i="32"/>
  <c r="J90" i="32"/>
  <c r="G28" i="32"/>
  <c r="J171" i="32"/>
  <c r="J119" i="32"/>
  <c r="J67" i="32"/>
  <c r="G25" i="32"/>
  <c r="J168" i="32"/>
  <c r="J116" i="32"/>
  <c r="J64" i="32"/>
  <c r="H97" i="32"/>
  <c r="K97" i="32" s="1"/>
  <c r="H84" i="32"/>
  <c r="K84" i="32" s="1"/>
  <c r="G184" i="32"/>
  <c r="G177" i="32"/>
  <c r="G125" i="32"/>
  <c r="G182" i="32"/>
  <c r="S302" i="13"/>
  <c r="S152" i="13"/>
  <c r="O221" i="13"/>
  <c r="S44" i="13"/>
  <c r="S71" i="13"/>
  <c r="G184" i="13"/>
  <c r="P194" i="13"/>
  <c r="Q194" i="13"/>
  <c r="S17" i="13"/>
  <c r="H149" i="32"/>
  <c r="K149" i="32" s="1"/>
  <c r="E47" i="32"/>
  <c r="E151" i="32"/>
  <c r="E99" i="32"/>
  <c r="H45" i="32"/>
  <c r="G319" i="13"/>
  <c r="Q329" i="13"/>
  <c r="P329" i="13"/>
  <c r="E319" i="13"/>
  <c r="O329" i="13"/>
  <c r="B95" i="31"/>
  <c r="G211" i="13"/>
  <c r="Q221" i="13"/>
  <c r="P221" i="13"/>
  <c r="D150" i="32"/>
  <c r="H150" i="32" s="1"/>
  <c r="K150" i="32" s="1"/>
  <c r="D98" i="32"/>
  <c r="H98" i="32" s="1"/>
  <c r="K98" i="32" s="1"/>
  <c r="H46" i="32"/>
  <c r="D85" i="32"/>
  <c r="D137" i="32"/>
  <c r="G155" i="32"/>
  <c r="G51" i="32"/>
  <c r="G130" i="32"/>
  <c r="I87" i="31"/>
  <c r="G132" i="32"/>
  <c r="L87" i="31"/>
  <c r="K87" i="31"/>
  <c r="G75" i="32"/>
  <c r="G127" i="32"/>
  <c r="G179" i="32"/>
  <c r="G77" i="32"/>
  <c r="G181" i="32"/>
  <c r="G129" i="32"/>
  <c r="G66" i="32"/>
  <c r="G170" i="32"/>
  <c r="G118" i="32"/>
  <c r="G67" i="32"/>
  <c r="G119" i="32"/>
  <c r="G171" i="32"/>
  <c r="G61" i="32"/>
  <c r="G113" i="32"/>
  <c r="G165" i="32"/>
  <c r="G74" i="32"/>
  <c r="G178" i="32"/>
  <c r="G126" i="32"/>
  <c r="G50" i="32"/>
  <c r="G102" i="32"/>
  <c r="G154" i="32"/>
  <c r="J87" i="31"/>
  <c r="G76" i="32"/>
  <c r="G180" i="32"/>
  <c r="G128" i="32"/>
  <c r="G63" i="32"/>
  <c r="G115" i="32"/>
  <c r="G167" i="32"/>
  <c r="G79" i="32"/>
  <c r="G131" i="32"/>
  <c r="G183" i="32"/>
  <c r="L59" i="31"/>
  <c r="G54" i="32"/>
  <c r="G106" i="32"/>
  <c r="G158" i="32"/>
  <c r="G65" i="32"/>
  <c r="G117" i="32"/>
  <c r="G169" i="32"/>
  <c r="G53" i="32"/>
  <c r="G105" i="32"/>
  <c r="G157" i="32"/>
  <c r="G47" i="32"/>
  <c r="G99" i="32"/>
  <c r="G151" i="32"/>
  <c r="K59" i="31"/>
  <c r="J59" i="31"/>
  <c r="G49" i="32"/>
  <c r="G101" i="32"/>
  <c r="G153" i="32"/>
  <c r="G52" i="32"/>
  <c r="G156" i="32"/>
  <c r="G104" i="32"/>
  <c r="G62" i="32"/>
  <c r="G114" i="32"/>
  <c r="G166" i="32"/>
  <c r="G48" i="32"/>
  <c r="G152" i="32"/>
  <c r="G100" i="32"/>
  <c r="G238" i="13"/>
  <c r="M238" i="13" s="1"/>
  <c r="Q248" i="13"/>
  <c r="P248" i="13"/>
  <c r="E130" i="13"/>
  <c r="G265" i="13"/>
  <c r="P275" i="13"/>
  <c r="Q275" i="13"/>
  <c r="G130" i="13"/>
  <c r="O248" i="13"/>
  <c r="O167" i="13"/>
  <c r="E265" i="13"/>
  <c r="O275" i="13"/>
  <c r="G157" i="13"/>
  <c r="Q167" i="13"/>
  <c r="P167" i="13"/>
  <c r="S100" i="13"/>
  <c r="F18" i="32"/>
  <c r="H32" i="32"/>
  <c r="M19" i="13"/>
  <c r="S289" i="13"/>
  <c r="S127" i="13"/>
  <c r="Q19" i="13"/>
  <c r="S181" i="13"/>
  <c r="S208" i="13"/>
  <c r="S316" i="13"/>
  <c r="S301" i="13"/>
  <c r="S139" i="13"/>
  <c r="Q154" i="13"/>
  <c r="Q46" i="13"/>
  <c r="S85" i="13"/>
  <c r="S220" i="13"/>
  <c r="S193" i="13"/>
  <c r="S112" i="13"/>
  <c r="M73" i="13"/>
  <c r="Q73" i="13"/>
  <c r="S31" i="13"/>
  <c r="S262" i="13"/>
  <c r="S166" i="13"/>
  <c r="S58" i="13"/>
  <c r="M154" i="13"/>
  <c r="M46" i="13"/>
  <c r="F184" i="13"/>
  <c r="M292" i="13"/>
  <c r="E211" i="13"/>
  <c r="C20" i="23"/>
  <c r="C28" i="23"/>
  <c r="M59" i="31"/>
  <c r="C2" i="32" s="1"/>
  <c r="E6" i="13"/>
  <c r="F252" i="13"/>
  <c r="O252" i="13" s="1"/>
  <c r="F144" i="13"/>
  <c r="B96" i="31" s="1"/>
  <c r="F62" i="13"/>
  <c r="O62" i="13" s="1"/>
  <c r="F63" i="13"/>
  <c r="O63" i="13" s="1"/>
  <c r="F278" i="13"/>
  <c r="O278" i="13" s="1"/>
  <c r="F279" i="13"/>
  <c r="O279" i="13" s="1"/>
  <c r="F251" i="13"/>
  <c r="O251" i="13" s="1"/>
  <c r="F35" i="13"/>
  <c r="O35" i="13" s="1"/>
  <c r="F36" i="13"/>
  <c r="O36" i="13" s="1"/>
  <c r="F143" i="13"/>
  <c r="F339" i="13" s="1"/>
  <c r="E60" i="13"/>
  <c r="E276" i="13"/>
  <c r="E195" i="13"/>
  <c r="E249" i="13"/>
  <c r="E33" i="13"/>
  <c r="C84" i="23"/>
  <c r="E303" i="13"/>
  <c r="E222" i="13"/>
  <c r="L10" i="10"/>
  <c r="L25" i="10"/>
  <c r="L34" i="10"/>
  <c r="L52" i="10"/>
  <c r="L43" i="10"/>
  <c r="L31" i="10"/>
  <c r="L49" i="10"/>
  <c r="L22" i="10"/>
  <c r="L40" i="10"/>
  <c r="L37" i="10"/>
  <c r="L28" i="10"/>
  <c r="L46" i="10"/>
  <c r="M49" i="13"/>
  <c r="M22" i="13"/>
  <c r="M76" i="13"/>
  <c r="M103" i="13"/>
  <c r="C7" i="23"/>
  <c r="C9" i="23" s="1"/>
  <c r="E168" i="13"/>
  <c r="D4" i="23"/>
  <c r="E114" i="13"/>
  <c r="E87" i="13"/>
  <c r="F85" i="1"/>
  <c r="F170" i="13"/>
  <c r="O170" i="13" s="1"/>
  <c r="F171" i="13"/>
  <c r="D96" i="31" s="1"/>
  <c r="E141" i="13"/>
  <c r="B3" i="23"/>
  <c r="C60" i="23"/>
  <c r="B60" i="23"/>
  <c r="L8" i="23"/>
  <c r="G16" i="27"/>
  <c r="M221" i="13"/>
  <c r="M194" i="13"/>
  <c r="M329" i="13"/>
  <c r="M275" i="13"/>
  <c r="M140" i="13"/>
  <c r="M167" i="13"/>
  <c r="M248" i="13"/>
  <c r="O143" i="13" l="1"/>
  <c r="O144" i="13"/>
  <c r="M265" i="13"/>
  <c r="H21" i="32"/>
  <c r="K21" i="32"/>
  <c r="F66" i="31"/>
  <c r="D22" i="32" s="1"/>
  <c r="F80" i="31"/>
  <c r="K20" i="32"/>
  <c r="H20" i="32"/>
  <c r="O333" i="13"/>
  <c r="G224" i="13"/>
  <c r="G305" i="13"/>
  <c r="G89" i="13"/>
  <c r="G9" i="13"/>
  <c r="F97" i="31" s="1"/>
  <c r="E23" i="32" s="1"/>
  <c r="G198" i="13"/>
  <c r="G225" i="13"/>
  <c r="G306" i="13"/>
  <c r="G90" i="13"/>
  <c r="G332" i="13"/>
  <c r="G116" i="13"/>
  <c r="G197" i="13"/>
  <c r="G333" i="13"/>
  <c r="G117" i="13"/>
  <c r="G8" i="13"/>
  <c r="E96" i="31"/>
  <c r="O225" i="13"/>
  <c r="O198" i="13"/>
  <c r="F330" i="13"/>
  <c r="E164" i="32"/>
  <c r="E112" i="32"/>
  <c r="E60" i="32"/>
  <c r="E61" i="32"/>
  <c r="E113" i="32"/>
  <c r="E165" i="32"/>
  <c r="F14" i="32"/>
  <c r="F6" i="32"/>
  <c r="I14" i="32"/>
  <c r="I10" i="32"/>
  <c r="I6" i="32"/>
  <c r="I13" i="32"/>
  <c r="I9" i="32"/>
  <c r="I5" i="32"/>
  <c r="F13" i="32"/>
  <c r="F9" i="32"/>
  <c r="F5" i="32"/>
  <c r="I7" i="32"/>
  <c r="I3" i="32"/>
  <c r="I11" i="32"/>
  <c r="F11" i="32"/>
  <c r="F3" i="32"/>
  <c r="F7" i="32"/>
  <c r="I4" i="32"/>
  <c r="I8" i="32"/>
  <c r="I12" i="32"/>
  <c r="F4" i="32"/>
  <c r="F8" i="32"/>
  <c r="F12" i="32"/>
  <c r="J57" i="32"/>
  <c r="J109" i="32"/>
  <c r="G18" i="32"/>
  <c r="J161" i="32"/>
  <c r="J135" i="32"/>
  <c r="J31" i="32"/>
  <c r="J83" i="32"/>
  <c r="S329" i="13"/>
  <c r="S140" i="13"/>
  <c r="M211" i="13"/>
  <c r="E138" i="32"/>
  <c r="E86" i="32"/>
  <c r="E34" i="32"/>
  <c r="S194" i="13"/>
  <c r="E48" i="32"/>
  <c r="E152" i="32"/>
  <c r="E100" i="32"/>
  <c r="E139" i="32"/>
  <c r="E35" i="32"/>
  <c r="E87" i="32"/>
  <c r="S221" i="13"/>
  <c r="O171" i="13"/>
  <c r="G70" i="32"/>
  <c r="C6" i="32" s="1"/>
  <c r="G161" i="32"/>
  <c r="C13" i="32" s="1"/>
  <c r="G109" i="32"/>
  <c r="C9" i="32" s="1"/>
  <c r="G57" i="32"/>
  <c r="C5" i="32" s="1"/>
  <c r="G174" i="32"/>
  <c r="C14" i="32" s="1"/>
  <c r="G122" i="32"/>
  <c r="C10" i="32" s="1"/>
  <c r="G148" i="32"/>
  <c r="C12" i="32" s="1"/>
  <c r="G96" i="32"/>
  <c r="C8" i="32" s="1"/>
  <c r="G44" i="32"/>
  <c r="C4" i="32" s="1"/>
  <c r="S167" i="13"/>
  <c r="S275" i="13"/>
  <c r="S248" i="13"/>
  <c r="S19" i="13"/>
  <c r="S46" i="13"/>
  <c r="S154" i="13"/>
  <c r="S73" i="13"/>
  <c r="F249" i="13"/>
  <c r="F276" i="13"/>
  <c r="F195" i="13"/>
  <c r="F6" i="13"/>
  <c r="F3" i="13" s="1"/>
  <c r="F222" i="13"/>
  <c r="F303" i="13"/>
  <c r="F33" i="13"/>
  <c r="F60" i="13"/>
  <c r="G144" i="13"/>
  <c r="G251" i="13"/>
  <c r="G143" i="13"/>
  <c r="G36" i="13"/>
  <c r="G252" i="13"/>
  <c r="G62" i="13"/>
  <c r="G63" i="13"/>
  <c r="G278" i="13"/>
  <c r="G35" i="13"/>
  <c r="G279" i="13"/>
  <c r="C3" i="23"/>
  <c r="F168" i="13"/>
  <c r="F141" i="13"/>
  <c r="G85" i="1"/>
  <c r="G170" i="13"/>
  <c r="G171" i="13"/>
  <c r="E4" i="23"/>
  <c r="D6" i="23"/>
  <c r="D7" i="23" s="1"/>
  <c r="F114" i="13"/>
  <c r="F87" i="13"/>
  <c r="E3" i="13"/>
  <c r="M184" i="13"/>
  <c r="M319" i="13"/>
  <c r="M130" i="13"/>
  <c r="M157" i="13"/>
  <c r="G339" i="13" l="1"/>
  <c r="H224" i="13"/>
  <c r="H305" i="13"/>
  <c r="H89" i="13"/>
  <c r="H225" i="13"/>
  <c r="E98" i="31" s="1"/>
  <c r="H306" i="13"/>
  <c r="H90" i="13"/>
  <c r="H197" i="13"/>
  <c r="H9" i="13"/>
  <c r="F98" i="31" s="1"/>
  <c r="E24" i="32" s="1"/>
  <c r="H332" i="13"/>
  <c r="H116" i="13"/>
  <c r="H333" i="13"/>
  <c r="H117" i="13"/>
  <c r="H198" i="13"/>
  <c r="C98" i="31" s="1"/>
  <c r="H8" i="13"/>
  <c r="E74" i="32"/>
  <c r="E126" i="32"/>
  <c r="E178" i="32"/>
  <c r="G330" i="13"/>
  <c r="K22" i="32"/>
  <c r="H22" i="32"/>
  <c r="F67" i="31"/>
  <c r="D23" i="32" s="1"/>
  <c r="F81" i="31"/>
  <c r="E97" i="31"/>
  <c r="C97" i="31"/>
  <c r="B97" i="31"/>
  <c r="D97" i="31"/>
  <c r="G60" i="13"/>
  <c r="H35" i="13"/>
  <c r="H251" i="13"/>
  <c r="H143" i="13"/>
  <c r="H144" i="13"/>
  <c r="B98" i="31" s="1"/>
  <c r="H36" i="13"/>
  <c r="H252" i="13"/>
  <c r="H62" i="13"/>
  <c r="H63" i="13"/>
  <c r="H278" i="13"/>
  <c r="H279" i="13"/>
  <c r="G195" i="13"/>
  <c r="G33" i="13"/>
  <c r="G222" i="13"/>
  <c r="G249" i="13"/>
  <c r="G303" i="13"/>
  <c r="G276" i="13"/>
  <c r="G6" i="13"/>
  <c r="E6" i="23"/>
  <c r="F4" i="23"/>
  <c r="G168" i="13"/>
  <c r="D9" i="23"/>
  <c r="G114" i="13"/>
  <c r="G87" i="13"/>
  <c r="G141" i="13"/>
  <c r="H85" i="1"/>
  <c r="H170" i="13"/>
  <c r="H171" i="13"/>
  <c r="D98" i="31" s="1"/>
  <c r="L6" i="10"/>
  <c r="C188" i="1"/>
  <c r="H339" i="13" l="1"/>
  <c r="H330" i="13"/>
  <c r="K23" i="32"/>
  <c r="H23" i="32"/>
  <c r="F68" i="31"/>
  <c r="D24" i="32" s="1"/>
  <c r="F82" i="31"/>
  <c r="E62" i="32"/>
  <c r="E166" i="32"/>
  <c r="E114" i="32"/>
  <c r="E76" i="32"/>
  <c r="E180" i="32"/>
  <c r="E128" i="32"/>
  <c r="E75" i="32"/>
  <c r="E179" i="32"/>
  <c r="E127" i="32"/>
  <c r="I8" i="13"/>
  <c r="I224" i="13"/>
  <c r="I305" i="13"/>
  <c r="I89" i="13"/>
  <c r="I225" i="13"/>
  <c r="I306" i="13"/>
  <c r="I90" i="13"/>
  <c r="I332" i="13"/>
  <c r="I116" i="13"/>
  <c r="I197" i="13"/>
  <c r="I9" i="13"/>
  <c r="F99" i="31" s="1"/>
  <c r="I333" i="13"/>
  <c r="I117" i="13"/>
  <c r="I198" i="13"/>
  <c r="E167" i="32"/>
  <c r="E63" i="32"/>
  <c r="E115" i="32"/>
  <c r="E50" i="32"/>
  <c r="E102" i="32"/>
  <c r="E154" i="32"/>
  <c r="E49" i="32"/>
  <c r="E101" i="32"/>
  <c r="E153" i="32"/>
  <c r="E140" i="32"/>
  <c r="E88" i="32"/>
  <c r="E36" i="32"/>
  <c r="E141" i="32"/>
  <c r="E37" i="32"/>
  <c r="E89" i="32"/>
  <c r="E99" i="13"/>
  <c r="E45" i="13"/>
  <c r="E18" i="13"/>
  <c r="E72" i="13"/>
  <c r="H222" i="13"/>
  <c r="H6" i="13"/>
  <c r="H3" i="13" s="1"/>
  <c r="H195" i="13"/>
  <c r="I35" i="13"/>
  <c r="I251" i="13"/>
  <c r="I143" i="13"/>
  <c r="I144" i="13"/>
  <c r="I36" i="13"/>
  <c r="I252" i="13"/>
  <c r="I62" i="13"/>
  <c r="I63" i="13"/>
  <c r="I279" i="13"/>
  <c r="I278" i="13"/>
  <c r="H33" i="13"/>
  <c r="H276" i="13"/>
  <c r="H60" i="13"/>
  <c r="H303" i="13"/>
  <c r="H249" i="13"/>
  <c r="E7" i="23"/>
  <c r="E9" i="23" s="1"/>
  <c r="F7" i="23" s="1"/>
  <c r="H168" i="13"/>
  <c r="G3" i="13"/>
  <c r="F6" i="23"/>
  <c r="H87" i="13"/>
  <c r="D3" i="23"/>
  <c r="G4" i="23"/>
  <c r="H141" i="13"/>
  <c r="H114" i="13"/>
  <c r="I85" i="1"/>
  <c r="I170" i="13"/>
  <c r="I171" i="13"/>
  <c r="D99" i="31" s="1"/>
  <c r="F261" i="13"/>
  <c r="F99" i="13"/>
  <c r="F180" i="13"/>
  <c r="F315" i="13"/>
  <c r="P315" i="13" s="1"/>
  <c r="F72" i="13"/>
  <c r="F288" i="13"/>
  <c r="F45" i="13"/>
  <c r="F234" i="13"/>
  <c r="F207" i="13"/>
  <c r="E153" i="13"/>
  <c r="F153" i="13"/>
  <c r="F18" i="13"/>
  <c r="E315" i="13"/>
  <c r="E234" i="13"/>
  <c r="E288" i="13"/>
  <c r="E207" i="13"/>
  <c r="E261" i="13"/>
  <c r="E180" i="13"/>
  <c r="B69" i="23"/>
  <c r="B101" i="23"/>
  <c r="B93" i="23"/>
  <c r="B77" i="23"/>
  <c r="D12" i="9"/>
  <c r="E12" i="9"/>
  <c r="H12" i="9"/>
  <c r="C12" i="9"/>
  <c r="F12" i="9"/>
  <c r="I12" i="9"/>
  <c r="J12" i="9"/>
  <c r="I13" i="31" s="1"/>
  <c r="K12" i="9"/>
  <c r="I14" i="31" s="1"/>
  <c r="G12" i="9"/>
  <c r="I339" i="13" l="1"/>
  <c r="I330" i="13"/>
  <c r="J333" i="13"/>
  <c r="J117" i="13"/>
  <c r="J198" i="13"/>
  <c r="C100" i="31" s="1"/>
  <c r="J8" i="13"/>
  <c r="J306" i="13"/>
  <c r="J90" i="13"/>
  <c r="J225" i="13"/>
  <c r="E100" i="31" s="1"/>
  <c r="J224" i="13"/>
  <c r="J305" i="13"/>
  <c r="J89" i="13"/>
  <c r="J332" i="13"/>
  <c r="J116" i="13"/>
  <c r="J197" i="13"/>
  <c r="J9" i="13"/>
  <c r="F100" i="31" s="1"/>
  <c r="E26" i="32" s="1"/>
  <c r="C99" i="31"/>
  <c r="K24" i="32"/>
  <c r="H24" i="32"/>
  <c r="E99" i="31"/>
  <c r="E25" i="32"/>
  <c r="F83" i="31"/>
  <c r="F69" i="31"/>
  <c r="D25" i="32" s="1"/>
  <c r="I7" i="31"/>
  <c r="F138" i="32" s="1"/>
  <c r="F22" i="33"/>
  <c r="F4" i="33"/>
  <c r="I9" i="31"/>
  <c r="F140" i="32" s="1"/>
  <c r="H4" i="33"/>
  <c r="H22" i="33"/>
  <c r="I10" i="31"/>
  <c r="F89" i="32" s="1"/>
  <c r="I4" i="33"/>
  <c r="I22" i="33"/>
  <c r="I12" i="31"/>
  <c r="F143" i="32" s="1"/>
  <c r="K22" i="33"/>
  <c r="K4" i="33"/>
  <c r="I6" i="31"/>
  <c r="F85" i="32" s="1"/>
  <c r="E22" i="33"/>
  <c r="E4" i="33"/>
  <c r="I8" i="31"/>
  <c r="F139" i="32" s="1"/>
  <c r="G4" i="33"/>
  <c r="G22" i="33"/>
  <c r="I11" i="31"/>
  <c r="F38" i="32" s="1"/>
  <c r="J4" i="33"/>
  <c r="J22" i="33"/>
  <c r="P288" i="13"/>
  <c r="P261" i="13"/>
  <c r="P234" i="13"/>
  <c r="P207" i="13"/>
  <c r="P180" i="13"/>
  <c r="P153" i="13"/>
  <c r="O234" i="13"/>
  <c r="O315" i="13"/>
  <c r="O261" i="13"/>
  <c r="O180" i="13"/>
  <c r="O207" i="13"/>
  <c r="B99" i="31"/>
  <c r="O288" i="13"/>
  <c r="P45" i="13"/>
  <c r="D8" i="31"/>
  <c r="E51" i="32"/>
  <c r="E103" i="32"/>
  <c r="E155" i="32"/>
  <c r="O18" i="13"/>
  <c r="B7" i="31"/>
  <c r="O45" i="13"/>
  <c r="D7" i="31"/>
  <c r="O99" i="13"/>
  <c r="E7" i="31"/>
  <c r="O153" i="13"/>
  <c r="P72" i="13"/>
  <c r="C8" i="31"/>
  <c r="P18" i="13"/>
  <c r="B8" i="31"/>
  <c r="P99" i="13"/>
  <c r="E8" i="31"/>
  <c r="E74" i="13"/>
  <c r="F74" i="13"/>
  <c r="O72" i="13"/>
  <c r="C7" i="31"/>
  <c r="F142" i="32"/>
  <c r="F145" i="32"/>
  <c r="F93" i="32"/>
  <c r="F41" i="32"/>
  <c r="F144" i="32"/>
  <c r="F92" i="32"/>
  <c r="F40" i="32"/>
  <c r="F317" i="13"/>
  <c r="F313" i="13" s="1"/>
  <c r="F290" i="13"/>
  <c r="F286" i="13" s="1"/>
  <c r="E101" i="13"/>
  <c r="M99" i="13"/>
  <c r="F101" i="13"/>
  <c r="F236" i="13"/>
  <c r="F232" i="13" s="1"/>
  <c r="E236" i="13"/>
  <c r="E232" i="13" s="1"/>
  <c r="M126" i="13"/>
  <c r="F182" i="13"/>
  <c r="C66" i="31" s="1"/>
  <c r="E182" i="13"/>
  <c r="C65" i="31" s="1"/>
  <c r="F155" i="13"/>
  <c r="D66" i="31" s="1"/>
  <c r="E155" i="13"/>
  <c r="D65" i="31" s="1"/>
  <c r="M72" i="13"/>
  <c r="E263" i="13"/>
  <c r="E259" i="13" s="1"/>
  <c r="F263" i="13"/>
  <c r="F259" i="13" s="1"/>
  <c r="F20" i="13"/>
  <c r="B80" i="31" s="1"/>
  <c r="E20" i="13"/>
  <c r="B79" i="31" s="1"/>
  <c r="M18" i="13"/>
  <c r="E209" i="13"/>
  <c r="E65" i="31" s="1"/>
  <c r="F209" i="13"/>
  <c r="M45" i="13"/>
  <c r="F47" i="13"/>
  <c r="E47" i="13"/>
  <c r="H101" i="13"/>
  <c r="E82" i="31" s="1"/>
  <c r="G101" i="13"/>
  <c r="E81" i="31" s="1"/>
  <c r="J101" i="13"/>
  <c r="I101" i="13"/>
  <c r="E83" i="31" s="1"/>
  <c r="K101" i="13"/>
  <c r="L101" i="13"/>
  <c r="J20" i="13"/>
  <c r="H20" i="13"/>
  <c r="B82" i="31" s="1"/>
  <c r="K20" i="13"/>
  <c r="L20" i="13"/>
  <c r="G20" i="13"/>
  <c r="B81" i="31" s="1"/>
  <c r="I20" i="13"/>
  <c r="B83" i="31" s="1"/>
  <c r="H47" i="13"/>
  <c r="D82" i="31" s="1"/>
  <c r="I47" i="13"/>
  <c r="D83" i="31" s="1"/>
  <c r="K47" i="13"/>
  <c r="L47" i="13"/>
  <c r="G47" i="13"/>
  <c r="D81" i="31" s="1"/>
  <c r="J47" i="13"/>
  <c r="L74" i="13"/>
  <c r="K74" i="13"/>
  <c r="J74" i="13"/>
  <c r="G74" i="13"/>
  <c r="C81" i="31" s="1"/>
  <c r="H74" i="13"/>
  <c r="C82" i="31" s="1"/>
  <c r="I74" i="13"/>
  <c r="C83" i="31" s="1"/>
  <c r="I114" i="13"/>
  <c r="I195" i="13"/>
  <c r="I249" i="13"/>
  <c r="I222" i="13"/>
  <c r="J279" i="13"/>
  <c r="J35" i="13"/>
  <c r="J252" i="13"/>
  <c r="J62" i="13"/>
  <c r="J251" i="13"/>
  <c r="J143" i="13"/>
  <c r="J144" i="13"/>
  <c r="B100" i="31" s="1"/>
  <c r="J36" i="13"/>
  <c r="J63" i="13"/>
  <c r="J278" i="13"/>
  <c r="I33" i="13"/>
  <c r="I303" i="13"/>
  <c r="I60" i="13"/>
  <c r="I276" i="13"/>
  <c r="E3" i="23"/>
  <c r="F9" i="23"/>
  <c r="G7" i="23" s="1"/>
  <c r="F85" i="23"/>
  <c r="D85" i="23"/>
  <c r="I6" i="13"/>
  <c r="I3" i="13" s="1"/>
  <c r="I168" i="13"/>
  <c r="I87" i="13"/>
  <c r="H4" i="23"/>
  <c r="H6" i="23" s="1"/>
  <c r="G6" i="23"/>
  <c r="I141" i="13"/>
  <c r="J85" i="1"/>
  <c r="J170" i="13"/>
  <c r="J171" i="13"/>
  <c r="D100" i="31" s="1"/>
  <c r="D14" i="23"/>
  <c r="D47" i="23"/>
  <c r="B14" i="23"/>
  <c r="B16" i="23" s="1"/>
  <c r="B47" i="23"/>
  <c r="I14" i="23"/>
  <c r="I47" i="23"/>
  <c r="J14" i="23"/>
  <c r="J47" i="23"/>
  <c r="C47" i="23"/>
  <c r="C48" i="23" s="1"/>
  <c r="C14" i="23"/>
  <c r="C16" i="23" s="1"/>
  <c r="G14" i="23"/>
  <c r="G47" i="23"/>
  <c r="K47" i="23"/>
  <c r="K14" i="23"/>
  <c r="F14" i="23"/>
  <c r="F47" i="23"/>
  <c r="H14" i="23"/>
  <c r="H47" i="23"/>
  <c r="E14" i="23"/>
  <c r="E47" i="23"/>
  <c r="F29" i="23"/>
  <c r="D12" i="23"/>
  <c r="F12" i="23"/>
  <c r="D61" i="23"/>
  <c r="F61" i="23"/>
  <c r="D29" i="23"/>
  <c r="D21" i="23"/>
  <c r="F21" i="23"/>
  <c r="F77" i="23"/>
  <c r="F93" i="23"/>
  <c r="F101" i="23"/>
  <c r="F53" i="23"/>
  <c r="H155" i="13"/>
  <c r="D68" i="31" s="1"/>
  <c r="I155" i="13"/>
  <c r="D69" i="31" s="1"/>
  <c r="K155" i="13"/>
  <c r="G155" i="13"/>
  <c r="D67" i="31" s="1"/>
  <c r="L155" i="13"/>
  <c r="J155" i="13"/>
  <c r="F37" i="23"/>
  <c r="F69" i="23"/>
  <c r="F45" i="23"/>
  <c r="G263" i="13"/>
  <c r="G259" i="13" s="1"/>
  <c r="H263" i="13"/>
  <c r="H259" i="13" s="1"/>
  <c r="I263" i="13"/>
  <c r="I259" i="13" s="1"/>
  <c r="J263" i="13"/>
  <c r="J259" i="13" s="1"/>
  <c r="L263" i="13"/>
  <c r="L259" i="13" s="1"/>
  <c r="K263" i="13"/>
  <c r="K259" i="13" s="1"/>
  <c r="H317" i="13"/>
  <c r="H313" i="13" s="1"/>
  <c r="I317" i="13"/>
  <c r="I313" i="13" s="1"/>
  <c r="J317" i="13"/>
  <c r="J313" i="13" s="1"/>
  <c r="K317" i="13"/>
  <c r="K313" i="13" s="1"/>
  <c r="L317" i="13"/>
  <c r="L313" i="13" s="1"/>
  <c r="G317" i="13"/>
  <c r="G313" i="13" s="1"/>
  <c r="H290" i="13"/>
  <c r="H286" i="13" s="1"/>
  <c r="I290" i="13"/>
  <c r="I286" i="13" s="1"/>
  <c r="J290" i="13"/>
  <c r="J286" i="13" s="1"/>
  <c r="K290" i="13"/>
  <c r="K286" i="13" s="1"/>
  <c r="L290" i="13"/>
  <c r="L286" i="13" s="1"/>
  <c r="G290" i="13"/>
  <c r="G286" i="13" s="1"/>
  <c r="K236" i="13"/>
  <c r="K232" i="13" s="1"/>
  <c r="L236" i="13"/>
  <c r="L232" i="13" s="1"/>
  <c r="G236" i="13"/>
  <c r="G232" i="13" s="1"/>
  <c r="J236" i="13"/>
  <c r="J232" i="13" s="1"/>
  <c r="H236" i="13"/>
  <c r="H232" i="13" s="1"/>
  <c r="I236" i="13"/>
  <c r="I232" i="13" s="1"/>
  <c r="H209" i="13"/>
  <c r="E68" i="31" s="1"/>
  <c r="I209" i="13"/>
  <c r="E69" i="31" s="1"/>
  <c r="J209" i="13"/>
  <c r="K209" i="13"/>
  <c r="L209" i="13"/>
  <c r="G209" i="13"/>
  <c r="E67" i="31" s="1"/>
  <c r="H182" i="13"/>
  <c r="C68" i="31" s="1"/>
  <c r="I182" i="13"/>
  <c r="C69" i="31" s="1"/>
  <c r="J182" i="13"/>
  <c r="K182" i="13"/>
  <c r="L182" i="13"/>
  <c r="G182" i="13"/>
  <c r="C67" i="31" s="1"/>
  <c r="D45" i="23"/>
  <c r="D69" i="23"/>
  <c r="E290" i="13"/>
  <c r="E286" i="13" s="1"/>
  <c r="D93" i="23"/>
  <c r="D37" i="23"/>
  <c r="D53" i="23"/>
  <c r="D77" i="23"/>
  <c r="D101" i="23"/>
  <c r="E317" i="13"/>
  <c r="E313" i="13" s="1"/>
  <c r="K21" i="10"/>
  <c r="K20" i="10"/>
  <c r="J21" i="10"/>
  <c r="J20" i="10"/>
  <c r="I20" i="10"/>
  <c r="H21" i="10"/>
  <c r="H20" i="10"/>
  <c r="G21" i="10"/>
  <c r="G20" i="10"/>
  <c r="I21" i="10"/>
  <c r="F21" i="10"/>
  <c r="F20" i="10"/>
  <c r="E21" i="10"/>
  <c r="E20" i="10"/>
  <c r="D21" i="10"/>
  <c r="D20" i="10"/>
  <c r="L12" i="9"/>
  <c r="M315" i="13"/>
  <c r="C102" i="23"/>
  <c r="C104" i="23" s="1"/>
  <c r="B102" i="23"/>
  <c r="C94" i="23"/>
  <c r="C96" i="23" s="1"/>
  <c r="B94" i="23"/>
  <c r="C78" i="23"/>
  <c r="C76" i="23" s="1"/>
  <c r="B78" i="23"/>
  <c r="B76" i="23" s="1"/>
  <c r="M288" i="13"/>
  <c r="M180" i="13"/>
  <c r="C70" i="23"/>
  <c r="C68" i="23" s="1"/>
  <c r="B70" i="23"/>
  <c r="B68" i="23" s="1"/>
  <c r="C46" i="23"/>
  <c r="C257" i="13"/>
  <c r="M261" i="13"/>
  <c r="M207" i="13"/>
  <c r="M234" i="13"/>
  <c r="M153" i="13"/>
  <c r="J339" i="13" l="1"/>
  <c r="F88" i="32"/>
  <c r="F36" i="32"/>
  <c r="F141" i="32"/>
  <c r="F90" i="32"/>
  <c r="F137" i="32"/>
  <c r="H137" i="32" s="1"/>
  <c r="K137" i="32" s="1"/>
  <c r="F86" i="32"/>
  <c r="F34" i="32"/>
  <c r="F91" i="32"/>
  <c r="F39" i="32"/>
  <c r="F37" i="32"/>
  <c r="L22" i="33"/>
  <c r="E70" i="31"/>
  <c r="D130" i="32" s="1"/>
  <c r="E84" i="31"/>
  <c r="D78" i="32" s="1"/>
  <c r="C70" i="31"/>
  <c r="D169" i="32" s="1"/>
  <c r="C84" i="31"/>
  <c r="D65" i="32" s="1"/>
  <c r="K332" i="13"/>
  <c r="P332" i="13" s="1"/>
  <c r="K116" i="13"/>
  <c r="P116" i="13" s="1"/>
  <c r="K197" i="13"/>
  <c r="P197" i="13" s="1"/>
  <c r="K9" i="13"/>
  <c r="F101" i="31" s="1"/>
  <c r="K306" i="13"/>
  <c r="P306" i="13" s="1"/>
  <c r="K90" i="13"/>
  <c r="P90" i="13" s="1"/>
  <c r="K333" i="13"/>
  <c r="P333" i="13" s="1"/>
  <c r="K117" i="13"/>
  <c r="P117" i="13" s="1"/>
  <c r="K198" i="13"/>
  <c r="K224" i="13"/>
  <c r="P224" i="13" s="1"/>
  <c r="K8" i="13"/>
  <c r="K305" i="13"/>
  <c r="P305" i="13" s="1"/>
  <c r="K89" i="13"/>
  <c r="P89" i="13" s="1"/>
  <c r="K225" i="13"/>
  <c r="E64" i="32"/>
  <c r="E168" i="32"/>
  <c r="E116" i="32"/>
  <c r="E78" i="32"/>
  <c r="E130" i="32"/>
  <c r="E182" i="32"/>
  <c r="C85" i="31"/>
  <c r="D66" i="32" s="1"/>
  <c r="E77" i="32"/>
  <c r="E181" i="32"/>
  <c r="E129" i="32"/>
  <c r="F70" i="31"/>
  <c r="D26" i="32" s="1"/>
  <c r="F84" i="31"/>
  <c r="K25" i="32"/>
  <c r="H25" i="32"/>
  <c r="J330" i="13"/>
  <c r="J311" i="13" s="1"/>
  <c r="E65" i="32"/>
  <c r="E117" i="32"/>
  <c r="E169" i="32"/>
  <c r="B66" i="31"/>
  <c r="D139" i="32" s="1"/>
  <c r="B69" i="31"/>
  <c r="D90" i="32" s="1"/>
  <c r="B68" i="31"/>
  <c r="D89" i="32" s="1"/>
  <c r="B67" i="31"/>
  <c r="D88" i="32" s="1"/>
  <c r="B65" i="31"/>
  <c r="D86" i="32" s="1"/>
  <c r="L4" i="33"/>
  <c r="F87" i="32"/>
  <c r="I15" i="31"/>
  <c r="F35" i="32"/>
  <c r="F33" i="32"/>
  <c r="H33" i="32" s="1"/>
  <c r="D80" i="31"/>
  <c r="D48" i="32" s="1"/>
  <c r="L43" i="13"/>
  <c r="K43" i="13"/>
  <c r="J16" i="13"/>
  <c r="B84" i="31"/>
  <c r="D39" i="32" s="1"/>
  <c r="F205" i="13"/>
  <c r="F203" i="13" s="1"/>
  <c r="E66" i="31"/>
  <c r="J124" i="13"/>
  <c r="B70" i="31"/>
  <c r="D143" i="32" s="1"/>
  <c r="E80" i="31"/>
  <c r="D74" i="32" s="1"/>
  <c r="C80" i="31"/>
  <c r="D61" i="32" s="1"/>
  <c r="C79" i="31"/>
  <c r="D60" i="32" s="1"/>
  <c r="L151" i="13"/>
  <c r="E79" i="31"/>
  <c r="D73" i="32" s="1"/>
  <c r="L124" i="13"/>
  <c r="K16" i="13"/>
  <c r="J151" i="13"/>
  <c r="D70" i="31"/>
  <c r="D104" i="32" s="1"/>
  <c r="K151" i="13"/>
  <c r="J43" i="13"/>
  <c r="D84" i="31"/>
  <c r="D52" i="32" s="1"/>
  <c r="L16" i="13"/>
  <c r="K124" i="13"/>
  <c r="D79" i="31"/>
  <c r="D47" i="32" s="1"/>
  <c r="H85" i="32"/>
  <c r="K85" i="32" s="1"/>
  <c r="S180" i="13"/>
  <c r="D129" i="32"/>
  <c r="I205" i="13"/>
  <c r="I203" i="13" s="1"/>
  <c r="D127" i="32"/>
  <c r="H127" i="32" s="1"/>
  <c r="K127" i="32" s="1"/>
  <c r="G205" i="13"/>
  <c r="G203" i="13" s="1"/>
  <c r="D128" i="32"/>
  <c r="H128" i="32" s="1"/>
  <c r="K128" i="32" s="1"/>
  <c r="H205" i="13"/>
  <c r="H203" i="13" s="1"/>
  <c r="J205" i="13"/>
  <c r="E178" i="13"/>
  <c r="L205" i="13"/>
  <c r="K205" i="13"/>
  <c r="E205" i="13"/>
  <c r="E203" i="13" s="1"/>
  <c r="D114" i="32"/>
  <c r="H114" i="32" s="1"/>
  <c r="K114" i="32" s="1"/>
  <c r="G178" i="13"/>
  <c r="G176" i="13" s="1"/>
  <c r="D167" i="32"/>
  <c r="H167" i="32" s="1"/>
  <c r="K167" i="32" s="1"/>
  <c r="H178" i="13"/>
  <c r="H176" i="13" s="1"/>
  <c r="L178" i="13"/>
  <c r="K178" i="13"/>
  <c r="J178" i="13"/>
  <c r="I178" i="13"/>
  <c r="I176" i="13" s="1"/>
  <c r="F178" i="13"/>
  <c r="F176" i="13" s="1"/>
  <c r="S261" i="13"/>
  <c r="D153" i="32"/>
  <c r="H153" i="32" s="1"/>
  <c r="K153" i="32" s="1"/>
  <c r="G151" i="13"/>
  <c r="G149" i="13" s="1"/>
  <c r="D155" i="32"/>
  <c r="H155" i="32" s="1"/>
  <c r="K155" i="32" s="1"/>
  <c r="I151" i="13"/>
  <c r="I149" i="13" s="1"/>
  <c r="E151" i="13"/>
  <c r="E149" i="13" s="1"/>
  <c r="D154" i="32"/>
  <c r="H154" i="32" s="1"/>
  <c r="K154" i="32" s="1"/>
  <c r="H151" i="13"/>
  <c r="F151" i="13"/>
  <c r="F149" i="13" s="1"/>
  <c r="S153" i="13"/>
  <c r="E70" i="13"/>
  <c r="G124" i="13"/>
  <c r="F97" i="13"/>
  <c r="S315" i="13"/>
  <c r="E124" i="13"/>
  <c r="H124" i="13"/>
  <c r="E97" i="13"/>
  <c r="F124" i="13"/>
  <c r="I124" i="13"/>
  <c r="K97" i="13"/>
  <c r="D77" i="32"/>
  <c r="I97" i="13"/>
  <c r="J97" i="13"/>
  <c r="D75" i="32"/>
  <c r="H75" i="32" s="1"/>
  <c r="K75" i="32" s="1"/>
  <c r="G97" i="13"/>
  <c r="D76" i="32"/>
  <c r="H76" i="32" s="1"/>
  <c r="K76" i="32" s="1"/>
  <c r="H97" i="13"/>
  <c r="F43" i="13"/>
  <c r="L97" i="13"/>
  <c r="S234" i="13"/>
  <c r="J70" i="13"/>
  <c r="D50" i="32"/>
  <c r="H43" i="13"/>
  <c r="D62" i="32"/>
  <c r="H62" i="32" s="1"/>
  <c r="K62" i="32" s="1"/>
  <c r="G70" i="13"/>
  <c r="D51" i="32"/>
  <c r="I43" i="13"/>
  <c r="K70" i="13"/>
  <c r="L70" i="13"/>
  <c r="D49" i="32"/>
  <c r="G43" i="13"/>
  <c r="F70" i="13"/>
  <c r="D64" i="32"/>
  <c r="I70" i="13"/>
  <c r="E43" i="13"/>
  <c r="D63" i="32"/>
  <c r="H63" i="32" s="1"/>
  <c r="K63" i="32" s="1"/>
  <c r="H70" i="13"/>
  <c r="D38" i="32"/>
  <c r="I16" i="13"/>
  <c r="S207" i="13"/>
  <c r="D36" i="32"/>
  <c r="K36" i="32" s="1"/>
  <c r="G16" i="13"/>
  <c r="S126" i="13"/>
  <c r="F16" i="13"/>
  <c r="D37" i="32"/>
  <c r="K37" i="32" s="1"/>
  <c r="H16" i="13"/>
  <c r="E16" i="13"/>
  <c r="S288" i="13"/>
  <c r="S99" i="13"/>
  <c r="D15" i="31"/>
  <c r="S72" i="13"/>
  <c r="B15" i="31"/>
  <c r="S45" i="13"/>
  <c r="B61" i="32"/>
  <c r="B113" i="32"/>
  <c r="B165" i="32"/>
  <c r="B47" i="32"/>
  <c r="B99" i="32"/>
  <c r="B151" i="32"/>
  <c r="B48" i="32"/>
  <c r="B152" i="32"/>
  <c r="B100" i="32"/>
  <c r="B60" i="32"/>
  <c r="C15" i="31"/>
  <c r="B164" i="32"/>
  <c r="B112" i="32"/>
  <c r="B178" i="32"/>
  <c r="B74" i="32"/>
  <c r="B126" i="32"/>
  <c r="E143" i="32"/>
  <c r="E91" i="32"/>
  <c r="E39" i="32"/>
  <c r="B73" i="32"/>
  <c r="B125" i="32"/>
  <c r="B177" i="32"/>
  <c r="B138" i="32"/>
  <c r="B86" i="32"/>
  <c r="B34" i="32"/>
  <c r="E15" i="31"/>
  <c r="B139" i="32"/>
  <c r="B87" i="32"/>
  <c r="B35" i="32"/>
  <c r="E142" i="32"/>
  <c r="E38" i="32"/>
  <c r="E90" i="32"/>
  <c r="E52" i="32"/>
  <c r="E156" i="32"/>
  <c r="E104" i="32"/>
  <c r="F135" i="32"/>
  <c r="D151" i="32"/>
  <c r="D99" i="32"/>
  <c r="D125" i="32"/>
  <c r="D177" i="32"/>
  <c r="D100" i="32"/>
  <c r="D152" i="32"/>
  <c r="D168" i="32"/>
  <c r="D116" i="32"/>
  <c r="D115" i="32"/>
  <c r="H115" i="32" s="1"/>
  <c r="K115" i="32" s="1"/>
  <c r="D164" i="32"/>
  <c r="D112" i="32"/>
  <c r="D165" i="32"/>
  <c r="D113" i="32"/>
  <c r="D34" i="32"/>
  <c r="D35" i="32"/>
  <c r="E72" i="23"/>
  <c r="O74" i="13"/>
  <c r="O290" i="13"/>
  <c r="O284" i="13" s="1"/>
  <c r="O317" i="13"/>
  <c r="Q47" i="13"/>
  <c r="Q209" i="13"/>
  <c r="O20" i="13"/>
  <c r="O182" i="13"/>
  <c r="O176" i="13" s="1"/>
  <c r="Q290" i="13"/>
  <c r="O263" i="13"/>
  <c r="O257" i="13" s="1"/>
  <c r="Q20" i="13"/>
  <c r="O236" i="13"/>
  <c r="Q74" i="13"/>
  <c r="O155" i="13"/>
  <c r="O149" i="13" s="1"/>
  <c r="Q263" i="13"/>
  <c r="O209" i="13"/>
  <c r="O203" i="13" s="1"/>
  <c r="L12" i="23"/>
  <c r="S18" i="13"/>
  <c r="Q155" i="13"/>
  <c r="O101" i="13"/>
  <c r="Q182" i="13"/>
  <c r="Q236" i="13"/>
  <c r="Q317" i="13"/>
  <c r="Q101" i="13"/>
  <c r="O122" i="13"/>
  <c r="O47" i="13"/>
  <c r="M47" i="13"/>
  <c r="M74" i="13"/>
  <c r="M20" i="13"/>
  <c r="M101" i="13"/>
  <c r="M128" i="13"/>
  <c r="J6" i="13"/>
  <c r="J3" i="13" s="1"/>
  <c r="J249" i="13"/>
  <c r="K278" i="13"/>
  <c r="K279" i="13"/>
  <c r="K35" i="13"/>
  <c r="P35" i="13" s="1"/>
  <c r="K251" i="13"/>
  <c r="P251" i="13" s="1"/>
  <c r="K144" i="13"/>
  <c r="K36" i="13"/>
  <c r="K143" i="13"/>
  <c r="K63" i="13"/>
  <c r="P63" i="13" s="1"/>
  <c r="K252" i="13"/>
  <c r="P252" i="13" s="1"/>
  <c r="K62" i="13"/>
  <c r="D85" i="31" s="1"/>
  <c r="J60" i="13"/>
  <c r="J195" i="13"/>
  <c r="J276" i="13"/>
  <c r="I90" i="23" s="1"/>
  <c r="J222" i="13"/>
  <c r="J33" i="13"/>
  <c r="J303" i="13"/>
  <c r="O311" i="13"/>
  <c r="L20" i="10"/>
  <c r="L21" i="10"/>
  <c r="F3" i="23"/>
  <c r="G9" i="23"/>
  <c r="H7" i="23" s="1"/>
  <c r="D80" i="23"/>
  <c r="D72" i="23"/>
  <c r="F80" i="23"/>
  <c r="F18" i="23"/>
  <c r="E88" i="23"/>
  <c r="E86" i="23"/>
  <c r="D88" i="23"/>
  <c r="D86" i="23"/>
  <c r="I86" i="23"/>
  <c r="H89" i="23"/>
  <c r="H86" i="23"/>
  <c r="H90" i="23"/>
  <c r="G86" i="23"/>
  <c r="G90" i="23"/>
  <c r="G89" i="23"/>
  <c r="F89" i="23"/>
  <c r="F88" i="23"/>
  <c r="F86" i="23"/>
  <c r="E80" i="23"/>
  <c r="H78" i="23"/>
  <c r="H82" i="23"/>
  <c r="H81" i="23"/>
  <c r="G82" i="23"/>
  <c r="G81" i="23"/>
  <c r="F81" i="23"/>
  <c r="I82" i="23"/>
  <c r="I81" i="23"/>
  <c r="I73" i="23"/>
  <c r="I74" i="23"/>
  <c r="H74" i="23"/>
  <c r="H73" i="23"/>
  <c r="G73" i="23"/>
  <c r="G74" i="23"/>
  <c r="F72" i="23"/>
  <c r="F73" i="23"/>
  <c r="D22" i="23"/>
  <c r="F22" i="23"/>
  <c r="F32" i="23"/>
  <c r="D70" i="23"/>
  <c r="G54" i="23"/>
  <c r="D30" i="23"/>
  <c r="D54" i="23"/>
  <c r="F62" i="23"/>
  <c r="D13" i="23"/>
  <c r="D15" i="23" s="1"/>
  <c r="D62" i="23"/>
  <c r="D38" i="23"/>
  <c r="J114" i="13"/>
  <c r="J141" i="13"/>
  <c r="J168" i="13"/>
  <c r="K85" i="1"/>
  <c r="K171" i="13"/>
  <c r="D101" i="31" s="1"/>
  <c r="K170" i="13"/>
  <c r="D71" i="31" s="1"/>
  <c r="I4" i="23"/>
  <c r="I6" i="23" s="1"/>
  <c r="J87" i="13"/>
  <c r="C44" i="23"/>
  <c r="L47" i="23"/>
  <c r="B48" i="23"/>
  <c r="B44" i="23" s="1"/>
  <c r="L14" i="23"/>
  <c r="B11" i="23"/>
  <c r="B15" i="23"/>
  <c r="C11" i="23"/>
  <c r="C15" i="23"/>
  <c r="L93" i="23"/>
  <c r="F64" i="23"/>
  <c r="E40" i="23"/>
  <c r="D32" i="23"/>
  <c r="E13" i="23"/>
  <c r="E16" i="23"/>
  <c r="E30" i="23"/>
  <c r="E32" i="23"/>
  <c r="I66" i="23"/>
  <c r="I62" i="23"/>
  <c r="I65" i="23"/>
  <c r="F30" i="23"/>
  <c r="H57" i="23"/>
  <c r="H58" i="23"/>
  <c r="D56" i="23"/>
  <c r="F56" i="23"/>
  <c r="D40" i="23"/>
  <c r="F13" i="23"/>
  <c r="F15" i="23" s="1"/>
  <c r="H66" i="23"/>
  <c r="H62" i="23"/>
  <c r="H65" i="23"/>
  <c r="I34" i="23"/>
  <c r="I30" i="23"/>
  <c r="I33" i="23"/>
  <c r="G58" i="23"/>
  <c r="G57" i="23"/>
  <c r="F48" i="23"/>
  <c r="F57" i="23"/>
  <c r="E64" i="23"/>
  <c r="E62" i="23"/>
  <c r="E56" i="23"/>
  <c r="E48" i="23"/>
  <c r="H18" i="23"/>
  <c r="H17" i="23"/>
  <c r="H13" i="23"/>
  <c r="G62" i="23"/>
  <c r="G66" i="23"/>
  <c r="G65" i="23"/>
  <c r="H30" i="23"/>
  <c r="H33" i="23"/>
  <c r="H34" i="23"/>
  <c r="F24" i="23"/>
  <c r="F49" i="23"/>
  <c r="D48" i="23"/>
  <c r="D16" i="23"/>
  <c r="G17" i="23"/>
  <c r="G18" i="23"/>
  <c r="G13" i="23"/>
  <c r="I26" i="23"/>
  <c r="I22" i="23"/>
  <c r="I25" i="23"/>
  <c r="G33" i="23"/>
  <c r="G30" i="23"/>
  <c r="G34" i="23"/>
  <c r="I49" i="23"/>
  <c r="I50" i="23"/>
  <c r="I42" i="23"/>
  <c r="I41" i="23"/>
  <c r="F25" i="23"/>
  <c r="F40" i="23"/>
  <c r="I13" i="23"/>
  <c r="I17" i="23"/>
  <c r="I18" i="23"/>
  <c r="E22" i="23"/>
  <c r="E24" i="23"/>
  <c r="H22" i="23"/>
  <c r="H25" i="23"/>
  <c r="H26" i="23"/>
  <c r="H49" i="23"/>
  <c r="H50" i="23"/>
  <c r="H42" i="23"/>
  <c r="H41" i="23"/>
  <c r="I57" i="23"/>
  <c r="I58" i="23"/>
  <c r="D24" i="23"/>
  <c r="F41" i="23"/>
  <c r="D64" i="23"/>
  <c r="F33" i="23"/>
  <c r="G22" i="23"/>
  <c r="G25" i="23"/>
  <c r="G26" i="23"/>
  <c r="G46" i="23"/>
  <c r="G49" i="23"/>
  <c r="G50" i="23"/>
  <c r="G38" i="23"/>
  <c r="G41" i="23"/>
  <c r="G42" i="23"/>
  <c r="F65" i="23"/>
  <c r="F17" i="23"/>
  <c r="L53" i="23"/>
  <c r="L77" i="23"/>
  <c r="L45" i="23"/>
  <c r="L61" i="23"/>
  <c r="L101" i="23"/>
  <c r="L85" i="23"/>
  <c r="L69" i="23"/>
  <c r="L37" i="23"/>
  <c r="L29" i="23"/>
  <c r="B52" i="23"/>
  <c r="B104" i="23"/>
  <c r="B96" i="23"/>
  <c r="L21" i="23"/>
  <c r="B5" i="27"/>
  <c r="B4" i="27"/>
  <c r="B9" i="27"/>
  <c r="B6" i="27"/>
  <c r="F54" i="23"/>
  <c r="H70" i="23"/>
  <c r="D46" i="23"/>
  <c r="E70" i="23"/>
  <c r="D94" i="23"/>
  <c r="D96" i="23" s="1"/>
  <c r="I70" i="23"/>
  <c r="B12" i="27"/>
  <c r="I78" i="23"/>
  <c r="F78" i="23"/>
  <c r="F70" i="23"/>
  <c r="E54" i="23"/>
  <c r="G94" i="23"/>
  <c r="F46" i="23"/>
  <c r="D78" i="23"/>
  <c r="E94" i="23"/>
  <c r="E96" i="23" s="1"/>
  <c r="H54" i="23"/>
  <c r="H38" i="23"/>
  <c r="B3" i="27"/>
  <c r="E46" i="23"/>
  <c r="I46" i="23"/>
  <c r="H46" i="23"/>
  <c r="F94" i="23"/>
  <c r="F96" i="23" s="1"/>
  <c r="I54" i="23"/>
  <c r="G70" i="23"/>
  <c r="H94" i="23"/>
  <c r="G102" i="23"/>
  <c r="E102" i="23"/>
  <c r="E104" i="23" s="1"/>
  <c r="I94" i="23"/>
  <c r="F102" i="23"/>
  <c r="F104" i="23" s="1"/>
  <c r="H102" i="23"/>
  <c r="I38" i="23"/>
  <c r="G78" i="23"/>
  <c r="E38" i="23"/>
  <c r="B13" i="27"/>
  <c r="I102" i="23"/>
  <c r="D102" i="23"/>
  <c r="B14" i="27"/>
  <c r="B10" i="27"/>
  <c r="B11" i="27"/>
  <c r="B7" i="27"/>
  <c r="E19" i="10"/>
  <c r="I52" i="31" s="1"/>
  <c r="K19" i="10"/>
  <c r="I58" i="31" s="1"/>
  <c r="G230" i="13"/>
  <c r="B8" i="27"/>
  <c r="H19" i="10"/>
  <c r="I55" i="31" s="1"/>
  <c r="J19" i="10"/>
  <c r="I57" i="31" s="1"/>
  <c r="D149" i="13"/>
  <c r="C54" i="23"/>
  <c r="C52" i="23" s="1"/>
  <c r="C38" i="23"/>
  <c r="C36" i="23" s="1"/>
  <c r="F230" i="13"/>
  <c r="E78" i="23"/>
  <c r="F38" i="23"/>
  <c r="C203" i="13"/>
  <c r="C122" i="13"/>
  <c r="D230" i="13"/>
  <c r="C176" i="13"/>
  <c r="H230" i="13"/>
  <c r="C284" i="13"/>
  <c r="C230" i="13"/>
  <c r="I19" i="10"/>
  <c r="I56" i="31" s="1"/>
  <c r="F19" i="10"/>
  <c r="I53" i="31" s="1"/>
  <c r="D19" i="10"/>
  <c r="I51" i="31" s="1"/>
  <c r="G19" i="10"/>
  <c r="I54" i="31" s="1"/>
  <c r="E230" i="13"/>
  <c r="I230" i="13"/>
  <c r="I257" i="13"/>
  <c r="G257" i="13"/>
  <c r="D311" i="13"/>
  <c r="H257" i="13"/>
  <c r="D284" i="13"/>
  <c r="H284" i="13"/>
  <c r="D176" i="13"/>
  <c r="M290" i="13"/>
  <c r="D257" i="13"/>
  <c r="I284" i="13"/>
  <c r="E257" i="13"/>
  <c r="E176" i="13"/>
  <c r="M182" i="13"/>
  <c r="F257" i="13"/>
  <c r="G311" i="13"/>
  <c r="M209" i="13"/>
  <c r="I311" i="13"/>
  <c r="E284" i="13"/>
  <c r="G284" i="13"/>
  <c r="D122" i="13"/>
  <c r="D203" i="13"/>
  <c r="M263" i="13"/>
  <c r="M317" i="13"/>
  <c r="E311" i="13"/>
  <c r="C311" i="13"/>
  <c r="H311" i="13"/>
  <c r="F284" i="13"/>
  <c r="F311" i="13"/>
  <c r="C14" i="13"/>
  <c r="M155" i="13"/>
  <c r="C68" i="13"/>
  <c r="C41" i="13"/>
  <c r="M236" i="13"/>
  <c r="C149" i="13"/>
  <c r="K339" i="13" l="1"/>
  <c r="F83" i="32"/>
  <c r="F31" i="32"/>
  <c r="H129" i="32"/>
  <c r="K129" i="32" s="1"/>
  <c r="D87" i="32"/>
  <c r="H116" i="32"/>
  <c r="K116" i="32" s="1"/>
  <c r="C71" i="31"/>
  <c r="D170" i="32" s="1"/>
  <c r="H169" i="32"/>
  <c r="K169" i="32" s="1"/>
  <c r="H130" i="32"/>
  <c r="K130" i="32" s="1"/>
  <c r="H64" i="32"/>
  <c r="K64" i="32" s="1"/>
  <c r="H78" i="32"/>
  <c r="K78" i="32" s="1"/>
  <c r="E85" i="31"/>
  <c r="D79" i="32" s="1"/>
  <c r="H77" i="32"/>
  <c r="K77" i="32" s="1"/>
  <c r="J102" i="23"/>
  <c r="D138" i="32"/>
  <c r="H168" i="32"/>
  <c r="K168" i="32" s="1"/>
  <c r="H65" i="32"/>
  <c r="K65" i="32" s="1"/>
  <c r="E27" i="32"/>
  <c r="B71" i="31"/>
  <c r="F71" i="31"/>
  <c r="D27" i="32" s="1"/>
  <c r="F85" i="31"/>
  <c r="B85" i="31"/>
  <c r="D40" i="32" s="1"/>
  <c r="C101" i="31"/>
  <c r="P198" i="13"/>
  <c r="P176" i="13" s="1"/>
  <c r="K330" i="13"/>
  <c r="K311" i="13" s="1"/>
  <c r="K26" i="32"/>
  <c r="H26" i="32"/>
  <c r="L305" i="13"/>
  <c r="Q305" i="13" s="1"/>
  <c r="L332" i="13"/>
  <c r="L116" i="13"/>
  <c r="L197" i="13"/>
  <c r="L9" i="13"/>
  <c r="F102" i="31" s="1"/>
  <c r="E28" i="32" s="1"/>
  <c r="L89" i="13"/>
  <c r="L333" i="13"/>
  <c r="M333" i="13" s="1"/>
  <c r="L117" i="13"/>
  <c r="Q117" i="13" s="1"/>
  <c r="L198" i="13"/>
  <c r="M198" i="13" s="1"/>
  <c r="L8" i="13"/>
  <c r="L224" i="13"/>
  <c r="M224" i="13" s="1"/>
  <c r="L225" i="13"/>
  <c r="M225" i="13" s="1"/>
  <c r="L306" i="13"/>
  <c r="Q306" i="13" s="1"/>
  <c r="L90" i="13"/>
  <c r="Q90" i="13" s="1"/>
  <c r="E71" i="31"/>
  <c r="D131" i="32" s="1"/>
  <c r="E101" i="31"/>
  <c r="P225" i="13"/>
  <c r="P203" i="13" s="1"/>
  <c r="F122" i="13"/>
  <c r="H122" i="13"/>
  <c r="E122" i="13"/>
  <c r="I122" i="13"/>
  <c r="G122" i="13"/>
  <c r="D7" i="27"/>
  <c r="D3" i="27"/>
  <c r="D12" i="27"/>
  <c r="D9" i="27"/>
  <c r="D4" i="27"/>
  <c r="D10" i="27"/>
  <c r="D13" i="27"/>
  <c r="D53" i="32"/>
  <c r="K39" i="32"/>
  <c r="K34" i="32"/>
  <c r="K52" i="32"/>
  <c r="H51" i="32"/>
  <c r="K51" i="32"/>
  <c r="K47" i="32"/>
  <c r="H61" i="32"/>
  <c r="K61" i="32" s="1"/>
  <c r="K38" i="32"/>
  <c r="H49" i="32"/>
  <c r="K49" i="32"/>
  <c r="H74" i="32"/>
  <c r="K74" i="32" s="1"/>
  <c r="H48" i="32"/>
  <c r="K48" i="32"/>
  <c r="K35" i="32"/>
  <c r="H50" i="32"/>
  <c r="K50" i="32"/>
  <c r="D117" i="32"/>
  <c r="H117" i="32" s="1"/>
  <c r="K117" i="32" s="1"/>
  <c r="D182" i="32"/>
  <c r="H182" i="32" s="1"/>
  <c r="K182" i="32" s="1"/>
  <c r="D166" i="32"/>
  <c r="H166" i="32" s="1"/>
  <c r="K166" i="32" s="1"/>
  <c r="D180" i="32"/>
  <c r="H180" i="32" s="1"/>
  <c r="K180" i="32" s="1"/>
  <c r="D181" i="32"/>
  <c r="H181" i="32" s="1"/>
  <c r="K181" i="32" s="1"/>
  <c r="D101" i="32"/>
  <c r="H101" i="32" s="1"/>
  <c r="K101" i="32" s="1"/>
  <c r="D179" i="32"/>
  <c r="H179" i="32" s="1"/>
  <c r="K179" i="32" s="1"/>
  <c r="D156" i="32"/>
  <c r="H156" i="32" s="1"/>
  <c r="K156" i="32" s="1"/>
  <c r="D142" i="32"/>
  <c r="D140" i="32"/>
  <c r="D91" i="32"/>
  <c r="D103" i="32"/>
  <c r="H103" i="32" s="1"/>
  <c r="K103" i="32" s="1"/>
  <c r="D102" i="32"/>
  <c r="H102" i="32" s="1"/>
  <c r="K102" i="32" s="1"/>
  <c r="D141" i="32"/>
  <c r="H100" i="32"/>
  <c r="K100" i="32" s="1"/>
  <c r="H113" i="32"/>
  <c r="K113" i="32" s="1"/>
  <c r="B161" i="32"/>
  <c r="H104" i="32"/>
  <c r="K104" i="32" s="1"/>
  <c r="H99" i="32"/>
  <c r="K99" i="32" s="1"/>
  <c r="B122" i="32"/>
  <c r="H152" i="32"/>
  <c r="K152" i="32" s="1"/>
  <c r="B70" i="32"/>
  <c r="H73" i="32"/>
  <c r="K73" i="32" s="1"/>
  <c r="P62" i="13"/>
  <c r="P41" i="13" s="1"/>
  <c r="E5" i="27" s="1"/>
  <c r="B148" i="32"/>
  <c r="B31" i="32"/>
  <c r="B44" i="32"/>
  <c r="B83" i="32"/>
  <c r="H47" i="32"/>
  <c r="B174" i="32"/>
  <c r="P171" i="13"/>
  <c r="P36" i="13"/>
  <c r="P170" i="13"/>
  <c r="H52" i="32"/>
  <c r="P279" i="13"/>
  <c r="E53" i="32"/>
  <c r="E105" i="32"/>
  <c r="E157" i="32"/>
  <c r="B109" i="32"/>
  <c r="B96" i="32"/>
  <c r="P278" i="13"/>
  <c r="B101" i="31"/>
  <c r="H165" i="32"/>
  <c r="K165" i="32" s="1"/>
  <c r="B135" i="32"/>
  <c r="B57" i="32"/>
  <c r="H60" i="32"/>
  <c r="K60" i="32" s="1"/>
  <c r="E68" i="23"/>
  <c r="G138" i="32"/>
  <c r="G86" i="32"/>
  <c r="I59" i="31"/>
  <c r="G34" i="32"/>
  <c r="G143" i="32"/>
  <c r="H143" i="32" s="1"/>
  <c r="G91" i="32"/>
  <c r="G39" i="32"/>
  <c r="H39" i="32" s="1"/>
  <c r="G141" i="32"/>
  <c r="G37" i="32"/>
  <c r="H37" i="32" s="1"/>
  <c r="G89" i="32"/>
  <c r="G144" i="32"/>
  <c r="G40" i="32"/>
  <c r="G92" i="32"/>
  <c r="G142" i="32"/>
  <c r="G90" i="32"/>
  <c r="H90" i="32" s="1"/>
  <c r="G38" i="32"/>
  <c r="H38" i="32" s="1"/>
  <c r="G145" i="32"/>
  <c r="G41" i="32"/>
  <c r="G93" i="32"/>
  <c r="G139" i="32"/>
  <c r="H139" i="32" s="1"/>
  <c r="K139" i="32" s="1"/>
  <c r="G87" i="32"/>
  <c r="G35" i="32"/>
  <c r="H35" i="32" s="1"/>
  <c r="G140" i="32"/>
  <c r="G36" i="32"/>
  <c r="H36" i="32" s="1"/>
  <c r="G88" i="32"/>
  <c r="H88" i="32" s="1"/>
  <c r="K88" i="32" s="1"/>
  <c r="D126" i="32"/>
  <c r="H126" i="32" s="1"/>
  <c r="K126" i="32" s="1"/>
  <c r="D178" i="32"/>
  <c r="H177" i="32"/>
  <c r="K177" i="32" s="1"/>
  <c r="H125" i="32"/>
  <c r="K125" i="32" s="1"/>
  <c r="H151" i="32"/>
  <c r="K151" i="32" s="1"/>
  <c r="H112" i="32"/>
  <c r="K112" i="32" s="1"/>
  <c r="H164" i="32"/>
  <c r="K164" i="32" s="1"/>
  <c r="S74" i="13"/>
  <c r="S290" i="13"/>
  <c r="S317" i="13"/>
  <c r="S182" i="13"/>
  <c r="S101" i="13"/>
  <c r="S155" i="13"/>
  <c r="O95" i="13"/>
  <c r="D14" i="27" s="1"/>
  <c r="S47" i="13"/>
  <c r="S128" i="13"/>
  <c r="S236" i="13"/>
  <c r="S20" i="13"/>
  <c r="S209" i="13"/>
  <c r="S263" i="13"/>
  <c r="J230" i="13"/>
  <c r="J13" i="23"/>
  <c r="J15" i="23" s="1"/>
  <c r="J30" i="23"/>
  <c r="J33" i="23"/>
  <c r="J34" i="23"/>
  <c r="I89" i="23"/>
  <c r="I84" i="23" s="1"/>
  <c r="J257" i="13"/>
  <c r="J203" i="13"/>
  <c r="J176" i="13"/>
  <c r="J74" i="23"/>
  <c r="J42" i="23"/>
  <c r="J284" i="13"/>
  <c r="J94" i="23"/>
  <c r="K6" i="13"/>
  <c r="K3" i="13" s="1"/>
  <c r="J70" i="23"/>
  <c r="J86" i="23"/>
  <c r="J50" i="23"/>
  <c r="J81" i="23"/>
  <c r="J46" i="23"/>
  <c r="J62" i="23"/>
  <c r="J17" i="23"/>
  <c r="J22" i="23"/>
  <c r="J26" i="23"/>
  <c r="J25" i="23"/>
  <c r="J73" i="23"/>
  <c r="J38" i="23"/>
  <c r="J78" i="23"/>
  <c r="J65" i="23"/>
  <c r="J66" i="23"/>
  <c r="J82" i="23"/>
  <c r="J18" i="23"/>
  <c r="K195" i="13"/>
  <c r="K176" i="13" s="1"/>
  <c r="K276" i="13"/>
  <c r="K257" i="13" s="1"/>
  <c r="L278" i="13"/>
  <c r="Q278" i="13" s="1"/>
  <c r="L279" i="13"/>
  <c r="Q279" i="13" s="1"/>
  <c r="L63" i="13"/>
  <c r="Q63" i="13" s="1"/>
  <c r="L62" i="13"/>
  <c r="L35" i="13"/>
  <c r="L251" i="13"/>
  <c r="Q251" i="13" s="1"/>
  <c r="L143" i="13"/>
  <c r="L144" i="13"/>
  <c r="L36" i="13"/>
  <c r="M36" i="13" s="1"/>
  <c r="L252" i="13"/>
  <c r="Q252" i="13" s="1"/>
  <c r="K249" i="13"/>
  <c r="K230" i="13" s="1"/>
  <c r="K222" i="13"/>
  <c r="K203" i="13" s="1"/>
  <c r="K60" i="13"/>
  <c r="K41" i="13" s="1"/>
  <c r="K33" i="13"/>
  <c r="K14" i="13" s="1"/>
  <c r="K303" i="13"/>
  <c r="K284" i="13" s="1"/>
  <c r="P230" i="13"/>
  <c r="L19" i="10"/>
  <c r="G3" i="23"/>
  <c r="D76" i="23"/>
  <c r="G76" i="23"/>
  <c r="I76" i="23"/>
  <c r="D68" i="23"/>
  <c r="J57" i="23"/>
  <c r="J122" i="13"/>
  <c r="D84" i="23"/>
  <c r="E84" i="23"/>
  <c r="G84" i="23"/>
  <c r="H84" i="23"/>
  <c r="F84" i="23"/>
  <c r="E76" i="23"/>
  <c r="F76" i="23"/>
  <c r="H76" i="23"/>
  <c r="F68" i="23"/>
  <c r="H68" i="23"/>
  <c r="I68" i="23"/>
  <c r="G68" i="23"/>
  <c r="J149" i="13"/>
  <c r="D36" i="23"/>
  <c r="D28" i="23"/>
  <c r="D20" i="23"/>
  <c r="D60" i="23"/>
  <c r="J49" i="23"/>
  <c r="J58" i="23"/>
  <c r="J41" i="23"/>
  <c r="J54" i="23"/>
  <c r="D52" i="23"/>
  <c r="D11" i="23"/>
  <c r="K87" i="13"/>
  <c r="K114" i="13"/>
  <c r="K95" i="13" s="1"/>
  <c r="K141" i="13"/>
  <c r="K168" i="13"/>
  <c r="K149" i="13" s="1"/>
  <c r="J4" i="23"/>
  <c r="J6" i="23" s="1"/>
  <c r="L170" i="13"/>
  <c r="D72" i="31" s="1"/>
  <c r="L171" i="13"/>
  <c r="D102" i="31" s="1"/>
  <c r="H9" i="23"/>
  <c r="I7" i="23" s="1"/>
  <c r="E36" i="23"/>
  <c r="E52" i="23"/>
  <c r="F60" i="23"/>
  <c r="E60" i="23"/>
  <c r="G44" i="23"/>
  <c r="E20" i="23"/>
  <c r="I28" i="23"/>
  <c r="F28" i="23"/>
  <c r="G52" i="23"/>
  <c r="I36" i="23"/>
  <c r="G60" i="23"/>
  <c r="I52" i="23"/>
  <c r="H36" i="23"/>
  <c r="F52" i="23"/>
  <c r="F20" i="23"/>
  <c r="E44" i="23"/>
  <c r="G20" i="23"/>
  <c r="E28" i="23"/>
  <c r="F44" i="23"/>
  <c r="I20" i="23"/>
  <c r="H60" i="23"/>
  <c r="I60" i="23"/>
  <c r="F36" i="23"/>
  <c r="I15" i="23"/>
  <c r="I11" i="23"/>
  <c r="E15" i="23"/>
  <c r="E11" i="23"/>
  <c r="D44" i="23"/>
  <c r="G36" i="23"/>
  <c r="H20" i="23"/>
  <c r="G15" i="23"/>
  <c r="G11" i="23"/>
  <c r="H44" i="23"/>
  <c r="H52" i="23"/>
  <c r="G28" i="23"/>
  <c r="F11" i="23"/>
  <c r="I44" i="23"/>
  <c r="H28" i="23"/>
  <c r="H15" i="23"/>
  <c r="H11" i="23"/>
  <c r="L56" i="23"/>
  <c r="L48" i="23"/>
  <c r="M48" i="23" s="1"/>
  <c r="L40" i="23"/>
  <c r="L32" i="23"/>
  <c r="M32" i="23" s="1"/>
  <c r="L88" i="23"/>
  <c r="M88" i="23" s="1"/>
  <c r="L80" i="23"/>
  <c r="L72" i="23"/>
  <c r="M72" i="23" s="1"/>
  <c r="L96" i="23"/>
  <c r="M96" i="23" s="1"/>
  <c r="L24" i="23"/>
  <c r="D104" i="23"/>
  <c r="L104" i="23" s="1"/>
  <c r="M104" i="23" s="1"/>
  <c r="L64" i="23"/>
  <c r="M64" i="23" s="1"/>
  <c r="L16" i="23"/>
  <c r="M16" i="23" s="1"/>
  <c r="P311" i="13"/>
  <c r="O230" i="13"/>
  <c r="O68" i="13"/>
  <c r="D11" i="27" s="1"/>
  <c r="O41" i="13"/>
  <c r="D5" i="27" s="1"/>
  <c r="O14" i="13"/>
  <c r="D8" i="27" s="1"/>
  <c r="G68" i="13"/>
  <c r="G95" i="13"/>
  <c r="H95" i="13"/>
  <c r="H68" i="13"/>
  <c r="J95" i="13"/>
  <c r="E95" i="13"/>
  <c r="I95" i="13"/>
  <c r="D68" i="13"/>
  <c r="F68" i="13"/>
  <c r="F95" i="13"/>
  <c r="D95" i="13"/>
  <c r="E68" i="13"/>
  <c r="I68" i="13"/>
  <c r="J68" i="13"/>
  <c r="C95" i="13"/>
  <c r="E41" i="13"/>
  <c r="H41" i="13"/>
  <c r="I41" i="13"/>
  <c r="D41" i="13"/>
  <c r="J41" i="13"/>
  <c r="G41" i="13"/>
  <c r="F41" i="13"/>
  <c r="E14" i="13"/>
  <c r="I14" i="13"/>
  <c r="J14" i="13"/>
  <c r="F14" i="13"/>
  <c r="D14" i="13"/>
  <c r="G14" i="13"/>
  <c r="H14" i="13"/>
  <c r="M97" i="13"/>
  <c r="C6" i="27"/>
  <c r="C5" i="27"/>
  <c r="C3" i="27"/>
  <c r="C10" i="27"/>
  <c r="C12" i="27"/>
  <c r="C9" i="27"/>
  <c r="C8" i="27"/>
  <c r="C13" i="27"/>
  <c r="M232" i="13"/>
  <c r="M286" i="13"/>
  <c r="M259" i="13"/>
  <c r="M313" i="13"/>
  <c r="M124" i="13"/>
  <c r="M178" i="13"/>
  <c r="M205" i="13"/>
  <c r="H149" i="13"/>
  <c r="M70" i="13"/>
  <c r="M16" i="13"/>
  <c r="B102" i="31" l="1"/>
  <c r="E145" i="32" s="1"/>
  <c r="Q144" i="13"/>
  <c r="B72" i="31"/>
  <c r="L339" i="13"/>
  <c r="M339" i="13" s="1"/>
  <c r="Q143" i="13"/>
  <c r="Q333" i="13"/>
  <c r="S333" i="13" s="1"/>
  <c r="H87" i="32"/>
  <c r="K87" i="32" s="1"/>
  <c r="K53" i="32"/>
  <c r="D118" i="32"/>
  <c r="H138" i="32"/>
  <c r="K138" i="32" s="1"/>
  <c r="M306" i="13"/>
  <c r="S306" i="13" s="1"/>
  <c r="E18" i="32"/>
  <c r="D86" i="31"/>
  <c r="D54" i="32" s="1"/>
  <c r="D44" i="32" s="1"/>
  <c r="E79" i="32"/>
  <c r="H79" i="32" s="1"/>
  <c r="K79" i="32" s="1"/>
  <c r="E183" i="32"/>
  <c r="E131" i="32"/>
  <c r="H131" i="32" s="1"/>
  <c r="K131" i="32" s="1"/>
  <c r="F86" i="31"/>
  <c r="F87" i="31" s="1"/>
  <c r="F72" i="31"/>
  <c r="L330" i="13"/>
  <c r="K102" i="23"/>
  <c r="L102" i="23" s="1"/>
  <c r="Q198" i="13"/>
  <c r="S198" i="13" s="1"/>
  <c r="C102" i="31"/>
  <c r="C103" i="31" s="1"/>
  <c r="K27" i="32"/>
  <c r="H27" i="32"/>
  <c r="D183" i="32"/>
  <c r="Q332" i="13"/>
  <c r="Q89" i="13"/>
  <c r="C86" i="31"/>
  <c r="M332" i="13"/>
  <c r="F103" i="31"/>
  <c r="Q225" i="13"/>
  <c r="S225" i="13" s="1"/>
  <c r="E102" i="31"/>
  <c r="E103" i="31" s="1"/>
  <c r="Q197" i="13"/>
  <c r="C72" i="31"/>
  <c r="Q35" i="13"/>
  <c r="B86" i="31"/>
  <c r="Q224" i="13"/>
  <c r="S224" i="13" s="1"/>
  <c r="E72" i="31"/>
  <c r="Q116" i="13"/>
  <c r="E86" i="31"/>
  <c r="E66" i="32"/>
  <c r="H66" i="32" s="1"/>
  <c r="K66" i="32" s="1"/>
  <c r="E170" i="32"/>
  <c r="H170" i="32" s="1"/>
  <c r="K170" i="32" s="1"/>
  <c r="E118" i="32"/>
  <c r="K122" i="13"/>
  <c r="E9" i="27"/>
  <c r="D6" i="27"/>
  <c r="D16" i="27" s="1"/>
  <c r="E6" i="27"/>
  <c r="E12" i="27"/>
  <c r="E13" i="27"/>
  <c r="H89" i="32"/>
  <c r="K89" i="32" s="1"/>
  <c r="K143" i="32"/>
  <c r="H34" i="32"/>
  <c r="H53" i="32"/>
  <c r="K90" i="32"/>
  <c r="H141" i="32"/>
  <c r="K141" i="32" s="1"/>
  <c r="H140" i="32"/>
  <c r="K140" i="32" s="1"/>
  <c r="H91" i="32"/>
  <c r="K91" i="32" s="1"/>
  <c r="H142" i="32"/>
  <c r="K142" i="32" s="1"/>
  <c r="D73" i="31"/>
  <c r="P257" i="13"/>
  <c r="Q170" i="13"/>
  <c r="E144" i="32"/>
  <c r="E92" i="32"/>
  <c r="E40" i="32"/>
  <c r="K40" i="32" s="1"/>
  <c r="E54" i="32"/>
  <c r="E106" i="32"/>
  <c r="E158" i="32"/>
  <c r="D103" i="31"/>
  <c r="D105" i="32"/>
  <c r="D157" i="32"/>
  <c r="D158" i="32"/>
  <c r="D106" i="32"/>
  <c r="D93" i="32"/>
  <c r="D145" i="32"/>
  <c r="D92" i="32"/>
  <c r="D144" i="32"/>
  <c r="Q36" i="13"/>
  <c r="S36" i="13" s="1"/>
  <c r="M35" i="13"/>
  <c r="Q62" i="13"/>
  <c r="Q171" i="13"/>
  <c r="G31" i="32"/>
  <c r="C3" i="32" s="1"/>
  <c r="G83" i="32"/>
  <c r="C7" i="32" s="1"/>
  <c r="H86" i="32"/>
  <c r="K86" i="32" s="1"/>
  <c r="G135" i="32"/>
  <c r="C11" i="32" s="1"/>
  <c r="H178" i="32"/>
  <c r="K178" i="32" s="1"/>
  <c r="K68" i="13"/>
  <c r="M43" i="13"/>
  <c r="J28" i="23"/>
  <c r="J11" i="23"/>
  <c r="P14" i="13"/>
  <c r="E8" i="27" s="1"/>
  <c r="J68" i="23"/>
  <c r="J44" i="23"/>
  <c r="M252" i="13"/>
  <c r="S252" i="13" s="1"/>
  <c r="J36" i="23"/>
  <c r="J20" i="23"/>
  <c r="Q230" i="13"/>
  <c r="Q257" i="13"/>
  <c r="J60" i="23"/>
  <c r="J76" i="23"/>
  <c r="P284" i="13"/>
  <c r="M279" i="13"/>
  <c r="S279" i="13" s="1"/>
  <c r="J89" i="23"/>
  <c r="J90" i="23"/>
  <c r="M63" i="13"/>
  <c r="S63" i="13" s="1"/>
  <c r="L195" i="13"/>
  <c r="M197" i="13"/>
  <c r="K65" i="23"/>
  <c r="L65" i="23" s="1"/>
  <c r="K66" i="23"/>
  <c r="L66" i="23" s="1"/>
  <c r="K62" i="23"/>
  <c r="L249" i="13"/>
  <c r="K81" i="23"/>
  <c r="L81" i="23" s="1"/>
  <c r="K82" i="23"/>
  <c r="L82" i="23" s="1"/>
  <c r="K78" i="23"/>
  <c r="L222" i="13"/>
  <c r="K70" i="23"/>
  <c r="K73" i="23"/>
  <c r="L73" i="23" s="1"/>
  <c r="K74" i="23"/>
  <c r="L74" i="23" s="1"/>
  <c r="L276" i="13"/>
  <c r="K86" i="23"/>
  <c r="L60" i="13"/>
  <c r="K26" i="23"/>
  <c r="L26" i="23" s="1"/>
  <c r="K22" i="23"/>
  <c r="K25" i="23"/>
  <c r="L25" i="23" s="1"/>
  <c r="M62" i="13"/>
  <c r="M278" i="13"/>
  <c r="S278" i="13" s="1"/>
  <c r="M251" i="13"/>
  <c r="S251" i="13" s="1"/>
  <c r="L33" i="13"/>
  <c r="K13" i="23"/>
  <c r="K18" i="23"/>
  <c r="L18" i="23" s="1"/>
  <c r="K17" i="23"/>
  <c r="L17" i="23" s="1"/>
  <c r="L303" i="13"/>
  <c r="M305" i="13"/>
  <c r="S305" i="13" s="1"/>
  <c r="K94" i="23"/>
  <c r="L94" i="23" s="1"/>
  <c r="M80" i="23"/>
  <c r="J52" i="23"/>
  <c r="L6" i="13"/>
  <c r="M90" i="13"/>
  <c r="S90" i="13" s="1"/>
  <c r="M117" i="13"/>
  <c r="S117" i="13" s="1"/>
  <c r="M144" i="13"/>
  <c r="H3" i="23"/>
  <c r="L87" i="13"/>
  <c r="M89" i="13"/>
  <c r="K30" i="23"/>
  <c r="K33" i="23"/>
  <c r="L33" i="23" s="1"/>
  <c r="K34" i="23"/>
  <c r="L34" i="23" s="1"/>
  <c r="L168" i="13"/>
  <c r="K57" i="23"/>
  <c r="L57" i="23" s="1"/>
  <c r="K54" i="23"/>
  <c r="K58" i="23"/>
  <c r="L58" i="23" s="1"/>
  <c r="M170" i="13"/>
  <c r="L141" i="13"/>
  <c r="K50" i="23"/>
  <c r="L50" i="23" s="1"/>
  <c r="K46" i="23"/>
  <c r="K49" i="23"/>
  <c r="L49" i="23" s="1"/>
  <c r="Q9" i="13"/>
  <c r="M9" i="13"/>
  <c r="L114" i="13"/>
  <c r="M116" i="13"/>
  <c r="K41" i="23"/>
  <c r="L41" i="23" s="1"/>
  <c r="K38" i="23"/>
  <c r="K42" i="23"/>
  <c r="L42" i="23" s="1"/>
  <c r="M143" i="13"/>
  <c r="I9" i="23"/>
  <c r="J7" i="23" s="1"/>
  <c r="J9" i="23" s="1"/>
  <c r="M171" i="13"/>
  <c r="K4" i="23"/>
  <c r="Q8" i="13"/>
  <c r="M8" i="13"/>
  <c r="M24" i="23"/>
  <c r="M56" i="23"/>
  <c r="M40" i="23"/>
  <c r="M151" i="13"/>
  <c r="E41" i="32" l="1"/>
  <c r="E31" i="32" s="1"/>
  <c r="B103" i="31"/>
  <c r="E93" i="32"/>
  <c r="H145" i="32"/>
  <c r="Q311" i="13"/>
  <c r="F13" i="27" s="1"/>
  <c r="S197" i="13"/>
  <c r="D87" i="31"/>
  <c r="H118" i="32"/>
  <c r="K118" i="32" s="1"/>
  <c r="H183" i="32"/>
  <c r="K183" i="32" s="1"/>
  <c r="S116" i="13"/>
  <c r="Q203" i="13"/>
  <c r="F12" i="27" s="1"/>
  <c r="S89" i="13"/>
  <c r="S35" i="13"/>
  <c r="S332" i="13"/>
  <c r="D28" i="32"/>
  <c r="F73" i="31"/>
  <c r="D67" i="32"/>
  <c r="C87" i="31"/>
  <c r="E67" i="32"/>
  <c r="E57" i="32" s="1"/>
  <c r="E119" i="32"/>
  <c r="E109" i="32" s="1"/>
  <c r="E171" i="32"/>
  <c r="E161" i="32" s="1"/>
  <c r="K54" i="32"/>
  <c r="D171" i="32"/>
  <c r="D119" i="32"/>
  <c r="C73" i="31"/>
  <c r="D80" i="32"/>
  <c r="E87" i="31"/>
  <c r="E132" i="32"/>
  <c r="E122" i="32" s="1"/>
  <c r="E80" i="32"/>
  <c r="E70" i="32" s="1"/>
  <c r="E184" i="32"/>
  <c r="E174" i="32" s="1"/>
  <c r="D184" i="32"/>
  <c r="D132" i="32"/>
  <c r="E73" i="31"/>
  <c r="M330" i="13"/>
  <c r="L311" i="13"/>
  <c r="E3" i="27"/>
  <c r="F3" i="27"/>
  <c r="F6" i="27"/>
  <c r="E10" i="27"/>
  <c r="S171" i="13"/>
  <c r="S143" i="13"/>
  <c r="H158" i="32"/>
  <c r="K158" i="32" s="1"/>
  <c r="E44" i="32"/>
  <c r="K44" i="32" s="1"/>
  <c r="E83" i="32"/>
  <c r="K145" i="32"/>
  <c r="H40" i="32"/>
  <c r="E148" i="32"/>
  <c r="E96" i="32"/>
  <c r="S170" i="13"/>
  <c r="H92" i="32"/>
  <c r="K92" i="32" s="1"/>
  <c r="S144" i="13"/>
  <c r="H54" i="32"/>
  <c r="Q149" i="13"/>
  <c r="D135" i="32"/>
  <c r="H93" i="32"/>
  <c r="K93" i="32" s="1"/>
  <c r="H106" i="32"/>
  <c r="K106" i="32" s="1"/>
  <c r="D83" i="32"/>
  <c r="S62" i="13"/>
  <c r="L13" i="23"/>
  <c r="L11" i="23" s="1"/>
  <c r="D41" i="32"/>
  <c r="K41" i="32" s="1"/>
  <c r="B87" i="31"/>
  <c r="H105" i="32"/>
  <c r="K105" i="32" s="1"/>
  <c r="D96" i="32"/>
  <c r="H144" i="32"/>
  <c r="K144" i="32" s="1"/>
  <c r="E135" i="32"/>
  <c r="H157" i="32"/>
  <c r="K157" i="32" s="1"/>
  <c r="D148" i="32"/>
  <c r="B73" i="31"/>
  <c r="Q41" i="13"/>
  <c r="F5" i="27" s="1"/>
  <c r="Q14" i="13"/>
  <c r="F8" i="27" s="1"/>
  <c r="K15" i="23"/>
  <c r="K11" i="23"/>
  <c r="L22" i="23"/>
  <c r="L20" i="23" s="1"/>
  <c r="K20" i="23"/>
  <c r="L70" i="23"/>
  <c r="L68" i="23" s="1"/>
  <c r="K68" i="23"/>
  <c r="Q176" i="13"/>
  <c r="M222" i="13"/>
  <c r="L203" i="13"/>
  <c r="J84" i="23"/>
  <c r="Q284" i="13"/>
  <c r="M33" i="13"/>
  <c r="L14" i="13"/>
  <c r="M60" i="13"/>
  <c r="L41" i="13"/>
  <c r="K76" i="23"/>
  <c r="L78" i="23"/>
  <c r="L76" i="23" s="1"/>
  <c r="M195" i="13"/>
  <c r="L176" i="13"/>
  <c r="L86" i="23"/>
  <c r="M303" i="13"/>
  <c r="L284" i="13"/>
  <c r="K89" i="23"/>
  <c r="L89" i="23" s="1"/>
  <c r="M276" i="13"/>
  <c r="K90" i="23"/>
  <c r="L90" i="23" s="1"/>
  <c r="L257" i="13"/>
  <c r="M249" i="13"/>
  <c r="L230" i="13"/>
  <c r="K60" i="23"/>
  <c r="L62" i="23"/>
  <c r="L60" i="23" s="1"/>
  <c r="Q95" i="13"/>
  <c r="F14" i="27" s="1"/>
  <c r="I3" i="23"/>
  <c r="S9" i="13"/>
  <c r="L30" i="23"/>
  <c r="L28" i="23" s="1"/>
  <c r="K28" i="23"/>
  <c r="M168" i="13"/>
  <c r="L149" i="13"/>
  <c r="P95" i="13"/>
  <c r="E14" i="27" s="1"/>
  <c r="Q122" i="13"/>
  <c r="Q338" i="13" s="1"/>
  <c r="M114" i="13"/>
  <c r="L95" i="13"/>
  <c r="L3" i="13"/>
  <c r="M6" i="13"/>
  <c r="P122" i="13"/>
  <c r="M141" i="13"/>
  <c r="L122" i="13"/>
  <c r="M87" i="13"/>
  <c r="L68" i="13"/>
  <c r="C4" i="27"/>
  <c r="Q68" i="13"/>
  <c r="F11" i="27" s="1"/>
  <c r="Q3" i="13"/>
  <c r="F15" i="27" s="1"/>
  <c r="S8" i="13"/>
  <c r="P149" i="13"/>
  <c r="P68" i="13"/>
  <c r="E11" i="27" s="1"/>
  <c r="L38" i="23"/>
  <c r="L36" i="23" s="1"/>
  <c r="K36" i="23"/>
  <c r="K44" i="23"/>
  <c r="L46" i="23"/>
  <c r="L44" i="23" s="1"/>
  <c r="K52" i="23"/>
  <c r="L54" i="23"/>
  <c r="L52" i="23" s="1"/>
  <c r="K6" i="23"/>
  <c r="L4" i="23"/>
  <c r="C14" i="27"/>
  <c r="C11" i="27"/>
  <c r="C7" i="27"/>
  <c r="K7" i="23"/>
  <c r="J3" i="23"/>
  <c r="M311" i="13" l="1"/>
  <c r="B14" i="32" s="1"/>
  <c r="D14" i="32" s="1"/>
  <c r="H80" i="32"/>
  <c r="K80" i="32" s="1"/>
  <c r="D70" i="32"/>
  <c r="H70" i="32" s="1"/>
  <c r="K70" i="32" s="1"/>
  <c r="H67" i="32"/>
  <c r="K67" i="32" s="1"/>
  <c r="D57" i="32"/>
  <c r="H57" i="32" s="1"/>
  <c r="K57" i="32" s="1"/>
  <c r="H132" i="32"/>
  <c r="K132" i="32" s="1"/>
  <c r="D122" i="32"/>
  <c r="H122" i="32" s="1"/>
  <c r="K122" i="32" s="1"/>
  <c r="H119" i="32"/>
  <c r="K119" i="32" s="1"/>
  <c r="D109" i="32"/>
  <c r="H109" i="32" s="1"/>
  <c r="K109" i="32" s="1"/>
  <c r="H184" i="32"/>
  <c r="K184" i="32" s="1"/>
  <c r="D174" i="32"/>
  <c r="H171" i="32"/>
  <c r="K171" i="32" s="1"/>
  <c r="D161" i="32"/>
  <c r="H161" i="32" s="1"/>
  <c r="K161" i="32" s="1"/>
  <c r="K28" i="32"/>
  <c r="H28" i="32"/>
  <c r="D18" i="32"/>
  <c r="M203" i="13"/>
  <c r="E10" i="32" s="1"/>
  <c r="M68" i="13"/>
  <c r="B5" i="32" s="1"/>
  <c r="M95" i="13"/>
  <c r="B6" i="32" s="1"/>
  <c r="M41" i="13"/>
  <c r="H4" i="32" s="1"/>
  <c r="M122" i="13"/>
  <c r="M284" i="13"/>
  <c r="B13" i="32" s="1"/>
  <c r="M149" i="13"/>
  <c r="B8" i="32" s="1"/>
  <c r="M230" i="13"/>
  <c r="B11" i="32" s="1"/>
  <c r="M176" i="13"/>
  <c r="H9" i="32" s="1"/>
  <c r="M3" i="13"/>
  <c r="B2" i="32" s="1"/>
  <c r="D2" i="32" s="1"/>
  <c r="M257" i="13"/>
  <c r="E12" i="32" s="1"/>
  <c r="M14" i="13"/>
  <c r="H3" i="32" s="1"/>
  <c r="F10" i="27"/>
  <c r="F9" i="27"/>
  <c r="E4" i="27"/>
  <c r="F4" i="27"/>
  <c r="F7" i="27"/>
  <c r="E7" i="27"/>
  <c r="H96" i="32"/>
  <c r="K96" i="32" s="1"/>
  <c r="H83" i="32"/>
  <c r="K83" i="32" s="1"/>
  <c r="H148" i="32"/>
  <c r="K148" i="32" s="1"/>
  <c r="H44" i="32"/>
  <c r="H135" i="32"/>
  <c r="K135" i="32" s="1"/>
  <c r="D31" i="32"/>
  <c r="H41" i="32"/>
  <c r="K84" i="23"/>
  <c r="L84" i="23"/>
  <c r="C15" i="27"/>
  <c r="K9" i="23"/>
  <c r="L9" i="23" s="1"/>
  <c r="L7" i="23"/>
  <c r="E7" i="32" l="1"/>
  <c r="B7" i="32"/>
  <c r="E14" i="32"/>
  <c r="G14" i="32" s="1"/>
  <c r="S311" i="13"/>
  <c r="H14" i="32"/>
  <c r="H10" i="32"/>
  <c r="S230" i="13"/>
  <c r="E13" i="32"/>
  <c r="S3" i="13"/>
  <c r="H13" i="32"/>
  <c r="S68" i="13"/>
  <c r="E9" i="32"/>
  <c r="F16" i="27"/>
  <c r="S284" i="13"/>
  <c r="S203" i="13"/>
  <c r="N109" i="32"/>
  <c r="S95" i="13"/>
  <c r="H8" i="32"/>
  <c r="S149" i="13"/>
  <c r="N96" i="32"/>
  <c r="E8" i="32"/>
  <c r="S176" i="13"/>
  <c r="S257" i="13"/>
  <c r="H5" i="32"/>
  <c r="E5" i="32"/>
  <c r="G5" i="32" s="1"/>
  <c r="N44" i="32"/>
  <c r="N18" i="32"/>
  <c r="S41" i="13"/>
  <c r="N148" i="32"/>
  <c r="N57" i="32"/>
  <c r="E6" i="32"/>
  <c r="N135" i="32"/>
  <c r="E11" i="32"/>
  <c r="B9" i="32"/>
  <c r="S122" i="13"/>
  <c r="H6" i="32"/>
  <c r="N83" i="32"/>
  <c r="H12" i="32"/>
  <c r="N70" i="32"/>
  <c r="N122" i="32"/>
  <c r="N161" i="32"/>
  <c r="B10" i="32"/>
  <c r="K18" i="32"/>
  <c r="H18" i="32"/>
  <c r="E2" i="32"/>
  <c r="G2" i="32" s="1"/>
  <c r="E16" i="27"/>
  <c r="H2" i="32"/>
  <c r="J2" i="32" s="1"/>
  <c r="H174" i="32"/>
  <c r="K174" i="32" s="1"/>
  <c r="N174" i="32"/>
  <c r="B12" i="32"/>
  <c r="J3" i="32"/>
  <c r="J4" i="32"/>
  <c r="G12" i="32"/>
  <c r="B4" i="32"/>
  <c r="G10" i="32"/>
  <c r="S14" i="13"/>
  <c r="G7" i="32"/>
  <c r="E4" i="32"/>
  <c r="B3" i="32"/>
  <c r="E3" i="32"/>
  <c r="D8" i="32"/>
  <c r="D11" i="32"/>
  <c r="J9" i="32"/>
  <c r="H7" i="32"/>
  <c r="H11" i="32"/>
  <c r="D5" i="32"/>
  <c r="D6" i="32"/>
  <c r="D13" i="32"/>
  <c r="H31" i="32"/>
  <c r="K31" i="32"/>
  <c r="N31" i="32"/>
  <c r="K3" i="23"/>
  <c r="L3" i="23"/>
  <c r="M7" i="23"/>
  <c r="J12" i="32" l="1"/>
  <c r="J10" i="32"/>
  <c r="J5" i="32"/>
  <c r="G8" i="32"/>
  <c r="J6" i="32"/>
  <c r="G9" i="32"/>
  <c r="D7" i="32"/>
  <c r="D4" i="32"/>
  <c r="D12" i="32"/>
  <c r="D9" i="32"/>
  <c r="J8" i="32"/>
  <c r="J13" i="32"/>
  <c r="J14" i="32"/>
  <c r="G13" i="32"/>
  <c r="G6" i="32"/>
  <c r="D10" i="32"/>
  <c r="G11" i="32"/>
  <c r="J7" i="32"/>
  <c r="J11" i="32"/>
  <c r="G4" i="32"/>
  <c r="G3" i="32"/>
  <c r="D3" i="32"/>
</calcChain>
</file>

<file path=xl/sharedStrings.xml><?xml version="1.0" encoding="utf-8"?>
<sst xmlns="http://schemas.openxmlformats.org/spreadsheetml/2006/main" count="2299" uniqueCount="519">
  <si>
    <t>Left</t>
  </si>
  <si>
    <t>Top</t>
  </si>
  <si>
    <t>Right</t>
  </si>
  <si>
    <t>Bottom</t>
  </si>
  <si>
    <t>Ref</t>
  </si>
  <si>
    <t>$A$2:$M$21</t>
  </si>
  <si>
    <t>$O$34:$R$55</t>
  </si>
  <si>
    <t>$O$1:$R$10</t>
  </si>
  <si>
    <t>$A$1:$M$63</t>
  </si>
  <si>
    <t>Scenár</t>
  </si>
  <si>
    <t>Celkové náklady</t>
  </si>
  <si>
    <t>Spolu</t>
  </si>
  <si>
    <t>Celkové prínosy 
(scenár s podporu ekosystému)</t>
  </si>
  <si>
    <t>Celkové prínosy 
(optimistický scenár)</t>
  </si>
  <si>
    <t>Outsourcing HPC</t>
  </si>
  <si>
    <t>Prenájom Basic</t>
  </si>
  <si>
    <t>Prenájom Basic Experimentálny</t>
  </si>
  <si>
    <t>Prenájom Extended</t>
  </si>
  <si>
    <t>Prenájom Extended Experimentálny</t>
  </si>
  <si>
    <t>Rekonštrukcia Basic</t>
  </si>
  <si>
    <t>Rekonštrukcia Basic Experimentálny</t>
  </si>
  <si>
    <t>Rekonštrukcia Extended</t>
  </si>
  <si>
    <t>Rekonštrukcia Extended Experimentálny</t>
  </si>
  <si>
    <t>Kúpa Basic</t>
  </si>
  <si>
    <t>Kúpa Basic Experimentálny</t>
  </si>
  <si>
    <t>Kúpa Extended</t>
  </si>
  <si>
    <t>Kúpa Extended Experimentálny</t>
  </si>
  <si>
    <t>Obdobie</t>
  </si>
  <si>
    <t>HW a SW</t>
  </si>
  <si>
    <t>DC</t>
  </si>
  <si>
    <t>Prevádzka</t>
  </si>
  <si>
    <t>Ekosystém</t>
  </si>
  <si>
    <t>Výnosy K</t>
  </si>
  <si>
    <t>Prínosy K</t>
  </si>
  <si>
    <t>Súvaha K</t>
  </si>
  <si>
    <t>Výnosy sPE</t>
  </si>
  <si>
    <t>Prínosy sPE</t>
  </si>
  <si>
    <t>Súvaha sPE</t>
  </si>
  <si>
    <t>Kontrola</t>
  </si>
  <si>
    <t>Outsourcing</t>
  </si>
  <si>
    <t>sPE</t>
  </si>
  <si>
    <t>O</t>
  </si>
  <si>
    <t>1 (2022)</t>
  </si>
  <si>
    <t>2 (2023)</t>
  </si>
  <si>
    <t>3 (2024)</t>
  </si>
  <si>
    <t>4 (2025)</t>
  </si>
  <si>
    <t>5 (2026)</t>
  </si>
  <si>
    <t>6 (2027)</t>
  </si>
  <si>
    <t>7 (2028)</t>
  </si>
  <si>
    <t>8 (2029)</t>
  </si>
  <si>
    <t>9 (2030)</t>
  </si>
  <si>
    <t>10 (2031)</t>
  </si>
  <si>
    <t>Prenájom Basic Experimental</t>
  </si>
  <si>
    <t>Prenájom Extended Experimental</t>
  </si>
  <si>
    <t>Prestavba Basic</t>
  </si>
  <si>
    <t>Prestavba Basic Experimental</t>
  </si>
  <si>
    <t>Prestavba Extended</t>
  </si>
  <si>
    <t>Prestavba Extended Experimental</t>
  </si>
  <si>
    <t>Kúpa Basic Experimental</t>
  </si>
  <si>
    <t>Kúpa Extended Experimental</t>
  </si>
  <si>
    <t>Investičné náklady</t>
  </si>
  <si>
    <t>Finančné výnosy</t>
  </si>
  <si>
    <t>Náklady na HW a aplikačné vybavenie</t>
  </si>
  <si>
    <t>Predpokladané výnosy NSCC z predaja kapacity a služieb - konzervatívny scenár</t>
  </si>
  <si>
    <t>Basic</t>
  </si>
  <si>
    <t>Extended</t>
  </si>
  <si>
    <t>Basic Experimental</t>
  </si>
  <si>
    <t>Extended Experimental</t>
  </si>
  <si>
    <t>Náklady na DC - prenájom</t>
  </si>
  <si>
    <t>Predpokladané výnosy NSCC z predaja kapacity a služieb - scenár s podporou ekosystému</t>
  </si>
  <si>
    <t>Náklady na DC - prestavba</t>
  </si>
  <si>
    <t>Predpokladané výnosy NSCC z predaja kapacity a služieb - optimistický scenár</t>
  </si>
  <si>
    <t>Náklady na DC - kúpa priestorov/nehnuteľnosti</t>
  </si>
  <si>
    <t>Ekonomické prínosy</t>
  </si>
  <si>
    <t>Predpokladané prínosy pre klientov NSCC - konzervatívny scenár</t>
  </si>
  <si>
    <t>Prevádzkové náklady</t>
  </si>
  <si>
    <t>Prevádzkové náklady - prestavba a kúpa</t>
  </si>
  <si>
    <t>Predpokladané prínosy pre klientov NSCC - scenár s podporou ekosystému</t>
  </si>
  <si>
    <t>Prevádzkové náklady - prenájom</t>
  </si>
  <si>
    <t>Predpokladané prínosy pre klientov NSCC - optimistický scenár</t>
  </si>
  <si>
    <t>Podpora ekosystému</t>
  </si>
  <si>
    <t>Celkové náklady na scenár</t>
  </si>
  <si>
    <t>Zdroje financovania</t>
  </si>
  <si>
    <t>O/C</t>
  </si>
  <si>
    <t>Rok 1  (2022)</t>
  </si>
  <si>
    <t>Rok 2 (2023)</t>
  </si>
  <si>
    <t>Rok 3 (2024)</t>
  </si>
  <si>
    <t>Rok 4 (2025)</t>
  </si>
  <si>
    <t>Rok 5 (2026)</t>
  </si>
  <si>
    <t>Rok 6 (2027)</t>
  </si>
  <si>
    <t>Rok 7 (2028)</t>
  </si>
  <si>
    <t>Rok 8 (2029)</t>
  </si>
  <si>
    <t>Rok 9 (2030)</t>
  </si>
  <si>
    <t>Rok 10 (2031)</t>
  </si>
  <si>
    <t>POO</t>
  </si>
  <si>
    <t>EuroHPC</t>
  </si>
  <si>
    <t>ŠR</t>
  </si>
  <si>
    <t>Iné EÚ zdroje</t>
  </si>
  <si>
    <t>OPEX</t>
  </si>
  <si>
    <t>Ostatné náklady</t>
  </si>
  <si>
    <t>Administratívne priestory</t>
  </si>
  <si>
    <t>Zamestnanci - Datacentrum prevádzka</t>
  </si>
  <si>
    <t>Zamestnanci - Podpora ekosystému</t>
  </si>
  <si>
    <t>Projektové náklady</t>
  </si>
  <si>
    <t>Aktivity na podporu ekosystému</t>
  </si>
  <si>
    <t>IKT</t>
  </si>
  <si>
    <t>Nákup HW</t>
  </si>
  <si>
    <t>CAPEX</t>
  </si>
  <si>
    <t>Aplikačné vybavenie</t>
  </si>
  <si>
    <t>HW maintanance</t>
  </si>
  <si>
    <t>SW maintanance</t>
  </si>
  <si>
    <t>Poistenie HW</t>
  </si>
  <si>
    <t>Dátové centrum</t>
  </si>
  <si>
    <t>Dočasná lokalita</t>
  </si>
  <si>
    <t>Prenájom datacentra</t>
  </si>
  <si>
    <t>Rekonštrukcia budovy</t>
  </si>
  <si>
    <t>Kúpa budovy</t>
  </si>
  <si>
    <t>Úprava priestorov</t>
  </si>
  <si>
    <t>Chladenie</t>
  </si>
  <si>
    <t>Spotreba elektrina</t>
  </si>
  <si>
    <t>Elektrina - fotovoltaika</t>
  </si>
  <si>
    <t>Úspora za elektrinu - fotovoltaika</t>
  </si>
  <si>
    <t>Datacentrum prevádzka</t>
  </si>
  <si>
    <t>$A$1:$L$38</t>
  </si>
  <si>
    <t>Predpokladané výnosy NSCC z predaja kapacity a služieb</t>
  </si>
  <si>
    <t>Rok 1 / 2022</t>
  </si>
  <si>
    <t>Rok 2 / 2023</t>
  </si>
  <si>
    <t>Rok 3 / 2024</t>
  </si>
  <si>
    <t>Rok 4 / 2025</t>
  </si>
  <si>
    <t>Rok 5 / 2026</t>
  </si>
  <si>
    <t>Rok 6 / 2027</t>
  </si>
  <si>
    <t>Rok 7 / 2028</t>
  </si>
  <si>
    <t>Rok 8 / 2029</t>
  </si>
  <si>
    <t>Rok 9 / 2030</t>
  </si>
  <si>
    <t>Rok 10 / 2031</t>
  </si>
  <si>
    <t>Outsourcing - konzervatívny scenár</t>
  </si>
  <si>
    <t>Predaj kapacity</t>
  </si>
  <si>
    <t>Predaj služieb</t>
  </si>
  <si>
    <t>Outsourcing - scenár s podporou ekosystému</t>
  </si>
  <si>
    <t>Outsourcing - optimistický scenár</t>
  </si>
  <si>
    <t>Basic - konzervatívny scenár</t>
  </si>
  <si>
    <t>Basic - scenár s podporou ekosystému</t>
  </si>
  <si>
    <t>Basic - optimistický scenár</t>
  </si>
  <si>
    <t>Basic Experimentálny - konzervatívny scenár</t>
  </si>
  <si>
    <t>Basic Experimentálny - scenár s podporou ekosystému</t>
  </si>
  <si>
    <t>Basic Experimentálny - optimistický scenár</t>
  </si>
  <si>
    <t>Extended - konzervatívny scenár</t>
  </si>
  <si>
    <t>Extended - scenár s podporou ekosystému</t>
  </si>
  <si>
    <t>Extended - optimistický scenár</t>
  </si>
  <si>
    <t>Extended Experimentálny - konzervatívny scenár</t>
  </si>
  <si>
    <t>Extended Experimentálny - scenár s podporou ekosystému</t>
  </si>
  <si>
    <t>Extended Experimentálny - optimistický scenár</t>
  </si>
  <si>
    <t>Outsourcing predaj kapacity = nakúpená kapacita * cena za jadro/hod * percento predaja</t>
  </si>
  <si>
    <t>Ostatné scenáre predaj kapacity = (počet uzlov CPU * cena CPU uzol/hod + počet uzlov FAT * cena FAT uzol/hod + počet uzlov GPU * cena GPU uzol/hod)* dostupnosť * kapacita po EuroHPC * percento predaja</t>
  </si>
  <si>
    <t>Predaj služieb = počet hodín * cena za hod * percento predaja</t>
  </si>
  <si>
    <t>$A$1:$L$3</t>
  </si>
  <si>
    <t>Počet vytvorených pracovných miest</t>
  </si>
  <si>
    <t>Rok 1</t>
  </si>
  <si>
    <t>Rok 2</t>
  </si>
  <si>
    <t>Rok 3</t>
  </si>
  <si>
    <t>Rok 4</t>
  </si>
  <si>
    <t>Rok 5</t>
  </si>
  <si>
    <t>Rok 6</t>
  </si>
  <si>
    <t>Rok 7</t>
  </si>
  <si>
    <t>Rok 8</t>
  </si>
  <si>
    <t>Rok 9</t>
  </si>
  <si>
    <t>Rok 10</t>
  </si>
  <si>
    <t>Prínosy pre klientov NSCC</t>
  </si>
  <si>
    <t>Predpokladaný výnos klienta z investície do HPC</t>
  </si>
  <si>
    <t>-</t>
  </si>
  <si>
    <t>Predpokladaná úspora z investície do HPC</t>
  </si>
  <si>
    <t>Predpokladaný výnos klienta = 1/2 investície klienta do HPC * priemerný výnos pre klienta (návratnosť po 2. roku)</t>
  </si>
  <si>
    <t>Predpokladaná úspora klienta = 1/2 investícia klienta do HPC * priemerná úspora/zisk klienta z inovácie (návratnosť po 2. roku)</t>
  </si>
  <si>
    <t>$A$1:$J$15</t>
  </si>
  <si>
    <t>Parametre scenárov implementácie</t>
  </si>
  <si>
    <t>Scenáre</t>
  </si>
  <si>
    <t>Budova DC</t>
  </si>
  <si>
    <t>Výkon (PFLOPS)</t>
  </si>
  <si>
    <t>Príkon (kW) 
Fáza 1</t>
  </si>
  <si>
    <t>Príkon (kW)
Fáza 2</t>
  </si>
  <si>
    <t>Plocha FV (m2)</t>
  </si>
  <si>
    <t>Výkon FV (kWp/mesiac)</t>
  </si>
  <si>
    <t>Fotovoltaika</t>
  </si>
  <si>
    <t>Prevádzka DC</t>
  </si>
  <si>
    <t>Chladenie 
Fáza 1</t>
  </si>
  <si>
    <t>Chladenie 
Fáza 2</t>
  </si>
  <si>
    <t>HW Fáza 1 
(Rok 3 - 2024)</t>
  </si>
  <si>
    <t>HW Fáza 2 
(Rok 5 - 2026)</t>
  </si>
  <si>
    <t>Poistenie HW F1</t>
  </si>
  <si>
    <t>Poistenie HW F2</t>
  </si>
  <si>
    <t>Prenájom 1,8 MW Basic (52 pFLOPS)</t>
  </si>
  <si>
    <t>Prenájom</t>
  </si>
  <si>
    <t>Basic Experimentálny</t>
  </si>
  <si>
    <t>VO DC</t>
  </si>
  <si>
    <t>DC 2</t>
  </si>
  <si>
    <t>DC 3 (FV, teplo, chlad)</t>
  </si>
  <si>
    <t>Prenájom 3 MW Extended (123 pFLOPS)</t>
  </si>
  <si>
    <t>NSCC buil up</t>
  </si>
  <si>
    <t>VO HW1</t>
  </si>
  <si>
    <t>HW 1</t>
  </si>
  <si>
    <t>HW 2</t>
  </si>
  <si>
    <t>Prenájom 3 MW Extended Experimentálny (208 pFLOPS)</t>
  </si>
  <si>
    <t>Extended Experimentálny</t>
  </si>
  <si>
    <t>VO inziniering DC</t>
  </si>
  <si>
    <t>projekt DC</t>
  </si>
  <si>
    <t>VPO HW2</t>
  </si>
  <si>
    <t>Rekonštrukcia 1,8 MW Basic (52 pFLOPS)</t>
  </si>
  <si>
    <t>Rekonštrukcia</t>
  </si>
  <si>
    <t>DC 1</t>
  </si>
  <si>
    <t>nscc</t>
  </si>
  <si>
    <t>Rekonštrukcia 3 MW Extended (123 pFLOPS)</t>
  </si>
  <si>
    <t>projekt (KP, MIRRI)</t>
  </si>
  <si>
    <t>Rekonštrukcia 3 MW Extended Experimentálny (208 pFLOPS)</t>
  </si>
  <si>
    <t>Kúpa 1,8 MW Basic (52 pFLOPS)</t>
  </si>
  <si>
    <t>Kúpa</t>
  </si>
  <si>
    <t>DC prevadzka</t>
  </si>
  <si>
    <t>DC najom Q4</t>
  </si>
  <si>
    <t>DC najom</t>
  </si>
  <si>
    <t>Kúpa 3 MW Extended (123 pFLOPS)</t>
  </si>
  <si>
    <t>ekosystem</t>
  </si>
  <si>
    <t>Kúpa 3 MW Extended Experimentálny (208 pFLOPS)</t>
  </si>
  <si>
    <t>EuroCC</t>
  </si>
  <si>
    <t>PLATÍ LEN PRE SAV</t>
  </si>
  <si>
    <t>Elektrické energie</t>
  </si>
  <si>
    <t>Zdroj</t>
  </si>
  <si>
    <t>Cena elektrickej energie</t>
  </si>
  <si>
    <t>EUR/kW</t>
  </si>
  <si>
    <t>Cena inštalácie fotovoltaickej (FV) elektrárne</t>
  </si>
  <si>
    <t>https://www.ceska-solarni.cz/kalkulacka</t>
  </si>
  <si>
    <t>EUR/m2</t>
  </si>
  <si>
    <t>Normalizovanný výkon FV/mesiac</t>
  </si>
  <si>
    <t>kWp/m2/mesiac</t>
  </si>
  <si>
    <t>Fáza 1 /2024</t>
  </si>
  <si>
    <t>Fáza 2 / 2026</t>
  </si>
  <si>
    <t>Príkon IKT Basic</t>
  </si>
  <si>
    <t>kW</t>
  </si>
  <si>
    <t>RFI na vendorov IKT</t>
  </si>
  <si>
    <t>Príkon IKT Basic Experimentálny</t>
  </si>
  <si>
    <t>Príkon IKT Extended</t>
  </si>
  <si>
    <t>Marketingové podklady spoločnosti Tachyum</t>
  </si>
  <si>
    <t>Príkon IKT Extended Experimentálny</t>
  </si>
  <si>
    <t>Koeficient PUE</t>
  </si>
  <si>
    <t>Vývoj energií</t>
  </si>
  <si>
    <t>Predpokladaný vývoj ceny energií</t>
  </si>
  <si>
    <t>predpokladaný vývoj cien energií</t>
  </si>
  <si>
    <t>Scenár Outsourcing HPC</t>
  </si>
  <si>
    <t>Požiadavky klientov NSCC</t>
  </si>
  <si>
    <t>corehodín</t>
  </si>
  <si>
    <t>výsledok prieskumu záujmu o HPC (realizovalo CSČ SAV)</t>
  </si>
  <si>
    <t>Priemerná cena HPC nákupu - komerčný poskytovateľ</t>
  </si>
  <si>
    <t>EUR/corehodina</t>
  </si>
  <si>
    <t>Prieskum cenníkov Sabalcore, ARCHIE-WeSt, Penn Medicine Academic, Oracle Big Data Service, Penguin</t>
  </si>
  <si>
    <t>Priemerná cena HPC nákupu - Vega Slovinsko</t>
  </si>
  <si>
    <t>cenník Vega, Slovinsko</t>
  </si>
  <si>
    <t>Nábeh poskytovania služieb pri outsourcingu</t>
  </si>
  <si>
    <t>Zľava z dlhodobej zmluvy</t>
  </si>
  <si>
    <t>Nákup IKT</t>
  </si>
  <si>
    <t>Fáza 1</t>
  </si>
  <si>
    <t>Fáza 2</t>
  </si>
  <si>
    <t>Prenájom DC</t>
  </si>
  <si>
    <t>Prenájom IKT 1,8 MW</t>
  </si>
  <si>
    <t>RFI na prenájom budovy dátového centra</t>
  </si>
  <si>
    <t>Prenájom IKT 3 MW</t>
  </si>
  <si>
    <t>Prestavba vlastných priestorov</t>
  </si>
  <si>
    <t>Rekonštrukcia VS SAV (Patrónka) 1,8 MW</t>
  </si>
  <si>
    <t>Stavebná časť (vrátane protihlukových opatrení)</t>
  </si>
  <si>
    <t>expert na DC Ján Mihálik, DCPRO</t>
  </si>
  <si>
    <t>Elektrické napájanie 
(rozvody 2N, UPS 2N, MG n+1, Trafo n+1)</t>
  </si>
  <si>
    <t>Chladenie HD+LD (n+1)</t>
  </si>
  <si>
    <t>Monitoring, bezpečnostné, požiarne systémy</t>
  </si>
  <si>
    <t>Projekt, inžiniering, projektový manažment</t>
  </si>
  <si>
    <t>Rekonštrukcia VS SAV (Patrónka) 3 MW</t>
  </si>
  <si>
    <t>Dočasné riešenie lokality VS SAV</t>
  </si>
  <si>
    <t>Kúpa budovy DC</t>
  </si>
  <si>
    <t>Cena budovy 1,8 MW</t>
  </si>
  <si>
    <t>Cena budovy 3 MW</t>
  </si>
  <si>
    <t>Nevyhnutné úpravy budovy</t>
  </si>
  <si>
    <t>Koeficient prevádzkových nákladov</t>
  </si>
  <si>
    <t>https://365datacenters.com/data-center-colocation-build-vs-buy/</t>
  </si>
  <si>
    <t>Prevádzka DC 1,8 MW</t>
  </si>
  <si>
    <t>Prevádzka DC 3 MW</t>
  </si>
  <si>
    <t>Prevádzkové náklady NSCC</t>
  </si>
  <si>
    <t>Priemerné náklady na zamestnanca NSCC</t>
  </si>
  <si>
    <t>základná mzda brutto + ostatné náklady + medziročné zvýšenie</t>
  </si>
  <si>
    <t>Technický personál Outsourcing</t>
  </si>
  <si>
    <t>CSČ SAV</t>
  </si>
  <si>
    <t>Podpora ekosystému Outsourcing</t>
  </si>
  <si>
    <t>Technický personál Basic</t>
  </si>
  <si>
    <t>Podpora ekosystému Basic</t>
  </si>
  <si>
    <t>Technický personál Extended</t>
  </si>
  <si>
    <t>Podpora ekosystému Extended</t>
  </si>
  <si>
    <t>Technický personál Extended Experimental</t>
  </si>
  <si>
    <t>Podpora ekosystému Extended Experimental</t>
  </si>
  <si>
    <t>Priemerná mzda NSCC brutto</t>
  </si>
  <si>
    <t>EUR/mesiac</t>
  </si>
  <si>
    <t>Ostatné (školenia, služobné cesty, kancelárska technika, prevádzkové náklady na zamestnanca...)</t>
  </si>
  <si>
    <t>Medziročné zvýšenie platov</t>
  </si>
  <si>
    <t>Administratívne priestory rozloha</t>
  </si>
  <si>
    <t>m2</t>
  </si>
  <si>
    <t>Administratívne priestory prenájom m2</t>
  </si>
  <si>
    <t>EUR/m2/mesiac</t>
  </si>
  <si>
    <t>Aktivity podpory ekosystému</t>
  </si>
  <si>
    <t>Štúdia uskutočniteľnosti</t>
  </si>
  <si>
    <t>zmluva MIRRI/KPMG</t>
  </si>
  <si>
    <t>Projektový management</t>
  </si>
  <si>
    <t>EUR/rok</t>
  </si>
  <si>
    <t>Projekt - mzdové náklady MIRRI</t>
  </si>
  <si>
    <t>3 ľudia na dohľad MIRRI</t>
  </si>
  <si>
    <t>Cena navždy alebo ročne?</t>
  </si>
  <si>
    <t>ADF</t>
  </si>
  <si>
    <t>academic</t>
  </si>
  <si>
    <t>$4000</t>
  </si>
  <si>
    <t>https://www.scm.com/amsterdam-modeling-suite/pricing-licensing/</t>
  </si>
  <si>
    <t>Amber</t>
  </si>
  <si>
    <t>$500</t>
  </si>
  <si>
    <t>https://ambermd.org/GetAmber.php#amber</t>
  </si>
  <si>
    <t>commercial</t>
  </si>
  <si>
    <t>$20000</t>
  </si>
  <si>
    <t>Ansys</t>
  </si>
  <si>
    <t>academic+commercial</t>
  </si>
  <si>
    <t>300 000,00 € &gt;&gt; nakup planovany z OPII</t>
  </si>
  <si>
    <t>Apache Kafka (HPDA)</t>
  </si>
  <si>
    <t>Open-source</t>
  </si>
  <si>
    <t>https://kafka.apache.org/</t>
  </si>
  <si>
    <t>Aspen plus</t>
  </si>
  <si>
    <t>https://www.aspentech.com/en/products/engineering/aspen-plus</t>
  </si>
  <si>
    <t>Autodesk sw</t>
  </si>
  <si>
    <t>https://www.autodesk.eu/products?filters=pdm-products--simulation-analysis&amp;sorting=featured&amp;menu=show&amp;page=1</t>
  </si>
  <si>
    <t>Comsol Multiphysics (CVTI!)</t>
  </si>
  <si>
    <t>CP2K</t>
  </si>
  <si>
    <t>Creo simulation</t>
  </si>
  <si>
    <t>https://www.ptc.com/en/products/creo/simulation</t>
  </si>
  <si>
    <t>Crystal</t>
  </si>
  <si>
    <t>https://www.crystal.unito.it/license-fee.php</t>
  </si>
  <si>
    <t>Non-commercial</t>
  </si>
  <si>
    <t>Dalton/LSDalton</t>
  </si>
  <si>
    <t>https://www.daltonprogram.org/</t>
  </si>
  <si>
    <t>DeepMD</t>
  </si>
  <si>
    <t>https://deepmodeling.com/</t>
  </si>
  <si>
    <t>Dirac</t>
  </si>
  <si>
    <t>http://www.diracprogram.org/doku.php</t>
  </si>
  <si>
    <t>DL_POLY</t>
  </si>
  <si>
    <t>https://www.scd.stfc.ac.uk/Pages/DL_POLY.aspx</t>
  </si>
  <si>
    <t>eCognition (geospatial data)</t>
  </si>
  <si>
    <t>https://geospatial.trimble.com/products-and-solutions/trimble-ecognition</t>
  </si>
  <si>
    <t>ELK stack</t>
  </si>
  <si>
    <t>https://www.elastic.co/what-is/elk-stack</t>
  </si>
  <si>
    <t>GAMESS</t>
  </si>
  <si>
    <t>Gaussian</t>
  </si>
  <si>
    <t>https://gaussian.com/pricing/</t>
  </si>
  <si>
    <t>GaussView</t>
  </si>
  <si>
    <t>Geant4</t>
  </si>
  <si>
    <t>https://geant4.web.cern.ch/</t>
  </si>
  <si>
    <t>GMMX module for GV</t>
  </si>
  <si>
    <t>gmolpro (graphical)</t>
  </si>
  <si>
    <t>Gromacs</t>
  </si>
  <si>
    <t>LAMMPS</t>
  </si>
  <si>
    <t>Mathematica</t>
  </si>
  <si>
    <t>https://www.wolfram.com/mathematica/</t>
  </si>
  <si>
    <t>Matlab</t>
  </si>
  <si>
    <t>https://www.mathworks.com/products/matlab.html</t>
  </si>
  <si>
    <t>Matlab (CVTI!)</t>
  </si>
  <si>
    <t>Mercury6</t>
  </si>
  <si>
    <t>https://github.com/smirik/mercury</t>
  </si>
  <si>
    <t>Molcas</t>
  </si>
  <si>
    <t>https://www.molcas.org/</t>
  </si>
  <si>
    <t>Molpro</t>
  </si>
  <si>
    <t>https://www.molpro.net/info/products.php?portal=visitor&amp;choice=Licence+types</t>
  </si>
  <si>
    <t>NAMD</t>
  </si>
  <si>
    <t>Newton-X</t>
  </si>
  <si>
    <t>https://newtonx.org/</t>
  </si>
  <si>
    <t>NWChem</t>
  </si>
  <si>
    <t>OpenMolcas</t>
  </si>
  <si>
    <t>https://gitlab.com/Molcas/OpenMolcas</t>
  </si>
  <si>
    <t>Orca</t>
  </si>
  <si>
    <t>PLUMED</t>
  </si>
  <si>
    <t>https://www.plumed.org/</t>
  </si>
  <si>
    <t>Psi4</t>
  </si>
  <si>
    <t>https://psicode.org/</t>
  </si>
  <si>
    <t>Pythia</t>
  </si>
  <si>
    <t>https://pythia.org/</t>
  </si>
  <si>
    <t>PyTorch</t>
  </si>
  <si>
    <t>https://pytorch.org/</t>
  </si>
  <si>
    <t>QMCPack</t>
  </si>
  <si>
    <t>https://qmcpack.org/</t>
  </si>
  <si>
    <t>Quantum espresso</t>
  </si>
  <si>
    <t>Rastervision</t>
  </si>
  <si>
    <t>https://rastervision.io/</t>
  </si>
  <si>
    <t>Ray (python workflow man)</t>
  </si>
  <si>
    <t>https://docs.ray.io/en/latest/</t>
  </si>
  <si>
    <t>Rebound</t>
  </si>
  <si>
    <t>https://github.com/hannorein/rebound</t>
  </si>
  <si>
    <t>Revit (sucast Autodesk)</t>
  </si>
  <si>
    <t>$2,675</t>
  </si>
  <si>
    <t>https://www.autodesk.com/products/revit/overview?term=1-YEAR&amp;tab=subscription</t>
  </si>
  <si>
    <t>Root</t>
  </si>
  <si>
    <t>https://root.cern/</t>
  </si>
  <si>
    <t>Schrodinger</t>
  </si>
  <si>
    <t>https://www.schrodinger.com/</t>
  </si>
  <si>
    <t>Sofa framework (medical)</t>
  </si>
  <si>
    <t>https://www.sofa-framework.org/</t>
  </si>
  <si>
    <t>Tensorflow</t>
  </si>
  <si>
    <t>https://www.tensorflow.org/</t>
  </si>
  <si>
    <t>Terrascan/Terrasolid</t>
  </si>
  <si>
    <t>https://terrasolid.com/pricing/</t>
  </si>
  <si>
    <t>VASP</t>
  </si>
  <si>
    <t>https://www.vasp.at/sign_in/registration_form/</t>
  </si>
  <si>
    <t>XGBoost</t>
  </si>
  <si>
    <t>https://xgboost.readthedocs.io/en/stable/</t>
  </si>
  <si>
    <t>OS Redhat</t>
  </si>
  <si>
    <t>commercial support</t>
  </si>
  <si>
    <t>icluded w infra</t>
  </si>
  <si>
    <t>Slurm scheduler</t>
  </si>
  <si>
    <t>Hadoop</t>
  </si>
  <si>
    <t>Spark</t>
  </si>
  <si>
    <t>OpenStack (cloud serv)</t>
  </si>
  <si>
    <t>Aplikačné vybavenie spolu</t>
  </si>
  <si>
    <t>Kurz USD</t>
  </si>
  <si>
    <t>Software assurance</t>
  </si>
  <si>
    <t>$A$1:$K$5</t>
  </si>
  <si>
    <t>$A$7:$C$21</t>
  </si>
  <si>
    <t>$A$8:$G$13</t>
  </si>
  <si>
    <t>Scenáre výnosov</t>
  </si>
  <si>
    <t>Odhad predpokladaného predaja kapacity a služieb</t>
  </si>
  <si>
    <t>Rok 1 
(2022)</t>
  </si>
  <si>
    <t>Rok 2 
(2023)</t>
  </si>
  <si>
    <t>Rok 3 
(2024)</t>
  </si>
  <si>
    <t>Rok 4 
(2025)</t>
  </si>
  <si>
    <t>Rok 5 
(2026)</t>
  </si>
  <si>
    <t>Rok 6 
(2027)</t>
  </si>
  <si>
    <t>Rok 7 
(2028)</t>
  </si>
  <si>
    <t>Rok 8 
(2029)</t>
  </si>
  <si>
    <t>Rok 9 
(2030)</t>
  </si>
  <si>
    <t>Rok 10 
(2031)</t>
  </si>
  <si>
    <t>Konzervatívny scenár</t>
  </si>
  <si>
    <t>informácie od centier EuroHPC</t>
  </si>
  <si>
    <t>Scenár s podporou ekosystému</t>
  </si>
  <si>
    <t>odhad</t>
  </si>
  <si>
    <t>Optimistický scenár</t>
  </si>
  <si>
    <t>Scenáre IKT</t>
  </si>
  <si>
    <t>Počet nodov v roku 2024 (fáza 1)</t>
  </si>
  <si>
    <t>Počet nodov od roku 2025 (fáza 2)</t>
  </si>
  <si>
    <t>CPU</t>
  </si>
  <si>
    <t>FAT</t>
  </si>
  <si>
    <t>GPU</t>
  </si>
  <si>
    <t>Basic (52 pFLOPS)</t>
  </si>
  <si>
    <t>Basic Experimentálny (52 Pflop)</t>
  </si>
  <si>
    <t>Extended (123 pFLOPS)</t>
  </si>
  <si>
    <t>Extended Experimentálny (208 pFLOPS)</t>
  </si>
  <si>
    <t>Vstupy výnosy</t>
  </si>
  <si>
    <t>Cena za jadrohodina</t>
  </si>
  <si>
    <t>Cena za CPU nodehodina</t>
  </si>
  <si>
    <t>EUR/nodehodina</t>
  </si>
  <si>
    <t>cenník CSČ SAV</t>
  </si>
  <si>
    <t>Cena za CPU fat nodehodina</t>
  </si>
  <si>
    <t>Cena za GPU nodehodina</t>
  </si>
  <si>
    <t>Cena podpory T&amp;M</t>
  </si>
  <si>
    <t>EUR/hodina</t>
  </si>
  <si>
    <t>Počet hodín podpory ročne</t>
  </si>
  <si>
    <t>12 ľudí, 7,5 hod denne, 12 mesiacov</t>
  </si>
  <si>
    <t>Minimálna dostupnosť služieb</t>
  </si>
  <si>
    <t>Kapacita po odrátaní EuroHPC</t>
  </si>
  <si>
    <t>Vstupy prínosy</t>
  </si>
  <si>
    <t>Výnos klienta NSCC na 1 €</t>
  </si>
  <si>
    <t>na 1 eur na rok (20 % z celkového výnos 288,7 na 1 €)</t>
  </si>
  <si>
    <t>štúdia Hyperion</t>
  </si>
  <si>
    <t>Zisk/úspora klienta NSCC na 1 €</t>
  </si>
  <si>
    <t>na 1 eur na rok (20 % z celkového výnosu 48 na 1 €)</t>
  </si>
  <si>
    <t>Prínosy pre klientov NSCC - celosvetový priemer</t>
  </si>
  <si>
    <t>Celosvetový</t>
  </si>
  <si>
    <t>EÚ</t>
  </si>
  <si>
    <t>Projekt HPC</t>
  </si>
  <si>
    <t>Prínosy pre klientov NSCC - EÚ priemer</t>
  </si>
  <si>
    <t>Revenues z investície do HPC</t>
  </si>
  <si>
    <t>Celosvetovo</t>
  </si>
  <si>
    <t>Len v EÚ</t>
  </si>
  <si>
    <t>$A$1:$L$88</t>
  </si>
  <si>
    <t>$A$1:$Z$17</t>
  </si>
  <si>
    <t>$A$1:$G$15</t>
  </si>
  <si>
    <t>Investičné náklady 10 rokov</t>
  </si>
  <si>
    <t>Prevádzkové náklady 10 rokov</t>
  </si>
  <si>
    <t>Iné</t>
  </si>
  <si>
    <r>
      <t xml:space="preserve">Variant A </t>
    </r>
    <r>
      <rPr>
        <sz val="11"/>
        <color theme="1"/>
        <rFont val="Calibri"/>
        <family val="2"/>
        <charset val="238"/>
        <scheme val="minor"/>
      </rPr>
      <t>(1,8MW)</t>
    </r>
  </si>
  <si>
    <r>
      <t xml:space="preserve">Variant B </t>
    </r>
    <r>
      <rPr>
        <sz val="11"/>
        <color theme="1"/>
        <rFont val="Calibri"/>
        <family val="2"/>
        <charset val="238"/>
        <scheme val="minor"/>
      </rPr>
      <t>(3 MW)</t>
    </r>
  </si>
  <si>
    <t>HW</t>
  </si>
  <si>
    <t>Scenáre implementácie</t>
  </si>
  <si>
    <t>Náklady OPEX</t>
  </si>
  <si>
    <t>Výnosy</t>
  </si>
  <si>
    <t>Iné EU zdroje</t>
  </si>
  <si>
    <t>Náklady CAPEX</t>
  </si>
  <si>
    <t>Prenájom 1,8 MW Basic Experimentálny (52 Pflop)</t>
  </si>
  <si>
    <t>Rekonštrukcia 1,8 MW Basic Experimentálny (52 Pflop)</t>
  </si>
  <si>
    <t>Kúpa 1,8 MW Basic Experimentálny (52 Pflop)</t>
  </si>
  <si>
    <t>Zdroj POO: 7 000 000 €</t>
  </si>
  <si>
    <t>Zdroj EÚ: 4 000 000 €, Zdroj ŠR: 3 000 000</t>
  </si>
  <si>
    <t>Grantové schémy pre podporu vedecko-výskumných aktivít</t>
  </si>
  <si>
    <t>Vzdelávacie programy</t>
  </si>
  <si>
    <t>Podpora vedecko-výskumných aktivít</t>
  </si>
  <si>
    <t>Stratégia, koordinácia, osveta, marketing</t>
  </si>
  <si>
    <t>Podpora sprostredkovateľov</t>
  </si>
  <si>
    <t>Podpora vývojárov špecializovaných HPC aplikácií</t>
  </si>
  <si>
    <t>Budovanie kompetencií v špecializovaných oblastiach (CoE)</t>
  </si>
  <si>
    <t>Grantové schémy pre podporu MSP</t>
  </si>
  <si>
    <t>Podpora študijných programov na univerzitách (štipendiá, granty, študijné pobyty)</t>
  </si>
  <si>
    <t>Podpora využívania HPC v štátnej a verejnej správe</t>
  </si>
  <si>
    <t xml:space="preserve">Rekonštrukcia Basic Experimentálny </t>
  </si>
  <si>
    <t>Predpokladaný rozpad nákladov na jednotlivé aktivity, náklady sa môžu presúvať medzi aktivitami v danom roku podľa aktuálnej potreby</t>
  </si>
  <si>
    <t xml:space="preserve">cena aproximovaná z ceny prestavby: (cena rekonštrukcie + stavebné úpravy) * obchodná marža + cena pozemku </t>
  </si>
  <si>
    <t>odvodená z prestavby</t>
  </si>
  <si>
    <t>odvodená z nájmu</t>
  </si>
  <si>
    <t>cena aproximovaná z ceny nájmu: predpoklad návratnosti investície do budovy za 5 rokov prenájmu + obchodná marža</t>
  </si>
  <si>
    <t>predpokladaná cena energií</t>
  </si>
  <si>
    <t>alokácia z POO do ŠR</t>
  </si>
  <si>
    <t>ŠR (26-31)</t>
  </si>
  <si>
    <t>POO (22-25)</t>
  </si>
  <si>
    <t>MareNostrum 5</t>
  </si>
  <si>
    <t>Leonardo</t>
  </si>
  <si>
    <t xml:space="preserve">Celkové prínosy </t>
  </si>
  <si>
    <t>POO+ŠR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</si>
</sst>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\ &quot;€&quot;"/>
    <numFmt numFmtId="165" formatCode="#,##0.0000\ &quot;€&quot;"/>
    <numFmt numFmtId="166" formatCode="#,##0.00\ _€"/>
    <numFmt numFmtId="167" formatCode="#,##0.0;\-#,##0.0;\-;@"/>
    <numFmt numFmtId="168" formatCode="#,##0.00&quot; &quot;[$€-41B];[Red]&quot;-&quot;#,##0.00&quot; &quot;[$€-41B]"/>
    <numFmt numFmtId="169" formatCode="[$$-409]#,##0.00;[Red]&quot;-&quot;[$$-409]#,##0.00"/>
    <numFmt numFmtId="170" formatCode="&quot;$&quot;#,##0.00;[Red]&quot;-&quot;&quot;$&quot;#,##0.00"/>
    <numFmt numFmtId="171" formatCode="[$$-409]#,##0.00;[Red][$$-409]#,##0.00"/>
    <numFmt numFmtId="172" formatCode="#,##0\ &quot;€&quot;"/>
    <numFmt numFmtId="173" formatCode="#,##0\ _€"/>
    <numFmt numFmtId="174" formatCode="#,##0.000"/>
  </numFmts>
  <fonts count="43">
    <font>
      <sz val="11"/>
      <color theme="1"/>
      <name val="Calibri"/>
      <family val="2"/>
      <charset val="238"/>
      <scheme val="minor"/>
    </font>
    <font>
      <u/>
      <sz val="10"/>
      <color rgb="FF0000EE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rlito"/>
      <charset val="238"/>
    </font>
    <font>
      <b/>
      <sz val="10"/>
      <color rgb="FF000000"/>
      <name val="Carlito"/>
      <charset val="238"/>
    </font>
    <font>
      <sz val="10"/>
      <color rgb="FFFFFFFF"/>
      <name val="Carlito"/>
      <charset val="238"/>
    </font>
    <font>
      <sz val="10"/>
      <color rgb="FFCC0000"/>
      <name val="Carlito"/>
      <charset val="238"/>
    </font>
    <font>
      <b/>
      <sz val="10"/>
      <color rgb="FFFFFFFF"/>
      <name val="Carlito"/>
      <charset val="238"/>
    </font>
    <font>
      <i/>
      <sz val="10"/>
      <color rgb="FF808080"/>
      <name val="Carlito"/>
      <charset val="238"/>
    </font>
    <font>
      <sz val="10"/>
      <color rgb="FF006600"/>
      <name val="Carlito"/>
      <charset val="238"/>
    </font>
    <font>
      <b/>
      <sz val="24"/>
      <color rgb="FF000000"/>
      <name val="Carlito"/>
      <charset val="238"/>
    </font>
    <font>
      <sz val="18"/>
      <color rgb="FF000000"/>
      <name val="Carlito"/>
      <charset val="238"/>
    </font>
    <font>
      <sz val="12"/>
      <color rgb="FF000000"/>
      <name val="Carlito"/>
      <charset val="238"/>
    </font>
    <font>
      <u/>
      <sz val="10"/>
      <color rgb="FF0000EE"/>
      <name val="Carlito"/>
      <charset val="238"/>
    </font>
    <font>
      <sz val="10"/>
      <color rgb="FF996600"/>
      <name val="Carlito"/>
      <charset val="238"/>
    </font>
    <font>
      <sz val="10"/>
      <color rgb="FF333333"/>
      <name val="Carlito"/>
      <charset val="238"/>
    </font>
    <font>
      <b/>
      <i/>
      <u/>
      <sz val="10"/>
      <color rgb="FF000000"/>
      <name val="Carlito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9"/>
      <name val="Arial"/>
      <family val="2"/>
      <charset val="238"/>
    </font>
    <font>
      <u/>
      <sz val="8"/>
      <color rgb="FF0000EE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rgb="FF00338D"/>
      <name val="Arial"/>
      <family val="2"/>
      <charset val="238"/>
    </font>
    <font>
      <sz val="8"/>
      <color rgb="FF00338D"/>
      <name val="Arial"/>
      <family val="2"/>
      <charset val="238"/>
    </font>
    <font>
      <sz val="8"/>
      <color rgb="FF00B050"/>
      <name val="Arial"/>
      <family val="2"/>
      <charset val="238"/>
    </font>
    <font>
      <sz val="8"/>
      <color theme="4"/>
      <name val="Arial"/>
      <family val="2"/>
      <charset val="238"/>
    </font>
    <font>
      <u/>
      <sz val="8"/>
      <color theme="4"/>
      <name val="Arial"/>
      <family val="2"/>
      <charset val="238"/>
    </font>
    <font>
      <b/>
      <sz val="8"/>
      <color theme="4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FFFFFF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5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8"/>
      <color theme="4" tint="-0.249977111117893"/>
      <name val="Arial"/>
      <family val="2"/>
      <charset val="238"/>
    </font>
    <font>
      <b/>
      <sz val="8"/>
      <color theme="4" tint="-0.249977111117893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00338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00338D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/>
      <right style="thin">
        <color rgb="FF00338D"/>
      </right>
      <top style="thin">
        <color indexed="24"/>
      </top>
      <bottom/>
      <diagonal/>
    </border>
    <border>
      <left style="thin">
        <color indexed="24"/>
      </left>
      <right/>
      <top style="thin">
        <color rgb="FF00338D"/>
      </top>
      <bottom style="thin">
        <color rgb="FF00338D"/>
      </bottom>
      <diagonal/>
    </border>
    <border>
      <left/>
      <right/>
      <top style="thin">
        <color rgb="FF00338D"/>
      </top>
      <bottom style="thin">
        <color rgb="FF00338D"/>
      </bottom>
      <diagonal/>
    </border>
    <border>
      <left/>
      <right style="thin">
        <color indexed="24"/>
      </right>
      <top style="thin">
        <color rgb="FF00338D"/>
      </top>
      <bottom style="thin">
        <color rgb="FF00338D"/>
      </bottom>
      <diagonal/>
    </border>
    <border>
      <left style="thin">
        <color indexed="24"/>
      </left>
      <right/>
      <top/>
      <bottom/>
      <diagonal/>
    </border>
    <border>
      <left/>
      <right style="thin">
        <color indexed="2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4"/>
      </right>
      <top style="thin">
        <color theme="0"/>
      </top>
      <bottom style="thin">
        <color theme="0"/>
      </bottom>
      <diagonal/>
    </border>
    <border>
      <left style="thin">
        <color indexed="24"/>
      </left>
      <right/>
      <top style="thin">
        <color rgb="FF00338D"/>
      </top>
      <bottom/>
      <diagonal/>
    </border>
    <border>
      <left/>
      <right/>
      <top style="thin">
        <color rgb="FF00338D"/>
      </top>
      <bottom/>
      <diagonal/>
    </border>
    <border>
      <left/>
      <right style="thin">
        <color indexed="24"/>
      </right>
      <top style="thin">
        <color rgb="FF00338D"/>
      </top>
      <bottom/>
      <diagonal/>
    </border>
    <border>
      <left style="thin">
        <color indexed="24"/>
      </left>
      <right/>
      <top/>
      <bottom style="medium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 style="thin">
        <color indexed="24"/>
      </right>
      <top/>
      <bottom style="medium">
        <color indexed="2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4"/>
      </left>
      <right/>
      <top style="thin">
        <color rgb="FF00338D"/>
      </top>
      <bottom style="thin">
        <color indexed="24"/>
      </bottom>
      <diagonal/>
    </border>
    <border>
      <left/>
      <right/>
      <top style="thin">
        <color rgb="FF00338D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/>
      <diagonal/>
    </border>
    <border>
      <left/>
      <right style="thin">
        <color indexed="24"/>
      </right>
      <top style="thin">
        <color rgb="FF00338D"/>
      </top>
      <bottom style="thin">
        <color indexed="24"/>
      </bottom>
      <diagonal/>
    </border>
    <border>
      <left/>
      <right/>
      <top/>
      <bottom style="thin">
        <color rgb="FF00338D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rgb="FF00338D"/>
      </left>
      <right/>
      <top style="thin">
        <color rgb="FF00338D"/>
      </top>
      <bottom style="thin">
        <color rgb="FF00338D"/>
      </bottom>
      <diagonal/>
    </border>
    <border>
      <left/>
      <right/>
      <top/>
      <bottom style="thin">
        <color indexed="24"/>
      </bottom>
      <diagonal/>
    </border>
    <border>
      <left/>
      <right style="thin">
        <color indexed="24"/>
      </right>
      <top/>
      <bottom style="thin">
        <color indexed="24"/>
      </bottom>
      <diagonal/>
    </border>
    <border>
      <left style="thin">
        <color rgb="FF00338D"/>
      </left>
      <right/>
      <top style="thin">
        <color rgb="FF00338D"/>
      </top>
      <bottom style="thin">
        <color indexed="24"/>
      </bottom>
      <diagonal/>
    </border>
    <border>
      <left style="thin">
        <color rgb="FF00338D"/>
      </left>
      <right/>
      <top style="thin">
        <color rgb="FF00338D"/>
      </top>
      <bottom/>
      <diagonal/>
    </border>
    <border>
      <left style="thin">
        <color rgb="FF00338D"/>
      </left>
      <right/>
      <top/>
      <bottom/>
      <diagonal/>
    </border>
    <border>
      <left style="thin">
        <color rgb="FF00338D"/>
      </left>
      <right/>
      <top/>
      <bottom style="thin">
        <color indexed="24"/>
      </bottom>
      <diagonal/>
    </border>
    <border>
      <left style="thin">
        <color rgb="FF00338D"/>
      </left>
      <right/>
      <top/>
      <bottom style="thin">
        <color rgb="FF00338D"/>
      </bottom>
      <diagonal/>
    </border>
    <border>
      <left/>
      <right style="thin">
        <color rgb="FF00338D"/>
      </right>
      <top style="thin">
        <color rgb="FF00338D"/>
      </top>
      <bottom style="thin">
        <color rgb="FF00338D"/>
      </bottom>
      <diagonal/>
    </border>
    <border>
      <left/>
      <right style="thin">
        <color rgb="FF00338D"/>
      </right>
      <top style="thin">
        <color rgb="FF00338D"/>
      </top>
      <bottom style="thin">
        <color indexed="24"/>
      </bottom>
      <diagonal/>
    </border>
    <border>
      <left/>
      <right style="thin">
        <color rgb="FF00338D"/>
      </right>
      <top/>
      <bottom/>
      <diagonal/>
    </border>
    <border>
      <left/>
      <right style="thin">
        <color rgb="FF00338D"/>
      </right>
      <top/>
      <bottom style="thin">
        <color rgb="FF00338D"/>
      </bottom>
      <diagonal/>
    </border>
    <border>
      <left/>
      <right style="thin">
        <color rgb="FF00338D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rgb="FF00338D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338D"/>
      </left>
      <right/>
      <top/>
      <bottom style="medium">
        <color indexed="2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00338D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rgb="FF00338D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4" tint="-0.24994659260841701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4" tint="-0.24994659260841701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theme="0"/>
      </right>
      <top style="thin">
        <color indexed="2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24"/>
      </top>
      <bottom style="thin">
        <color theme="0"/>
      </bottom>
      <diagonal/>
    </border>
    <border>
      <left style="thin">
        <color theme="0"/>
      </left>
      <right style="thin">
        <color indexed="24"/>
      </right>
      <top style="thin">
        <color indexed="24"/>
      </top>
      <bottom style="thin">
        <color theme="0"/>
      </bottom>
      <diagonal/>
    </border>
    <border>
      <left style="thin">
        <color indexed="2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4"/>
      </left>
      <right style="thin">
        <color theme="0"/>
      </right>
      <top style="thin">
        <color theme="0"/>
      </top>
      <bottom style="thin">
        <color indexed="2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4"/>
      </bottom>
      <diagonal/>
    </border>
    <border>
      <left style="thin">
        <color theme="0"/>
      </left>
      <right style="thin">
        <color indexed="24"/>
      </right>
      <top style="thin">
        <color theme="0"/>
      </top>
      <bottom style="thin">
        <color indexed="2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5">
    <xf numFmtId="0" fontId="0" fillId="0" borderId="0"/>
    <xf numFmtId="0" fontId="1" fillId="0" borderId="0"/>
    <xf numFmtId="0" fontId="5" fillId="0" borderId="0"/>
    <xf numFmtId="0" fontId="13" fillId="0" borderId="0"/>
    <xf numFmtId="0" fontId="14" fillId="0" borderId="0"/>
    <xf numFmtId="0" fontId="11" fillId="9" borderId="0"/>
    <xf numFmtId="0" fontId="8" fillId="7" borderId="0"/>
    <xf numFmtId="0" fontId="16" fillId="10" borderId="0"/>
    <xf numFmtId="0" fontId="17" fillId="10" borderId="15"/>
    <xf numFmtId="0" fontId="6" fillId="0" borderId="0"/>
    <xf numFmtId="0" fontId="7" fillId="4" borderId="0"/>
    <xf numFmtId="0" fontId="7" fillId="5" borderId="0"/>
    <xf numFmtId="0" fontId="6" fillId="6" borderId="0"/>
    <xf numFmtId="0" fontId="9" fillId="8" borderId="0"/>
    <xf numFmtId="0" fontId="10" fillId="0" borderId="0"/>
    <xf numFmtId="0" fontId="12" fillId="0" borderId="0"/>
    <xf numFmtId="0" fontId="12" fillId="0" borderId="0"/>
    <xf numFmtId="0" fontId="15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8" fillId="0" borderId="0"/>
    <xf numFmtId="0" fontId="35" fillId="0" borderId="0"/>
    <xf numFmtId="0" fontId="39" fillId="0" borderId="0"/>
  </cellStyleXfs>
  <cellXfs count="323">
    <xf numFmtId="0" fontId="0" fillId="0" borderId="0" xfId="0"/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right" vertical="center"/>
    </xf>
    <xf numFmtId="164" fontId="4" fillId="3" borderId="19" xfId="0" applyNumberFormat="1" applyFont="1" applyFill="1" applyBorder="1" applyAlignment="1">
      <alignment horizontal="right" vertical="center"/>
    </xf>
    <xf numFmtId="0" fontId="4" fillId="3" borderId="24" xfId="0" applyFont="1" applyFill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1" applyFont="1"/>
    <xf numFmtId="164" fontId="21" fillId="0" borderId="0" xfId="0" applyNumberFormat="1" applyFont="1"/>
    <xf numFmtId="0" fontId="21" fillId="0" borderId="1" xfId="0" applyFont="1" applyBorder="1"/>
    <xf numFmtId="0" fontId="21" fillId="0" borderId="3" xfId="0" applyFont="1" applyBorder="1"/>
    <xf numFmtId="164" fontId="21" fillId="0" borderId="4" xfId="0" applyNumberFormat="1" applyFont="1" applyBorder="1"/>
    <xf numFmtId="0" fontId="21" fillId="0" borderId="0" xfId="0" applyFont="1" applyAlignment="1">
      <alignment horizontal="right"/>
    </xf>
    <xf numFmtId="0" fontId="21" fillId="0" borderId="5" xfId="0" applyFont="1" applyBorder="1"/>
    <xf numFmtId="164" fontId="21" fillId="0" borderId="2" xfId="0" applyNumberFormat="1" applyFont="1" applyBorder="1"/>
    <xf numFmtId="0" fontId="22" fillId="0" borderId="5" xfId="0" applyFont="1" applyBorder="1"/>
    <xf numFmtId="4" fontId="21" fillId="0" borderId="0" xfId="0" applyNumberFormat="1" applyFont="1"/>
    <xf numFmtId="0" fontId="19" fillId="0" borderId="0" xfId="0" applyFont="1"/>
    <xf numFmtId="0" fontId="4" fillId="3" borderId="0" xfId="0" applyFont="1" applyFill="1" applyAlignment="1">
      <alignment horizontal="right" vertical="center"/>
    </xf>
    <xf numFmtId="166" fontId="4" fillId="3" borderId="0" xfId="0" applyNumberFormat="1" applyFont="1" applyFill="1" applyAlignment="1">
      <alignment horizontal="right" vertical="center"/>
    </xf>
    <xf numFmtId="0" fontId="4" fillId="3" borderId="25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right"/>
    </xf>
    <xf numFmtId="0" fontId="27" fillId="3" borderId="22" xfId="0" applyFont="1" applyFill="1" applyBorder="1" applyAlignment="1">
      <alignment horizontal="right" vertical="center"/>
    </xf>
    <xf numFmtId="0" fontId="28" fillId="3" borderId="21" xfId="0" applyFont="1" applyFill="1" applyBorder="1" applyAlignment="1">
      <alignment horizontal="left" vertical="center"/>
    </xf>
    <xf numFmtId="167" fontId="3" fillId="3" borderId="12" xfId="0" applyNumberFormat="1" applyFont="1" applyFill="1" applyBorder="1" applyAlignment="1">
      <alignment horizontal="right"/>
    </xf>
    <xf numFmtId="166" fontId="4" fillId="3" borderId="14" xfId="0" applyNumberFormat="1" applyFont="1" applyFill="1" applyBorder="1" applyAlignment="1">
      <alignment horizontal="right" vertical="center"/>
    </xf>
    <xf numFmtId="166" fontId="29" fillId="3" borderId="22" xfId="0" applyNumberFormat="1" applyFont="1" applyFill="1" applyBorder="1" applyAlignment="1">
      <alignment horizontal="right" vertical="center"/>
    </xf>
    <xf numFmtId="166" fontId="29" fillId="3" borderId="23" xfId="0" applyNumberFormat="1" applyFont="1" applyFill="1" applyBorder="1" applyAlignment="1">
      <alignment horizontal="right" vertical="center"/>
    </xf>
    <xf numFmtId="166" fontId="4" fillId="3" borderId="13" xfId="0" applyNumberFormat="1" applyFont="1" applyFill="1" applyBorder="1" applyAlignment="1">
      <alignment horizontal="left" vertical="center"/>
    </xf>
    <xf numFmtId="166" fontId="4" fillId="3" borderId="25" xfId="0" applyNumberFormat="1" applyFont="1" applyFill="1" applyBorder="1" applyAlignment="1">
      <alignment horizontal="right" vertical="center"/>
    </xf>
    <xf numFmtId="166" fontId="4" fillId="3" borderId="26" xfId="0" applyNumberFormat="1" applyFont="1" applyFill="1" applyBorder="1" applyAlignment="1">
      <alignment horizontal="right" vertical="center"/>
    </xf>
    <xf numFmtId="166" fontId="30" fillId="3" borderId="0" xfId="0" applyNumberFormat="1" applyFont="1" applyFill="1" applyAlignment="1">
      <alignment horizontal="right" vertical="center"/>
    </xf>
    <xf numFmtId="166" fontId="30" fillId="3" borderId="14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3" borderId="26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right" wrapText="1"/>
    </xf>
    <xf numFmtId="0" fontId="31" fillId="0" borderId="0" xfId="0" applyFont="1"/>
    <xf numFmtId="171" fontId="21" fillId="0" borderId="0" xfId="2" applyNumberFormat="1" applyFont="1" applyAlignment="1">
      <alignment horizontal="right" wrapText="1"/>
    </xf>
    <xf numFmtId="168" fontId="21" fillId="0" borderId="0" xfId="2" applyNumberFormat="1" applyFont="1" applyAlignment="1">
      <alignment horizontal="right" wrapText="1"/>
    </xf>
    <xf numFmtId="168" fontId="21" fillId="0" borderId="0" xfId="2" applyNumberFormat="1" applyFont="1" applyAlignment="1">
      <alignment vertical="center" wrapText="1"/>
    </xf>
    <xf numFmtId="168" fontId="21" fillId="0" borderId="0" xfId="2" applyNumberFormat="1" applyFont="1" applyAlignment="1">
      <alignment wrapText="1"/>
    </xf>
    <xf numFmtId="169" fontId="21" fillId="0" borderId="0" xfId="2" applyNumberFormat="1" applyFont="1" applyAlignment="1">
      <alignment wrapText="1"/>
    </xf>
    <xf numFmtId="170" fontId="21" fillId="0" borderId="0" xfId="2" applyNumberFormat="1" applyFont="1" applyAlignment="1">
      <alignment wrapText="1"/>
    </xf>
    <xf numFmtId="168" fontId="22" fillId="0" borderId="0" xfId="0" applyNumberFormat="1" applyFont="1"/>
    <xf numFmtId="171" fontId="21" fillId="0" borderId="2" xfId="2" applyNumberFormat="1" applyFont="1" applyBorder="1" applyAlignment="1">
      <alignment horizontal="right" wrapText="1"/>
    </xf>
    <xf numFmtId="168" fontId="21" fillId="0" borderId="4" xfId="2" applyNumberFormat="1" applyFont="1" applyBorder="1" applyAlignment="1">
      <alignment horizontal="right" wrapText="1"/>
    </xf>
    <xf numFmtId="168" fontId="21" fillId="0" borderId="4" xfId="2" applyNumberFormat="1" applyFont="1" applyBorder="1" applyAlignment="1">
      <alignment vertical="center" wrapText="1"/>
    </xf>
    <xf numFmtId="168" fontId="21" fillId="0" borderId="4" xfId="2" applyNumberFormat="1" applyFont="1" applyBorder="1" applyAlignment="1">
      <alignment wrapText="1"/>
    </xf>
    <xf numFmtId="169" fontId="21" fillId="0" borderId="4" xfId="2" applyNumberFormat="1" applyFont="1" applyBorder="1" applyAlignment="1">
      <alignment wrapText="1"/>
    </xf>
    <xf numFmtId="170" fontId="21" fillId="0" borderId="4" xfId="2" applyNumberFormat="1" applyFont="1" applyBorder="1" applyAlignment="1">
      <alignment wrapText="1"/>
    </xf>
    <xf numFmtId="168" fontId="22" fillId="0" borderId="6" xfId="0" applyNumberFormat="1" applyFont="1" applyBorder="1"/>
    <xf numFmtId="0" fontId="32" fillId="0" borderId="0" xfId="1" applyFont="1"/>
    <xf numFmtId="0" fontId="33" fillId="0" borderId="0" xfId="0" applyFont="1"/>
    <xf numFmtId="164" fontId="21" fillId="0" borderId="6" xfId="0" applyNumberFormat="1" applyFont="1" applyBorder="1"/>
    <xf numFmtId="164" fontId="22" fillId="0" borderId="2" xfId="0" applyNumberFormat="1" applyFont="1" applyBorder="1"/>
    <xf numFmtId="164" fontId="22" fillId="0" borderId="4" xfId="0" applyNumberFormat="1" applyFont="1" applyBorder="1"/>
    <xf numFmtId="0" fontId="3" fillId="3" borderId="0" xfId="0" applyFont="1" applyFill="1" applyAlignment="1">
      <alignment horizontal="right"/>
    </xf>
    <xf numFmtId="0" fontId="19" fillId="0" borderId="0" xfId="0" applyFont="1" applyAlignment="1">
      <alignment horizontal="center"/>
    </xf>
    <xf numFmtId="0" fontId="34" fillId="0" borderId="0" xfId="0" applyFont="1"/>
    <xf numFmtId="172" fontId="0" fillId="0" borderId="0" xfId="0" applyNumberFormat="1"/>
    <xf numFmtId="172" fontId="19" fillId="0" borderId="0" xfId="0" applyNumberFormat="1" applyFont="1"/>
    <xf numFmtId="0" fontId="21" fillId="0" borderId="0" xfId="0" applyFont="1" applyAlignment="1">
      <alignment horizontal="left"/>
    </xf>
    <xf numFmtId="0" fontId="3" fillId="3" borderId="10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0" fontId="3" fillId="3" borderId="22" xfId="0" applyFont="1" applyFill="1" applyBorder="1" applyAlignment="1">
      <alignment horizontal="right" wrapText="1"/>
    </xf>
    <xf numFmtId="173" fontId="4" fillId="3" borderId="0" xfId="0" applyNumberFormat="1" applyFont="1" applyFill="1" applyAlignment="1">
      <alignment horizontal="right" vertical="center"/>
    </xf>
    <xf numFmtId="173" fontId="4" fillId="3" borderId="14" xfId="0" applyNumberFormat="1" applyFont="1" applyFill="1" applyBorder="1" applyAlignment="1">
      <alignment horizontal="right" vertical="center"/>
    </xf>
    <xf numFmtId="173" fontId="4" fillId="3" borderId="25" xfId="0" applyNumberFormat="1" applyFont="1" applyFill="1" applyBorder="1" applyAlignment="1">
      <alignment horizontal="right" vertical="center"/>
    </xf>
    <xf numFmtId="173" fontId="4" fillId="3" borderId="26" xfId="0" applyNumberFormat="1" applyFont="1" applyFill="1" applyBorder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0" fontId="4" fillId="0" borderId="0" xfId="0" applyNumberFormat="1" applyFont="1"/>
    <xf numFmtId="0" fontId="36" fillId="2" borderId="7" xfId="0" applyFont="1" applyFill="1" applyBorder="1" applyAlignment="1">
      <alignment horizontal="left" vertical="center"/>
    </xf>
    <xf numFmtId="0" fontId="36" fillId="2" borderId="8" xfId="0" applyFont="1" applyFill="1" applyBorder="1" applyAlignment="1">
      <alignment horizontal="left" vertical="center"/>
    </xf>
    <xf numFmtId="0" fontId="36" fillId="2" borderId="9" xfId="0" applyFont="1" applyFill="1" applyBorder="1" applyAlignment="1">
      <alignment horizontal="left" vertical="center"/>
    </xf>
    <xf numFmtId="0" fontId="37" fillId="0" borderId="0" xfId="0" applyFont="1"/>
    <xf numFmtId="166" fontId="30" fillId="0" borderId="0" xfId="0" applyNumberFormat="1" applyFont="1" applyAlignment="1">
      <alignment horizontal="right" vertical="center"/>
    </xf>
    <xf numFmtId="0" fontId="22" fillId="0" borderId="1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27" xfId="0" applyFont="1" applyBorder="1"/>
    <xf numFmtId="10" fontId="20" fillId="0" borderId="0" xfId="0" applyNumberFormat="1" applyFont="1"/>
    <xf numFmtId="10" fontId="4" fillId="0" borderId="3" xfId="0" applyNumberFormat="1" applyFont="1" applyBorder="1"/>
    <xf numFmtId="10" fontId="4" fillId="0" borderId="27" xfId="0" applyNumberFormat="1" applyFont="1" applyBorder="1"/>
    <xf numFmtId="10" fontId="4" fillId="0" borderId="30" xfId="0" applyNumberFormat="1" applyFont="1" applyBorder="1"/>
    <xf numFmtId="10" fontId="4" fillId="0" borderId="31" xfId="0" applyNumberFormat="1" applyFont="1" applyBorder="1"/>
    <xf numFmtId="10" fontId="4" fillId="0" borderId="32" xfId="0" applyNumberFormat="1" applyFont="1" applyBorder="1"/>
    <xf numFmtId="164" fontId="4" fillId="0" borderId="4" xfId="0" applyNumberFormat="1" applyFont="1" applyBorder="1"/>
    <xf numFmtId="164" fontId="4" fillId="0" borderId="6" xfId="0" applyNumberFormat="1" applyFont="1" applyBorder="1"/>
    <xf numFmtId="0" fontId="21" fillId="0" borderId="30" xfId="0" applyFont="1" applyBorder="1"/>
    <xf numFmtId="0" fontId="21" fillId="0" borderId="31" xfId="0" applyFont="1" applyBorder="1"/>
    <xf numFmtId="0" fontId="21" fillId="0" borderId="32" xfId="0" applyFont="1" applyBorder="1"/>
    <xf numFmtId="0" fontId="4" fillId="11" borderId="13" xfId="0" applyFont="1" applyFill="1" applyBorder="1" applyAlignment="1">
      <alignment horizontal="left" vertical="center"/>
    </xf>
    <xf numFmtId="166" fontId="4" fillId="11" borderId="0" xfId="0" applyNumberFormat="1" applyFont="1" applyFill="1" applyAlignment="1">
      <alignment horizontal="right" vertical="center"/>
    </xf>
    <xf numFmtId="166" fontId="4" fillId="11" borderId="14" xfId="0" applyNumberFormat="1" applyFont="1" applyFill="1" applyBorder="1" applyAlignment="1">
      <alignment horizontal="right" vertical="center"/>
    </xf>
    <xf numFmtId="0" fontId="4" fillId="12" borderId="13" xfId="0" applyFont="1" applyFill="1" applyBorder="1" applyAlignment="1">
      <alignment horizontal="left" vertical="center"/>
    </xf>
    <xf numFmtId="166" fontId="4" fillId="12" borderId="0" xfId="0" applyNumberFormat="1" applyFont="1" applyFill="1" applyAlignment="1">
      <alignment horizontal="right" vertical="center"/>
    </xf>
    <xf numFmtId="166" fontId="4" fillId="12" borderId="14" xfId="0" applyNumberFormat="1" applyFont="1" applyFill="1" applyBorder="1" applyAlignment="1">
      <alignment horizontal="right" vertical="center"/>
    </xf>
    <xf numFmtId="0" fontId="4" fillId="13" borderId="13" xfId="0" applyFont="1" applyFill="1" applyBorder="1" applyAlignment="1">
      <alignment horizontal="left" vertical="center"/>
    </xf>
    <xf numFmtId="166" fontId="4" fillId="13" borderId="0" xfId="0" applyNumberFormat="1" applyFont="1" applyFill="1" applyAlignment="1">
      <alignment horizontal="right" vertical="center"/>
    </xf>
    <xf numFmtId="166" fontId="4" fillId="13" borderId="14" xfId="0" applyNumberFormat="1" applyFont="1" applyFill="1" applyBorder="1" applyAlignment="1">
      <alignment horizontal="right" vertical="center"/>
    </xf>
    <xf numFmtId="0" fontId="4" fillId="14" borderId="13" xfId="0" applyFont="1" applyFill="1" applyBorder="1" applyAlignment="1">
      <alignment horizontal="left" vertical="center"/>
    </xf>
    <xf numFmtId="166" fontId="4" fillId="14" borderId="0" xfId="0" applyNumberFormat="1" applyFont="1" applyFill="1" applyAlignment="1">
      <alignment horizontal="right" vertical="center"/>
    </xf>
    <xf numFmtId="166" fontId="4" fillId="14" borderId="14" xfId="0" applyNumberFormat="1" applyFont="1" applyFill="1" applyBorder="1" applyAlignment="1">
      <alignment horizontal="right" vertical="center"/>
    </xf>
    <xf numFmtId="0" fontId="4" fillId="14" borderId="24" xfId="0" applyFont="1" applyFill="1" applyBorder="1" applyAlignment="1">
      <alignment horizontal="left" vertical="center"/>
    </xf>
    <xf numFmtId="166" fontId="4" fillId="14" borderId="25" xfId="0" applyNumberFormat="1" applyFont="1" applyFill="1" applyBorder="1" applyAlignment="1">
      <alignment horizontal="right" vertical="center"/>
    </xf>
    <xf numFmtId="166" fontId="4" fillId="14" borderId="26" xfId="0" applyNumberFormat="1" applyFont="1" applyFill="1" applyBorder="1" applyAlignment="1">
      <alignment horizontal="right" vertical="center"/>
    </xf>
    <xf numFmtId="166" fontId="29" fillId="3" borderId="20" xfId="0" applyNumberFormat="1" applyFont="1" applyFill="1" applyBorder="1" applyAlignment="1">
      <alignment horizontal="right" vertical="center"/>
    </xf>
    <xf numFmtId="166" fontId="4" fillId="3" borderId="20" xfId="0" applyNumberFormat="1" applyFont="1" applyFill="1" applyBorder="1" applyAlignment="1">
      <alignment horizontal="right" vertical="center"/>
    </xf>
    <xf numFmtId="166" fontId="4" fillId="3" borderId="19" xfId="0" applyNumberFormat="1" applyFont="1" applyFill="1" applyBorder="1" applyAlignment="1">
      <alignment horizontal="right" vertical="center"/>
    </xf>
    <xf numFmtId="166" fontId="2" fillId="2" borderId="8" xfId="0" applyNumberFormat="1" applyFont="1" applyFill="1" applyBorder="1" applyAlignment="1">
      <alignment horizontal="right" vertical="center"/>
    </xf>
    <xf numFmtId="166" fontId="2" fillId="2" borderId="9" xfId="0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right"/>
    </xf>
    <xf numFmtId="166" fontId="3" fillId="3" borderId="10" xfId="0" applyNumberFormat="1" applyFont="1" applyFill="1" applyBorder="1" applyAlignment="1">
      <alignment horizontal="left"/>
    </xf>
    <xf numFmtId="166" fontId="3" fillId="3" borderId="11" xfId="0" applyNumberFormat="1" applyFont="1" applyFill="1" applyBorder="1" applyAlignment="1">
      <alignment horizontal="right"/>
    </xf>
    <xf numFmtId="166" fontId="3" fillId="3" borderId="12" xfId="0" applyNumberFormat="1" applyFont="1" applyFill="1" applyBorder="1" applyAlignment="1">
      <alignment horizontal="right"/>
    </xf>
    <xf numFmtId="10" fontId="21" fillId="0" borderId="0" xfId="0" applyNumberFormat="1" applyFont="1"/>
    <xf numFmtId="0" fontId="21" fillId="0" borderId="17" xfId="0" applyFont="1" applyBorder="1"/>
    <xf numFmtId="0" fontId="21" fillId="0" borderId="4" xfId="0" applyFont="1" applyBorder="1"/>
    <xf numFmtId="4" fontId="22" fillId="0" borderId="0" xfId="0" applyNumberFormat="1" applyFont="1"/>
    <xf numFmtId="4" fontId="4" fillId="3" borderId="0" xfId="0" applyNumberFormat="1" applyFont="1" applyFill="1" applyAlignment="1">
      <alignment horizontal="right" vertical="center"/>
    </xf>
    <xf numFmtId="165" fontId="21" fillId="0" borderId="0" xfId="0" applyNumberFormat="1" applyFont="1"/>
    <xf numFmtId="4" fontId="4" fillId="3" borderId="25" xfId="0" applyNumberFormat="1" applyFont="1" applyFill="1" applyBorder="1" applyAlignment="1">
      <alignment horizontal="right" vertical="center"/>
    </xf>
    <xf numFmtId="164" fontId="4" fillId="0" borderId="17" xfId="0" applyNumberFormat="1" applyFont="1" applyBorder="1"/>
    <xf numFmtId="164" fontId="4" fillId="0" borderId="18" xfId="0" applyNumberFormat="1" applyFont="1" applyBorder="1"/>
    <xf numFmtId="4" fontId="25" fillId="3" borderId="0" xfId="0" applyNumberFormat="1" applyFont="1" applyFill="1" applyAlignment="1">
      <alignment horizontal="right" vertical="center"/>
    </xf>
    <xf numFmtId="4" fontId="25" fillId="3" borderId="25" xfId="0" applyNumberFormat="1" applyFont="1" applyFill="1" applyBorder="1" applyAlignment="1">
      <alignment horizontal="right" vertical="center"/>
    </xf>
    <xf numFmtId="164" fontId="38" fillId="0" borderId="0" xfId="0" applyNumberFormat="1" applyFont="1"/>
    <xf numFmtId="0" fontId="38" fillId="0" borderId="0" xfId="0" applyFont="1"/>
    <xf numFmtId="4" fontId="4" fillId="3" borderId="36" xfId="0" applyNumberFormat="1" applyFont="1" applyFill="1" applyBorder="1" applyAlignment="1">
      <alignment horizontal="right" vertical="center"/>
    </xf>
    <xf numFmtId="4" fontId="4" fillId="3" borderId="38" xfId="0" applyNumberFormat="1" applyFont="1" applyFill="1" applyBorder="1" applyAlignment="1">
      <alignment horizontal="right" vertical="center"/>
    </xf>
    <xf numFmtId="173" fontId="4" fillId="3" borderId="37" xfId="0" applyNumberFormat="1" applyFont="1" applyFill="1" applyBorder="1" applyAlignment="1">
      <alignment horizontal="right" vertical="center"/>
    </xf>
    <xf numFmtId="173" fontId="4" fillId="3" borderId="40" xfId="0" applyNumberFormat="1" applyFont="1" applyFill="1" applyBorder="1" applyAlignment="1">
      <alignment horizontal="right" vertical="center"/>
    </xf>
    <xf numFmtId="4" fontId="4" fillId="3" borderId="39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/>
    </xf>
    <xf numFmtId="0" fontId="21" fillId="0" borderId="43" xfId="0" applyFont="1" applyBorder="1"/>
    <xf numFmtId="0" fontId="21" fillId="0" borderId="45" xfId="0" applyFont="1" applyBorder="1"/>
    <xf numFmtId="164" fontId="21" fillId="0" borderId="46" xfId="0" applyNumberFormat="1" applyFont="1" applyBorder="1"/>
    <xf numFmtId="0" fontId="21" fillId="0" borderId="47" xfId="0" applyFont="1" applyBorder="1"/>
    <xf numFmtId="174" fontId="21" fillId="0" borderId="48" xfId="0" applyNumberFormat="1" applyFont="1" applyBorder="1"/>
    <xf numFmtId="174" fontId="21" fillId="0" borderId="41" xfId="0" applyNumberFormat="1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3" fillId="0" borderId="4" xfId="0" applyFont="1" applyBorder="1"/>
    <xf numFmtId="0" fontId="21" fillId="0" borderId="18" xfId="0" applyFont="1" applyBorder="1"/>
    <xf numFmtId="0" fontId="21" fillId="0" borderId="6" xfId="0" applyFont="1" applyBorder="1"/>
    <xf numFmtId="172" fontId="4" fillId="0" borderId="6" xfId="0" applyNumberFormat="1" applyFont="1" applyBorder="1"/>
    <xf numFmtId="172" fontId="4" fillId="0" borderId="2" xfId="0" applyNumberFormat="1" applyFont="1" applyBorder="1"/>
    <xf numFmtId="172" fontId="4" fillId="0" borderId="4" xfId="0" applyNumberFormat="1" applyFont="1" applyBorder="1"/>
    <xf numFmtId="0" fontId="4" fillId="3" borderId="0" xfId="0" applyFont="1" applyFill="1" applyAlignment="1">
      <alignment horizontal="left" vertical="center"/>
    </xf>
    <xf numFmtId="0" fontId="28" fillId="3" borderId="49" xfId="0" applyFont="1" applyFill="1" applyBorder="1" applyAlignment="1">
      <alignment horizontal="left" vertical="center"/>
    </xf>
    <xf numFmtId="166" fontId="29" fillId="3" borderId="50" xfId="0" applyNumberFormat="1" applyFont="1" applyFill="1" applyBorder="1" applyAlignment="1">
      <alignment horizontal="right" vertical="center"/>
    </xf>
    <xf numFmtId="166" fontId="2" fillId="2" borderId="51" xfId="0" applyNumberFormat="1" applyFont="1" applyFill="1" applyBorder="1" applyAlignment="1">
      <alignment horizontal="right" vertical="center"/>
    </xf>
    <xf numFmtId="166" fontId="29" fillId="3" borderId="52" xfId="0" applyNumberFormat="1" applyFont="1" applyFill="1" applyBorder="1" applyAlignment="1">
      <alignment horizontal="right" vertical="center"/>
    </xf>
    <xf numFmtId="0" fontId="40" fillId="0" borderId="0" xfId="0" applyFont="1"/>
    <xf numFmtId="164" fontId="21" fillId="0" borderId="5" xfId="0" applyNumberFormat="1" applyFont="1" applyBorder="1"/>
    <xf numFmtId="164" fontId="21" fillId="0" borderId="18" xfId="0" applyNumberFormat="1" applyFont="1" applyBorder="1"/>
    <xf numFmtId="0" fontId="36" fillId="15" borderId="0" xfId="0" applyFont="1" applyFill="1" applyAlignment="1">
      <alignment horizontal="left" vertical="center"/>
    </xf>
    <xf numFmtId="3" fontId="21" fillId="0" borderId="2" xfId="0" applyNumberFormat="1" applyFont="1" applyBorder="1"/>
    <xf numFmtId="165" fontId="21" fillId="0" borderId="6" xfId="0" applyNumberFormat="1" applyFont="1" applyBorder="1"/>
    <xf numFmtId="165" fontId="21" fillId="0" borderId="4" xfId="0" applyNumberFormat="1" applyFont="1" applyBorder="1"/>
    <xf numFmtId="0" fontId="21" fillId="0" borderId="54" xfId="0" applyFont="1" applyBorder="1"/>
    <xf numFmtId="0" fontId="21" fillId="0" borderId="18" xfId="24" applyFont="1" applyBorder="1"/>
    <xf numFmtId="0" fontId="21" fillId="0" borderId="6" xfId="24" applyFont="1" applyBorder="1"/>
    <xf numFmtId="0" fontId="21" fillId="0" borderId="57" xfId="0" applyFont="1" applyBorder="1"/>
    <xf numFmtId="164" fontId="21" fillId="0" borderId="58" xfId="0" applyNumberFormat="1" applyFont="1" applyBorder="1"/>
    <xf numFmtId="164" fontId="21" fillId="0" borderId="59" xfId="0" applyNumberFormat="1" applyFont="1" applyBorder="1"/>
    <xf numFmtId="0" fontId="21" fillId="0" borderId="29" xfId="24" applyFont="1" applyBorder="1"/>
    <xf numFmtId="0" fontId="21" fillId="0" borderId="28" xfId="24" applyFont="1" applyBorder="1"/>
    <xf numFmtId="0" fontId="21" fillId="0" borderId="55" xfId="24" applyFont="1" applyBorder="1"/>
    <xf numFmtId="0" fontId="21" fillId="0" borderId="56" xfId="24" applyFont="1" applyBorder="1"/>
    <xf numFmtId="0" fontId="21" fillId="0" borderId="60" xfId="0" applyFont="1" applyBorder="1"/>
    <xf numFmtId="0" fontId="21" fillId="0" borderId="61" xfId="24" applyFont="1" applyBorder="1"/>
    <xf numFmtId="0" fontId="21" fillId="0" borderId="62" xfId="24" applyFont="1" applyBorder="1"/>
    <xf numFmtId="166" fontId="4" fillId="3" borderId="24" xfId="0" applyNumberFormat="1" applyFont="1" applyFill="1" applyBorder="1" applyAlignment="1">
      <alignment horizontal="left" vertical="center"/>
    </xf>
    <xf numFmtId="166" fontId="29" fillId="3" borderId="50" xfId="0" applyNumberFormat="1" applyFont="1" applyFill="1" applyBorder="1" applyAlignment="1">
      <alignment vertical="center"/>
    </xf>
    <xf numFmtId="0" fontId="3" fillId="3" borderId="63" xfId="0" applyFont="1" applyFill="1" applyBorder="1" applyAlignment="1">
      <alignment horizontal="left"/>
    </xf>
    <xf numFmtId="10" fontId="4" fillId="0" borderId="5" xfId="0" applyNumberFormat="1" applyFont="1" applyBorder="1"/>
    <xf numFmtId="166" fontId="4" fillId="3" borderId="64" xfId="0" applyNumberFormat="1" applyFont="1" applyFill="1" applyBorder="1" applyAlignment="1">
      <alignment horizontal="right" vertical="center"/>
    </xf>
    <xf numFmtId="166" fontId="4" fillId="3" borderId="65" xfId="0" applyNumberFormat="1" applyFont="1" applyFill="1" applyBorder="1" applyAlignment="1">
      <alignment horizontal="right" vertical="center"/>
    </xf>
    <xf numFmtId="0" fontId="2" fillId="2" borderId="67" xfId="0" applyFont="1" applyFill="1" applyBorder="1" applyAlignment="1">
      <alignment horizontal="left" vertical="center"/>
    </xf>
    <xf numFmtId="0" fontId="28" fillId="3" borderId="66" xfId="0" applyFont="1" applyFill="1" applyBorder="1" applyAlignment="1">
      <alignment horizontal="left" vertical="center"/>
    </xf>
    <xf numFmtId="0" fontId="4" fillId="3" borderId="68" xfId="0" applyFont="1" applyFill="1" applyBorder="1" applyAlignment="1">
      <alignment horizontal="left" vertical="center"/>
    </xf>
    <xf numFmtId="0" fontId="4" fillId="3" borderId="69" xfId="0" applyFont="1" applyFill="1" applyBorder="1" applyAlignment="1">
      <alignment horizontal="left" vertical="center"/>
    </xf>
    <xf numFmtId="0" fontId="4" fillId="3" borderId="70" xfId="0" applyFont="1" applyFill="1" applyBorder="1" applyAlignment="1">
      <alignment horizontal="left" vertical="center"/>
    </xf>
    <xf numFmtId="166" fontId="4" fillId="3" borderId="53" xfId="0" applyNumberFormat="1" applyFont="1" applyFill="1" applyBorder="1" applyAlignment="1">
      <alignment horizontal="right" vertical="center"/>
    </xf>
    <xf numFmtId="0" fontId="3" fillId="3" borderId="71" xfId="0" applyFont="1" applyFill="1" applyBorder="1" applyAlignment="1">
      <alignment horizontal="right"/>
    </xf>
    <xf numFmtId="166" fontId="29" fillId="3" borderId="72" xfId="0" applyNumberFormat="1" applyFont="1" applyFill="1" applyBorder="1" applyAlignment="1">
      <alignment horizontal="right" vertical="center"/>
    </xf>
    <xf numFmtId="166" fontId="4" fillId="3" borderId="73" xfId="0" applyNumberFormat="1" applyFont="1" applyFill="1" applyBorder="1" applyAlignment="1">
      <alignment horizontal="right" vertical="center"/>
    </xf>
    <xf numFmtId="166" fontId="4" fillId="3" borderId="74" xfId="0" applyNumberFormat="1" applyFont="1" applyFill="1" applyBorder="1" applyAlignment="1">
      <alignment horizontal="right" vertical="center"/>
    </xf>
    <xf numFmtId="166" fontId="4" fillId="3" borderId="75" xfId="0" applyNumberFormat="1" applyFont="1" applyFill="1" applyBorder="1" applyAlignment="1">
      <alignment horizontal="right" vertical="center"/>
    </xf>
    <xf numFmtId="4" fontId="0" fillId="0" borderId="0" xfId="0" applyNumberFormat="1"/>
    <xf numFmtId="166" fontId="0" fillId="0" borderId="0" xfId="0" applyNumberFormat="1"/>
    <xf numFmtId="0" fontId="2" fillId="2" borderId="51" xfId="0" applyFont="1" applyFill="1" applyBorder="1" applyAlignment="1">
      <alignment horizontal="left" vertical="center"/>
    </xf>
    <xf numFmtId="166" fontId="2" fillId="2" borderId="9" xfId="0" applyNumberFormat="1" applyFont="1" applyFill="1" applyBorder="1" applyAlignment="1">
      <alignment horizontal="right" vertical="center" wrapText="1"/>
    </xf>
    <xf numFmtId="0" fontId="2" fillId="2" borderId="76" xfId="0" applyFont="1" applyFill="1" applyBorder="1" applyAlignment="1">
      <alignment horizontal="left" vertical="center"/>
    </xf>
    <xf numFmtId="0" fontId="4" fillId="3" borderId="77" xfId="0" applyFont="1" applyFill="1" applyBorder="1" applyAlignment="1">
      <alignment horizontal="left" vertical="center"/>
    </xf>
    <xf numFmtId="0" fontId="28" fillId="3" borderId="67" xfId="0" applyFont="1" applyFill="1" applyBorder="1" applyAlignment="1">
      <alignment horizontal="left" vertical="center"/>
    </xf>
    <xf numFmtId="0" fontId="4" fillId="3" borderId="78" xfId="0" applyFont="1" applyFill="1" applyBorder="1" applyAlignment="1">
      <alignment horizontal="left" vertical="center"/>
    </xf>
    <xf numFmtId="0" fontId="4" fillId="3" borderId="79" xfId="0" applyFont="1" applyFill="1" applyBorder="1" applyAlignment="1">
      <alignment horizontal="left" vertical="center"/>
    </xf>
    <xf numFmtId="10" fontId="4" fillId="3" borderId="0" xfId="0" applyNumberFormat="1" applyFont="1" applyFill="1" applyAlignment="1">
      <alignment horizontal="right" vertical="center"/>
    </xf>
    <xf numFmtId="10" fontId="4" fillId="3" borderId="64" xfId="0" applyNumberFormat="1" applyFont="1" applyFill="1" applyBorder="1" applyAlignment="1">
      <alignment horizontal="right" vertical="center"/>
    </xf>
    <xf numFmtId="10" fontId="4" fillId="3" borderId="65" xfId="0" applyNumberFormat="1" applyFont="1" applyFill="1" applyBorder="1" applyAlignment="1">
      <alignment horizontal="right" vertical="center"/>
    </xf>
    <xf numFmtId="0" fontId="2" fillId="2" borderId="80" xfId="0" applyFont="1" applyFill="1" applyBorder="1" applyAlignment="1">
      <alignment horizontal="left" vertical="center"/>
    </xf>
    <xf numFmtId="0" fontId="3" fillId="3" borderId="83" xfId="0" applyFont="1" applyFill="1" applyBorder="1" applyAlignment="1">
      <alignment horizontal="left"/>
    </xf>
    <xf numFmtId="0" fontId="3" fillId="3" borderId="84" xfId="0" applyFont="1" applyFill="1" applyBorder="1" applyAlignment="1">
      <alignment horizontal="right" wrapText="1"/>
    </xf>
    <xf numFmtId="0" fontId="3" fillId="3" borderId="85" xfId="0" applyFont="1" applyFill="1" applyBorder="1" applyAlignment="1">
      <alignment horizontal="right" wrapText="1"/>
    </xf>
    <xf numFmtId="0" fontId="3" fillId="3" borderId="86" xfId="0" applyFont="1" applyFill="1" applyBorder="1" applyAlignment="1">
      <alignment horizontal="right" wrapText="1"/>
    </xf>
    <xf numFmtId="0" fontId="3" fillId="3" borderId="87" xfId="0" applyFont="1" applyFill="1" applyBorder="1" applyAlignment="1">
      <alignment horizontal="right" wrapText="1"/>
    </xf>
    <xf numFmtId="0" fontId="4" fillId="3" borderId="88" xfId="0" applyFont="1" applyFill="1" applyBorder="1" applyAlignment="1">
      <alignment horizontal="left" vertical="center"/>
    </xf>
    <xf numFmtId="1" fontId="4" fillId="3" borderId="88" xfId="0" applyNumberFormat="1" applyFont="1" applyFill="1" applyBorder="1" applyAlignment="1">
      <alignment horizontal="right" vertical="center"/>
    </xf>
    <xf numFmtId="1" fontId="4" fillId="3" borderId="0" xfId="0" applyNumberFormat="1" applyFont="1" applyFill="1" applyAlignment="1">
      <alignment horizontal="right" vertical="center"/>
    </xf>
    <xf numFmtId="1" fontId="4" fillId="3" borderId="89" xfId="0" applyNumberFormat="1" applyFont="1" applyFill="1" applyBorder="1" applyAlignment="1">
      <alignment horizontal="right" vertical="center"/>
    </xf>
    <xf numFmtId="0" fontId="4" fillId="3" borderId="90" xfId="0" applyFont="1" applyFill="1" applyBorder="1" applyAlignment="1">
      <alignment horizontal="left" vertical="center"/>
    </xf>
    <xf numFmtId="1" fontId="4" fillId="3" borderId="90" xfId="0" applyNumberFormat="1" applyFont="1" applyFill="1" applyBorder="1" applyAlignment="1">
      <alignment horizontal="right" vertical="center"/>
    </xf>
    <xf numFmtId="1" fontId="4" fillId="3" borderId="91" xfId="0" applyNumberFormat="1" applyFont="1" applyFill="1" applyBorder="1" applyAlignment="1">
      <alignment horizontal="right" vertical="center"/>
    </xf>
    <xf numFmtId="1" fontId="4" fillId="3" borderId="92" xfId="0" applyNumberFormat="1" applyFont="1" applyFill="1" applyBorder="1" applyAlignment="1">
      <alignment horizontal="right" vertical="center"/>
    </xf>
    <xf numFmtId="0" fontId="4" fillId="3" borderId="93" xfId="0" applyFont="1" applyFill="1" applyBorder="1" applyAlignment="1">
      <alignment horizontal="left" vertical="center"/>
    </xf>
    <xf numFmtId="164" fontId="21" fillId="0" borderId="94" xfId="0" applyNumberFormat="1" applyFont="1" applyBorder="1"/>
    <xf numFmtId="0" fontId="4" fillId="3" borderId="95" xfId="0" applyFont="1" applyFill="1" applyBorder="1" applyAlignment="1">
      <alignment horizontal="left" vertical="center"/>
    </xf>
    <xf numFmtId="164" fontId="21" fillId="0" borderId="96" xfId="0" applyNumberFormat="1" applyFont="1" applyBorder="1"/>
    <xf numFmtId="3" fontId="21" fillId="0" borderId="96" xfId="0" applyNumberFormat="1" applyFont="1" applyBorder="1"/>
    <xf numFmtId="10" fontId="4" fillId="3" borderId="96" xfId="0" applyNumberFormat="1" applyFont="1" applyFill="1" applyBorder="1" applyAlignment="1">
      <alignment horizontal="right" vertical="center"/>
    </xf>
    <xf numFmtId="0" fontId="4" fillId="3" borderId="97" xfId="0" applyFont="1" applyFill="1" applyBorder="1" applyAlignment="1">
      <alignment horizontal="left" vertical="center"/>
    </xf>
    <xf numFmtId="10" fontId="4" fillId="3" borderId="98" xfId="0" applyNumberFormat="1" applyFont="1" applyFill="1" applyBorder="1" applyAlignment="1">
      <alignment horizontal="right" vertical="center"/>
    </xf>
    <xf numFmtId="164" fontId="4" fillId="3" borderId="98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3" fillId="3" borderId="99" xfId="0" applyFont="1" applyFill="1" applyBorder="1" applyAlignment="1">
      <alignment horizontal="left"/>
    </xf>
    <xf numFmtId="0" fontId="3" fillId="3" borderId="100" xfId="0" applyFont="1" applyFill="1" applyBorder="1" applyAlignment="1">
      <alignment horizontal="right"/>
    </xf>
    <xf numFmtId="0" fontId="3" fillId="3" borderId="101" xfId="0" applyFont="1" applyFill="1" applyBorder="1" applyAlignment="1">
      <alignment horizontal="right"/>
    </xf>
    <xf numFmtId="0" fontId="4" fillId="3" borderId="102" xfId="0" applyFont="1" applyFill="1" applyBorder="1" applyAlignment="1">
      <alignment horizontal="left" vertical="center"/>
    </xf>
    <xf numFmtId="166" fontId="29" fillId="3" borderId="103" xfId="0" applyNumberFormat="1" applyFont="1" applyFill="1" applyBorder="1" applyAlignment="1">
      <alignment horizontal="right" vertical="center"/>
    </xf>
    <xf numFmtId="166" fontId="4" fillId="3" borderId="103" xfId="0" applyNumberFormat="1" applyFont="1" applyFill="1" applyBorder="1" applyAlignment="1">
      <alignment horizontal="right" vertical="center"/>
    </xf>
    <xf numFmtId="0" fontId="4" fillId="3" borderId="105" xfId="0" applyFont="1" applyFill="1" applyBorder="1" applyAlignment="1">
      <alignment horizontal="left" vertical="center"/>
    </xf>
    <xf numFmtId="0" fontId="4" fillId="3" borderId="106" xfId="0" applyFont="1" applyFill="1" applyBorder="1" applyAlignment="1">
      <alignment horizontal="left" vertical="center"/>
    </xf>
    <xf numFmtId="166" fontId="29" fillId="3" borderId="107" xfId="0" applyNumberFormat="1" applyFont="1" applyFill="1" applyBorder="1" applyAlignment="1">
      <alignment horizontal="right" vertical="center"/>
    </xf>
    <xf numFmtId="166" fontId="4" fillId="3" borderId="107" xfId="0" applyNumberFormat="1" applyFont="1" applyFill="1" applyBorder="1" applyAlignment="1">
      <alignment horizontal="right" vertical="center"/>
    </xf>
    <xf numFmtId="0" fontId="41" fillId="3" borderId="0" xfId="0" applyFont="1" applyFill="1" applyAlignment="1">
      <alignment horizontal="left" vertical="center"/>
    </xf>
    <xf numFmtId="166" fontId="41" fillId="3" borderId="0" xfId="0" applyNumberFormat="1" applyFont="1" applyFill="1" applyAlignment="1">
      <alignment horizontal="right" vertical="center"/>
    </xf>
    <xf numFmtId="0" fontId="42" fillId="3" borderId="0" xfId="0" applyFont="1" applyFill="1" applyAlignment="1">
      <alignment horizontal="left" vertical="center"/>
    </xf>
    <xf numFmtId="0" fontId="0" fillId="0" borderId="13" xfId="0" applyBorder="1"/>
    <xf numFmtId="0" fontId="27" fillId="3" borderId="13" xfId="0" applyFont="1" applyFill="1" applyBorder="1" applyAlignment="1">
      <alignment horizontal="left"/>
    </xf>
    <xf numFmtId="0" fontId="27" fillId="3" borderId="0" xfId="0" applyFont="1" applyFill="1" applyAlignment="1">
      <alignment horizontal="right"/>
    </xf>
    <xf numFmtId="0" fontId="27" fillId="3" borderId="14" xfId="0" applyFont="1" applyFill="1" applyBorder="1" applyAlignment="1">
      <alignment horizontal="right"/>
    </xf>
    <xf numFmtId="0" fontId="31" fillId="0" borderId="0" xfId="1" applyFont="1"/>
    <xf numFmtId="166" fontId="4" fillId="3" borderId="104" xfId="0" applyNumberFormat="1" applyFont="1" applyFill="1" applyBorder="1" applyAlignment="1">
      <alignment horizontal="right" vertical="center"/>
    </xf>
    <xf numFmtId="166" fontId="4" fillId="3" borderId="108" xfId="0" applyNumberFormat="1" applyFont="1" applyFill="1" applyBorder="1" applyAlignment="1">
      <alignment horizontal="right" vertical="center"/>
    </xf>
    <xf numFmtId="164" fontId="21" fillId="0" borderId="113" xfId="0" applyNumberFormat="1" applyFont="1" applyBorder="1"/>
    <xf numFmtId="164" fontId="21" fillId="16" borderId="114" xfId="0" applyNumberFormat="1" applyFont="1" applyFill="1" applyBorder="1"/>
    <xf numFmtId="164" fontId="21" fillId="0" borderId="114" xfId="0" applyNumberFormat="1" applyFont="1" applyBorder="1"/>
    <xf numFmtId="164" fontId="21" fillId="0" borderId="115" xfId="0" applyNumberFormat="1" applyFont="1" applyBorder="1"/>
    <xf numFmtId="0" fontId="21" fillId="0" borderId="110" xfId="0" applyFont="1" applyBorder="1" applyAlignment="1">
      <alignment wrapText="1"/>
    </xf>
    <xf numFmtId="172" fontId="21" fillId="0" borderId="111" xfId="0" applyNumberFormat="1" applyFont="1" applyBorder="1"/>
    <xf numFmtId="172" fontId="21" fillId="0" borderId="112" xfId="0" applyNumberFormat="1" applyFont="1" applyBorder="1"/>
    <xf numFmtId="164" fontId="21" fillId="0" borderId="0" xfId="0" applyNumberFormat="1" applyFont="1" applyAlignment="1">
      <alignment wrapText="1"/>
    </xf>
    <xf numFmtId="0" fontId="36" fillId="2" borderId="7" xfId="0" applyFont="1" applyFill="1" applyBorder="1" applyAlignment="1">
      <alignment horizontal="left" vertical="center"/>
    </xf>
    <xf numFmtId="0" fontId="36" fillId="2" borderId="8" xfId="0" applyFont="1" applyFill="1" applyBorder="1" applyAlignment="1">
      <alignment horizontal="left" vertical="center"/>
    </xf>
    <xf numFmtId="0" fontId="36" fillId="2" borderId="9" xfId="0" applyFont="1" applyFill="1" applyBorder="1" applyAlignment="1">
      <alignment horizontal="left" vertical="center"/>
    </xf>
    <xf numFmtId="0" fontId="21" fillId="16" borderId="109" xfId="0" applyFont="1" applyFill="1" applyBorder="1" applyAlignment="1">
      <alignment horizontal="center"/>
    </xf>
    <xf numFmtId="0" fontId="21" fillId="0" borderId="109" xfId="0" applyFont="1" applyBorder="1" applyAlignment="1">
      <alignment horizontal="center"/>
    </xf>
    <xf numFmtId="0" fontId="2" fillId="2" borderId="81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172" fontId="19" fillId="0" borderId="0" xfId="0" applyNumberFormat="1" applyFont="1" applyAlignment="1">
      <alignment horizontal="center"/>
    </xf>
    <xf numFmtId="0" fontId="4" fillId="17" borderId="13" xfId="0" applyFont="1" applyFill="1" applyBorder="1" applyAlignment="1">
      <alignment horizontal="left" vertical="center"/>
    </xf>
    <xf numFmtId="0" fontId="4" fillId="17" borderId="0" xfId="0" applyFont="1" applyFill="1" applyAlignment="1">
      <alignment horizontal="right" vertical="center"/>
    </xf>
    <xf numFmtId="4" fontId="4" fillId="17" borderId="0" xfId="0" applyNumberFormat="1" applyFont="1" applyFill="1" applyAlignment="1">
      <alignment horizontal="right" vertical="center"/>
    </xf>
    <xf numFmtId="173" fontId="4" fillId="17" borderId="0" xfId="0" applyNumberFormat="1" applyFont="1" applyFill="1" applyAlignment="1">
      <alignment horizontal="right" vertical="center"/>
    </xf>
    <xf numFmtId="173" fontId="4" fillId="17" borderId="14" xfId="0" applyNumberFormat="1" applyFont="1" applyFill="1" applyBorder="1" applyAlignment="1">
      <alignment horizontal="right" vertical="center"/>
    </xf>
    <xf numFmtId="0" fontId="0" fillId="17" borderId="0" xfId="0" applyFill="1"/>
    <xf numFmtId="4" fontId="4" fillId="17" borderId="33" xfId="0" applyNumberFormat="1" applyFont="1" applyFill="1" applyBorder="1" applyAlignment="1">
      <alignment horizontal="right" vertical="center"/>
    </xf>
    <xf numFmtId="4" fontId="4" fillId="17" borderId="34" xfId="0" applyNumberFormat="1" applyFont="1" applyFill="1" applyBorder="1" applyAlignment="1">
      <alignment horizontal="right" vertical="center"/>
    </xf>
    <xf numFmtId="173" fontId="4" fillId="17" borderId="35" xfId="0" applyNumberFormat="1" applyFont="1" applyFill="1" applyBorder="1" applyAlignment="1">
      <alignment horizontal="right" vertical="center"/>
    </xf>
    <xf numFmtId="0" fontId="34" fillId="17" borderId="0" xfId="0" applyFont="1" applyFill="1"/>
    <xf numFmtId="0" fontId="4" fillId="17" borderId="88" xfId="0" applyFont="1" applyFill="1" applyBorder="1" applyAlignment="1">
      <alignment horizontal="left" vertical="center"/>
    </xf>
    <xf numFmtId="1" fontId="4" fillId="17" borderId="80" xfId="0" applyNumberFormat="1" applyFont="1" applyFill="1" applyBorder="1" applyAlignment="1">
      <alignment horizontal="right" vertical="center"/>
    </xf>
    <xf numFmtId="1" fontId="4" fillId="17" borderId="81" xfId="0" applyNumberFormat="1" applyFont="1" applyFill="1" applyBorder="1" applyAlignment="1">
      <alignment horizontal="right" vertical="center"/>
    </xf>
    <xf numFmtId="1" fontId="4" fillId="17" borderId="82" xfId="0" applyNumberFormat="1" applyFont="1" applyFill="1" applyBorder="1" applyAlignment="1">
      <alignment horizontal="right" vertical="center"/>
    </xf>
    <xf numFmtId="10" fontId="4" fillId="17" borderId="0" xfId="0" applyNumberFormat="1" applyFont="1" applyFill="1" applyAlignment="1">
      <alignment horizontal="right" vertical="center"/>
    </xf>
    <xf numFmtId="10" fontId="4" fillId="17" borderId="14" xfId="0" applyNumberFormat="1" applyFont="1" applyFill="1" applyBorder="1" applyAlignment="1">
      <alignment horizontal="right" vertical="center"/>
    </xf>
    <xf numFmtId="166" fontId="4" fillId="17" borderId="0" xfId="0" applyNumberFormat="1" applyFont="1" applyFill="1" applyAlignment="1">
      <alignment horizontal="right" vertical="center"/>
    </xf>
    <xf numFmtId="10" fontId="4" fillId="17" borderId="0" xfId="0" applyNumberFormat="1" applyFont="1" applyFill="1"/>
    <xf numFmtId="164" fontId="4" fillId="17" borderId="29" xfId="0" applyNumberFormat="1" applyFont="1" applyFill="1" applyBorder="1"/>
    <xf numFmtId="0" fontId="21" fillId="17" borderId="16" xfId="0" applyFont="1" applyFill="1" applyBorder="1"/>
    <xf numFmtId="0" fontId="23" fillId="17" borderId="2" xfId="0" applyFont="1" applyFill="1" applyBorder="1"/>
    <xf numFmtId="10" fontId="21" fillId="17" borderId="2" xfId="0" applyNumberFormat="1" applyFont="1" applyFill="1" applyBorder="1"/>
    <xf numFmtId="166" fontId="25" fillId="3" borderId="0" xfId="0" applyNumberFormat="1" applyFont="1" applyFill="1" applyAlignment="1">
      <alignment horizontal="right" vertical="center"/>
    </xf>
    <xf numFmtId="166" fontId="4" fillId="17" borderId="14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166" fontId="29" fillId="17" borderId="22" xfId="0" applyNumberFormat="1" applyFont="1" applyFill="1" applyBorder="1" applyAlignment="1">
      <alignment horizontal="right" vertical="center"/>
    </xf>
    <xf numFmtId="166" fontId="29" fillId="17" borderId="23" xfId="0" applyNumberFormat="1" applyFont="1" applyFill="1" applyBorder="1" applyAlignment="1">
      <alignment horizontal="right" vertical="center"/>
    </xf>
    <xf numFmtId="166" fontId="4" fillId="17" borderId="73" xfId="0" applyNumberFormat="1" applyFont="1" applyFill="1" applyBorder="1" applyAlignment="1">
      <alignment horizontal="right" vertical="center"/>
    </xf>
    <xf numFmtId="0" fontId="21" fillId="17" borderId="0" xfId="0" applyFont="1" applyFill="1"/>
    <xf numFmtId="164" fontId="21" fillId="17" borderId="44" xfId="0" applyNumberFormat="1" applyFont="1" applyFill="1" applyBorder="1"/>
    <xf numFmtId="0" fontId="21" fillId="17" borderId="55" xfId="24" applyFont="1" applyFill="1" applyBorder="1"/>
    <xf numFmtId="0" fontId="21" fillId="17" borderId="56" xfId="24" applyFont="1" applyFill="1" applyBorder="1"/>
    <xf numFmtId="0" fontId="21" fillId="17" borderId="61" xfId="24" applyFont="1" applyFill="1" applyBorder="1"/>
    <xf numFmtId="0" fontId="21" fillId="17" borderId="62" xfId="24" applyFont="1" applyFill="1" applyBorder="1"/>
    <xf numFmtId="172" fontId="21" fillId="17" borderId="111" xfId="0" applyNumberFormat="1" applyFont="1" applyFill="1" applyBorder="1"/>
    <xf numFmtId="172" fontId="21" fillId="17" borderId="112" xfId="0" applyNumberFormat="1" applyFont="1" applyFill="1" applyBorder="1"/>
    <xf numFmtId="166" fontId="4" fillId="17" borderId="26" xfId="0" applyNumberFormat="1" applyFont="1" applyFill="1" applyBorder="1" applyAlignment="1">
      <alignment horizontal="right" vertical="center"/>
    </xf>
    <xf numFmtId="166" fontId="31" fillId="3" borderId="13" xfId="0" applyNumberFormat="1" applyFont="1" applyFill="1" applyBorder="1" applyAlignment="1">
      <alignment horizontal="left" vertical="center"/>
    </xf>
    <xf numFmtId="166" fontId="31" fillId="3" borderId="0" xfId="0" applyNumberFormat="1" applyFont="1" applyFill="1" applyAlignment="1">
      <alignment horizontal="right" vertical="center"/>
    </xf>
    <xf numFmtId="166" fontId="25" fillId="0" borderId="0" xfId="0" applyNumberFormat="1" applyFont="1" applyFill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166" fontId="29" fillId="3" borderId="0" xfId="0" applyNumberFormat="1" applyFont="1" applyFill="1" applyBorder="1" applyAlignment="1">
      <alignment horizontal="right" vertical="center"/>
    </xf>
    <xf numFmtId="0" fontId="25" fillId="0" borderId="0" xfId="0" applyFont="1" applyFill="1"/>
    <xf numFmtId="164" fontId="21" fillId="17" borderId="96" xfId="0" applyNumberFormat="1" applyFont="1" applyFill="1" applyBorder="1"/>
    <xf numFmtId="166" fontId="20" fillId="3" borderId="0" xfId="0" applyNumberFormat="1" applyFont="1" applyFill="1" applyAlignment="1">
      <alignment horizontal="left" vertical="center"/>
    </xf>
  </cellXfs>
  <cellStyles count="25">
    <cellStyle name="Accent" xfId="9" xr:uid="{0D924671-1925-42E2-8E6C-30CECBDC5277}"/>
    <cellStyle name="Accent 1" xfId="10" xr:uid="{1A830F20-07DA-48A6-A87C-1BF972A2F4F1}"/>
    <cellStyle name="Accent 2" xfId="11" xr:uid="{DA4348D4-6AAA-47BE-9F38-DD967E9B1477}"/>
    <cellStyle name="Accent 3" xfId="12" xr:uid="{0F01149A-C071-4472-AC35-4A793A91FDB8}"/>
    <cellStyle name="Bad 2" xfId="6" xr:uid="{52540FCC-8A69-4859-82D0-61CB5299856E}"/>
    <cellStyle name="Error" xfId="13" xr:uid="{D8D2A14E-39E1-46DE-9606-0933FC3AC635}"/>
    <cellStyle name="Footnote" xfId="14" xr:uid="{80E01BFC-19C3-4B71-BF37-8AD12B5B7ABB}"/>
    <cellStyle name="Good 2" xfId="5" xr:uid="{864113D7-037D-4215-AF39-8D897B7FECB4}"/>
    <cellStyle name="Heading" xfId="15" xr:uid="{2238800A-D26A-4B30-AD6C-E3FE422870A5}"/>
    <cellStyle name="Heading (user)" xfId="16" xr:uid="{9D80CCB3-E0DD-4768-935F-5EA568DC1165}"/>
    <cellStyle name="Heading 1 2" xfId="3" xr:uid="{224B5D91-5823-4BE4-9398-5AEA52069B84}"/>
    <cellStyle name="Heading 2 2" xfId="4" xr:uid="{DF3DF66C-9F37-4EAC-87E6-53DC24CA1D5E}"/>
    <cellStyle name="Hyperlink 2" xfId="1" xr:uid="{00000000-0005-0000-0000-000000000000}"/>
    <cellStyle name="Hyperlink 3" xfId="17" xr:uid="{9115B17E-902F-421C-9A28-7C8A80E037AA}"/>
    <cellStyle name="Neutral 2" xfId="7" xr:uid="{B1FBEAE0-7184-410E-9673-DAE39D04205C}"/>
    <cellStyle name="Normal" xfId="0" builtinId="0"/>
    <cellStyle name="Normal 2" xfId="2" xr:uid="{3B70BA2E-F201-40B8-B69C-4E37AC54BE8B}"/>
    <cellStyle name="Normal 3" xfId="23" xr:uid="{6A212906-62E3-4263-A47C-D5F32E93E06C}"/>
    <cellStyle name="Normal 4" xfId="24" xr:uid="{7AAB6EE9-B9AE-4F7F-9814-29722FD4E8CB}"/>
    <cellStyle name="Note 2" xfId="8" xr:uid="{DD40C134-C7E7-4308-B2F0-8D99E0EE4805}"/>
    <cellStyle name="Result" xfId="18" xr:uid="{7DE52EC5-37A0-4665-9FD7-E61F5EF8EF1C}"/>
    <cellStyle name="Result (user)" xfId="19" xr:uid="{2A4056C2-63EE-4FEA-AD98-51E08364AABB}"/>
    <cellStyle name="Status" xfId="20" xr:uid="{2E3F80DC-0494-47BA-93B7-840FAE3952F1}"/>
    <cellStyle name="Text" xfId="21" xr:uid="{63E576D9-F85D-405D-B352-446906A0E21B}"/>
    <cellStyle name="Warning" xfId="22" xr:uid="{26FFC4A8-4751-4896-B57C-C4DCAA369761}"/>
  </cellStyles>
  <dxfs count="17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9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0033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Scenáre predaja kapacity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'Vstupy benefit'!$A$3</c:f>
              <c:strCache>
                <c:ptCount val="1"/>
                <c:pt idx="0">
                  <c:v>Konzervatívny scenár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'Vstupy benefit'!$B$2:$K$2</c:f>
              <c:strCache>
                <c:ptCount val="10"/>
                <c:pt idx="0">
                  <c:v>Rok 1 
(2022)</c:v>
                </c:pt>
                <c:pt idx="1">
                  <c:v>Rok 2 
(2023)</c:v>
                </c:pt>
                <c:pt idx="2">
                  <c:v>Rok 3 
(2024)</c:v>
                </c:pt>
                <c:pt idx="3">
                  <c:v>Rok 4 
(2025)</c:v>
                </c:pt>
                <c:pt idx="4">
                  <c:v>Rok 5 
(2026)</c:v>
                </c:pt>
                <c:pt idx="5">
                  <c:v>Rok 6 
(2027)</c:v>
                </c:pt>
                <c:pt idx="6">
                  <c:v>Rok 7 
(2028)</c:v>
                </c:pt>
                <c:pt idx="7">
                  <c:v>Rok 8 
(2029)</c:v>
                </c:pt>
                <c:pt idx="8">
                  <c:v>Rok 9 
(2030)</c:v>
                </c:pt>
                <c:pt idx="9">
                  <c:v>Rok 10 
(2031)</c:v>
                </c:pt>
              </c:strCache>
            </c:strRef>
          </c:cat>
          <c:val>
            <c:numRef>
              <c:f>'Vstupy benefit'!$B$3:$K$3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D5-42D9-884A-76ACB6F4FD63}"/>
            </c:ext>
          </c:extLst>
        </c:ser>
        <c:ser>
          <c:idx val="1"/>
          <c:order val="1"/>
          <c:tx>
            <c:strRef>
              <c:f>'Vstupy benefit'!$A$4</c:f>
              <c:strCache>
                <c:ptCount val="1"/>
                <c:pt idx="0">
                  <c:v>Scenár s podporou ekosystému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'Vstupy benefit'!$B$2:$K$2</c:f>
              <c:strCache>
                <c:ptCount val="10"/>
                <c:pt idx="0">
                  <c:v>Rok 1 
(2022)</c:v>
                </c:pt>
                <c:pt idx="1">
                  <c:v>Rok 2 
(2023)</c:v>
                </c:pt>
                <c:pt idx="2">
                  <c:v>Rok 3 
(2024)</c:v>
                </c:pt>
                <c:pt idx="3">
                  <c:v>Rok 4 
(2025)</c:v>
                </c:pt>
                <c:pt idx="4">
                  <c:v>Rok 5 
(2026)</c:v>
                </c:pt>
                <c:pt idx="5">
                  <c:v>Rok 6 
(2027)</c:v>
                </c:pt>
                <c:pt idx="6">
                  <c:v>Rok 7 
(2028)</c:v>
                </c:pt>
                <c:pt idx="7">
                  <c:v>Rok 8 
(2029)</c:v>
                </c:pt>
                <c:pt idx="8">
                  <c:v>Rok 9 
(2030)</c:v>
                </c:pt>
                <c:pt idx="9">
                  <c:v>Rok 10 
(2031)</c:v>
                </c:pt>
              </c:strCache>
            </c:strRef>
          </c:cat>
          <c:val>
            <c:numRef>
              <c:f>'Vstupy benefit'!$B$4:$K$4</c:f>
            </c:numRef>
          </c:val>
          <c:smooth val="0"/>
          <c:extLst>
            <c:ext xmlns:c16="http://schemas.microsoft.com/office/drawing/2014/chart" uri="{C3380CC4-5D6E-409C-BE32-E72D297353CC}">
              <c16:uniqueId val="{00000001-A6D5-42D9-884A-76ACB6F4FD63}"/>
            </c:ext>
          </c:extLst>
        </c:ser>
        <c:ser>
          <c:idx val="2"/>
          <c:order val="2"/>
          <c:tx>
            <c:strRef>
              <c:f>'Vstupy benefit'!$A$5</c:f>
              <c:strCache>
                <c:ptCount val="1"/>
                <c:pt idx="0">
                  <c:v>Optimistický scenár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'Vstupy benefit'!$B$2:$K$2</c:f>
              <c:strCache>
                <c:ptCount val="10"/>
                <c:pt idx="0">
                  <c:v>Rok 1 
(2022)</c:v>
                </c:pt>
                <c:pt idx="1">
                  <c:v>Rok 2 
(2023)</c:v>
                </c:pt>
                <c:pt idx="2">
                  <c:v>Rok 3 
(2024)</c:v>
                </c:pt>
                <c:pt idx="3">
                  <c:v>Rok 4 
(2025)</c:v>
                </c:pt>
                <c:pt idx="4">
                  <c:v>Rok 5 
(2026)</c:v>
                </c:pt>
                <c:pt idx="5">
                  <c:v>Rok 6 
(2027)</c:v>
                </c:pt>
                <c:pt idx="6">
                  <c:v>Rok 7 
(2028)</c:v>
                </c:pt>
                <c:pt idx="7">
                  <c:v>Rok 8 
(2029)</c:v>
                </c:pt>
                <c:pt idx="8">
                  <c:v>Rok 9 
(2030)</c:v>
                </c:pt>
                <c:pt idx="9">
                  <c:v>Rok 10 
(2031)</c:v>
                </c:pt>
              </c:strCache>
            </c:strRef>
          </c:cat>
          <c:val>
            <c:numRef>
              <c:f>'Vstupy benefit'!$B$5:$K$5</c:f>
            </c:numRef>
          </c:val>
          <c:smooth val="0"/>
          <c:extLst>
            <c:ext xmlns:c16="http://schemas.microsoft.com/office/drawing/2014/chart" uri="{C3380CC4-5D6E-409C-BE32-E72D297353CC}">
              <c16:uniqueId val="{00000002-A6D5-42D9-884A-76ACB6F4F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538208"/>
        <c:axId val="1885540288"/>
      </c:lineChart>
      <c:catAx>
        <c:axId val="188553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85540288"/>
        <c:crossesAt val="0"/>
        <c:auto val="1"/>
        <c:lblAlgn val="ctr"/>
        <c:lblOffset val="100"/>
        <c:noMultiLvlLbl val="0"/>
      </c:catAx>
      <c:valAx>
        <c:axId val="188554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8553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Predpokladané výnosy klientov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'Výnosy klientov'!$N$3</c:f>
              <c:strCache>
                <c:ptCount val="1"/>
                <c:pt idx="0">
                  <c:v>Celosvetový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'Výnosy klientov'!$O$2:$S$2</c:f>
              <c:strCache>
                <c:ptCount val="5"/>
                <c:pt idx="0">
                  <c:v>Rok 6 (2027)</c:v>
                </c:pt>
                <c:pt idx="1">
                  <c:v>Rok 7 (2028)</c:v>
                </c:pt>
                <c:pt idx="2">
                  <c:v>Rok 8 (2029)</c:v>
                </c:pt>
                <c:pt idx="3">
                  <c:v>Rok 9 (2030)</c:v>
                </c:pt>
                <c:pt idx="4">
                  <c:v>Rok 10 (2031)</c:v>
                </c:pt>
              </c:strCache>
            </c:strRef>
          </c:cat>
          <c:val>
            <c:numRef>
              <c:f>'Výnosy klientov'!$O$3:$S$3</c:f>
              <c:numCache>
                <c:formatCode>#\ ##0.00\ _€</c:formatCode>
                <c:ptCount val="5"/>
                <c:pt idx="0">
                  <c:v>14925099.815999998</c:v>
                </c:pt>
                <c:pt idx="1">
                  <c:v>29850199.631999996</c:v>
                </c:pt>
                <c:pt idx="2">
                  <c:v>326515558.24799997</c:v>
                </c:pt>
                <c:pt idx="3">
                  <c:v>435354077.66399997</c:v>
                </c:pt>
                <c:pt idx="4">
                  <c:v>653031116.49599993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6B-4056-B02F-0A8403BDA58B}"/>
            </c:ext>
          </c:extLst>
        </c:ser>
        <c:ser>
          <c:idx val="1"/>
          <c:order val="1"/>
          <c:tx>
            <c:strRef>
              <c:f>'Výnosy klientov'!$N$4</c:f>
              <c:strCache>
                <c:ptCount val="1"/>
                <c:pt idx="0">
                  <c:v>EÚ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'Výnosy klientov'!$O$2:$S$2</c:f>
              <c:strCache>
                <c:ptCount val="5"/>
                <c:pt idx="0">
                  <c:v>Rok 6 (2027)</c:v>
                </c:pt>
                <c:pt idx="1">
                  <c:v>Rok 7 (2028)</c:v>
                </c:pt>
                <c:pt idx="2">
                  <c:v>Rok 8 (2029)</c:v>
                </c:pt>
                <c:pt idx="3">
                  <c:v>Rok 9 (2030)</c:v>
                </c:pt>
                <c:pt idx="4">
                  <c:v>Rok 10 (2031)</c:v>
                </c:pt>
              </c:strCache>
            </c:strRef>
          </c:cat>
          <c:val>
            <c:numRef>
              <c:f>'Výnosy klientov'!$O$4:$S$4</c:f>
              <c:numCache>
                <c:formatCode>#\ ##0.00\ _€</c:formatCode>
                <c:ptCount val="5"/>
                <c:pt idx="0">
                  <c:v>9216847.7366399989</c:v>
                </c:pt>
                <c:pt idx="1">
                  <c:v>18433695.473279998</c:v>
                </c:pt>
                <c:pt idx="2">
                  <c:v>201636452.76191998</c:v>
                </c:pt>
                <c:pt idx="3">
                  <c:v>268848603.68255997</c:v>
                </c:pt>
                <c:pt idx="4">
                  <c:v>403272905.52383995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6B-4056-B02F-0A8403BDA58B}"/>
            </c:ext>
          </c:extLst>
        </c:ser>
        <c:ser>
          <c:idx val="2"/>
          <c:order val="2"/>
          <c:tx>
            <c:strRef>
              <c:f>'Výnosy klientov'!$N$5</c:f>
              <c:strCache>
                <c:ptCount val="1"/>
                <c:pt idx="0">
                  <c:v>Projekt HPC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'Výnosy klientov'!$O$2:$S$2</c:f>
              <c:strCache>
                <c:ptCount val="5"/>
                <c:pt idx="0">
                  <c:v>Rok 6 (2027)</c:v>
                </c:pt>
                <c:pt idx="1">
                  <c:v>Rok 7 (2028)</c:v>
                </c:pt>
                <c:pt idx="2">
                  <c:v>Rok 8 (2029)</c:v>
                </c:pt>
                <c:pt idx="3">
                  <c:v>Rok 9 (2030)</c:v>
                </c:pt>
                <c:pt idx="4">
                  <c:v>Rok 10 (2031)</c:v>
                </c:pt>
              </c:strCache>
            </c:strRef>
          </c:cat>
          <c:val>
            <c:numRef>
              <c:f>'Výnosy klientov'!$O$5:$S$5</c:f>
              <c:numCache>
                <c:formatCode>#\ ##0.00\ _€</c:formatCode>
                <c:ptCount val="5"/>
                <c:pt idx="0">
                  <c:v>921684.77366399998</c:v>
                </c:pt>
                <c:pt idx="1">
                  <c:v>2765054.3209919999</c:v>
                </c:pt>
                <c:pt idx="2">
                  <c:v>22928699.597183999</c:v>
                </c:pt>
                <c:pt idx="3">
                  <c:v>49813559.965439998</c:v>
                </c:pt>
                <c:pt idx="4">
                  <c:v>90140850.517823994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6B-4056-B02F-0A8403BDA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9713232"/>
        <c:axId val="1579714896"/>
      </c:lineChart>
      <c:catAx>
        <c:axId val="157971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79714896"/>
        <c:crosses val="autoZero"/>
        <c:auto val="1"/>
        <c:lblAlgn val="ctr"/>
        <c:lblOffset val="100"/>
        <c:noMultiLvlLbl val="0"/>
      </c:catAx>
      <c:valAx>
        <c:axId val="157971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79713232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'Zdroje financovania'!$C$2</c:f>
              <c:strCache>
                <c:ptCount val="1"/>
                <c:pt idx="0">
                  <c:v>Prevádzkové náklady 10 rokov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'Zdroje financovania'!$A$4:$A$15</c:f>
              <c:strCache>
                <c:ptCount val="12"/>
                <c:pt idx="0">
                  <c:v>Rekonštrukcia Basic Experimentálny</c:v>
                </c:pt>
                <c:pt idx="1">
                  <c:v>Prenájom Basic Experimentálny</c:v>
                </c:pt>
                <c:pt idx="2">
                  <c:v>Kúpa Basic</c:v>
                </c:pt>
                <c:pt idx="3">
                  <c:v>Rekonštrukcia Basic</c:v>
                </c:pt>
                <c:pt idx="4">
                  <c:v>Prenájom Basic</c:v>
                </c:pt>
                <c:pt idx="5">
                  <c:v>Rekonštrukcia Extended</c:v>
                </c:pt>
                <c:pt idx="6">
                  <c:v>Kúpa Extended</c:v>
                </c:pt>
                <c:pt idx="7">
                  <c:v>Prenájom Extended</c:v>
                </c:pt>
                <c:pt idx="8">
                  <c:v>Rekonštrukcia Extended Experimentálny</c:v>
                </c:pt>
                <c:pt idx="9">
                  <c:v>Kúpa Extended Experimentálny</c:v>
                </c:pt>
                <c:pt idx="10">
                  <c:v>Prenájom Extended Experimentálny</c:v>
                </c:pt>
                <c:pt idx="11">
                  <c:v>Outsourcing HPC</c:v>
                </c:pt>
              </c:strCache>
            </c:strRef>
          </c:cat>
          <c:val>
            <c:numRef>
              <c:f>'Zdroje financovania'!$C$4:$C$15</c:f>
              <c:numCache>
                <c:formatCode>#\ ##0.00\ _€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5-4D92-A9F6-9BB94DEC4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8125776"/>
        <c:axId val="1778123696"/>
      </c:barChart>
      <c:catAx>
        <c:axId val="177812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78123696"/>
        <c:crosses val="autoZero"/>
        <c:auto val="1"/>
        <c:lblAlgn val="ctr"/>
        <c:lblOffset val="100"/>
        <c:noMultiLvlLbl val="0"/>
      </c:catAx>
      <c:valAx>
        <c:axId val="177812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7812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Zdroje financovania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19145056867891513"/>
          <c:y val="0.21078521434820643"/>
          <c:w val="0.34487685914260718"/>
          <c:h val="0.574794765237678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C0-472C-AEB2-0F3D75524C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8C1-460E-ACE2-B877E14573B0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8C1-460E-ACE2-B877E14573B0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8C1-460E-ACE2-B877E14573B0}"/>
              </c:ext>
            </c:extLst>
          </c:dPt>
          <c:dLbls>
            <c:dLbl>
              <c:idx val="1"/>
              <c:layout>
                <c:manualLayout>
                  <c:x val="0.1361111111111111"/>
                  <c:y val="-1.3888888888888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1-460E-ACE2-B877E14573B0}"/>
                </c:ext>
              </c:extLst>
            </c:dLbl>
            <c:dLbl>
              <c:idx val="2"/>
              <c:layout>
                <c:manualLayout>
                  <c:x val="-9.1666666666666688E-2"/>
                  <c:y val="1.3888888888888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1-460E-ACE2-B877E14573B0}"/>
                </c:ext>
              </c:extLst>
            </c:dLbl>
            <c:dLbl>
              <c:idx val="3"/>
              <c:layout>
                <c:manualLayout>
                  <c:x val="-8.611111111111111E-2"/>
                  <c:y val="4.16666666666666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C1-460E-ACE2-B877E14573B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'Zdroje financovania'!$D$2:$G$2</c:f>
              <c:strCache>
                <c:ptCount val="4"/>
                <c:pt idx="0">
                  <c:v>POO</c:v>
                </c:pt>
                <c:pt idx="1">
                  <c:v>EuroHPC</c:v>
                </c:pt>
                <c:pt idx="2">
                  <c:v>ŠR</c:v>
                </c:pt>
                <c:pt idx="3">
                  <c:v>Iné</c:v>
                </c:pt>
              </c:strCache>
            </c:strRef>
          </c:cat>
          <c:val>
            <c:numRef>
              <c:f>'Zdroje financovania'!$D$16:$G$16</c:f>
              <c:numCache>
                <c:formatCode>#\ ##0.00\ _€</c:formatCode>
                <c:ptCount val="4"/>
                <c:pt idx="0">
                  <c:v>796780830.04619277</c:v>
                </c:pt>
                <c:pt idx="1">
                  <c:v>385710232.69719416</c:v>
                </c:pt>
                <c:pt idx="2">
                  <c:v>1053058779.3142095</c:v>
                </c:pt>
                <c:pt idx="3">
                  <c:v>49280000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1-460E-ACE2-B877E1457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386439195100613"/>
          <c:y val="0.38483741615631378"/>
          <c:w val="0.27615988626421695"/>
          <c:h val="0.258681102362204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Pomer investičných a prevádzkových nákladov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'Zdroje financovania'!$B$2</c:f>
              <c:strCache>
                <c:ptCount val="1"/>
                <c:pt idx="0">
                  <c:v>Investičné náklady 10 rokov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'Zdroje financovania'!$A$4:$A$15</c:f>
              <c:strCache>
                <c:ptCount val="12"/>
                <c:pt idx="0">
                  <c:v>Rekonštrukcia Basic Experimentálny</c:v>
                </c:pt>
                <c:pt idx="1">
                  <c:v>Prenájom Basic Experimentálny</c:v>
                </c:pt>
                <c:pt idx="2">
                  <c:v>Kúpa Basic</c:v>
                </c:pt>
                <c:pt idx="3">
                  <c:v>Rekonštrukcia Basic</c:v>
                </c:pt>
                <c:pt idx="4">
                  <c:v>Prenájom Basic</c:v>
                </c:pt>
                <c:pt idx="5">
                  <c:v>Rekonštrukcia Extended</c:v>
                </c:pt>
                <c:pt idx="6">
                  <c:v>Kúpa Extended</c:v>
                </c:pt>
                <c:pt idx="7">
                  <c:v>Prenájom Extended</c:v>
                </c:pt>
                <c:pt idx="8">
                  <c:v>Rekonštrukcia Extended Experimentálny</c:v>
                </c:pt>
                <c:pt idx="9">
                  <c:v>Kúpa Extended Experimentálny</c:v>
                </c:pt>
                <c:pt idx="10">
                  <c:v>Prenájom Extended Experimentálny</c:v>
                </c:pt>
                <c:pt idx="11">
                  <c:v>Outsourcing HPC</c:v>
                </c:pt>
              </c:strCache>
            </c:strRef>
          </c:cat>
          <c:val>
            <c:numRef>
              <c:f>'Zdroje financovania'!$B$4:$B$15</c:f>
              <c:numCache>
                <c:formatCode>#\ ##0.00\ _€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F-4786-BDAA-F62D95E742A6}"/>
            </c:ext>
          </c:extLst>
        </c:ser>
        <c:ser>
          <c:idx val="1"/>
          <c:order val="1"/>
          <c:tx>
            <c:strRef>
              <c:f>'Zdroje financovania'!$C$2</c:f>
              <c:strCache>
                <c:ptCount val="1"/>
                <c:pt idx="0">
                  <c:v>Prevádzkové náklady 10 rokov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'Zdroje financovania'!$A$4:$A$15</c:f>
              <c:strCache>
                <c:ptCount val="12"/>
                <c:pt idx="0">
                  <c:v>Rekonštrukcia Basic Experimentálny</c:v>
                </c:pt>
                <c:pt idx="1">
                  <c:v>Prenájom Basic Experimentálny</c:v>
                </c:pt>
                <c:pt idx="2">
                  <c:v>Kúpa Basic</c:v>
                </c:pt>
                <c:pt idx="3">
                  <c:v>Rekonštrukcia Basic</c:v>
                </c:pt>
                <c:pt idx="4">
                  <c:v>Prenájom Basic</c:v>
                </c:pt>
                <c:pt idx="5">
                  <c:v>Rekonštrukcia Extended</c:v>
                </c:pt>
                <c:pt idx="6">
                  <c:v>Kúpa Extended</c:v>
                </c:pt>
                <c:pt idx="7">
                  <c:v>Prenájom Extended</c:v>
                </c:pt>
                <c:pt idx="8">
                  <c:v>Rekonštrukcia Extended Experimentálny</c:v>
                </c:pt>
                <c:pt idx="9">
                  <c:v>Kúpa Extended Experimentálny</c:v>
                </c:pt>
                <c:pt idx="10">
                  <c:v>Prenájom Extended Experimentálny</c:v>
                </c:pt>
                <c:pt idx="11">
                  <c:v>Outsourcing HPC</c:v>
                </c:pt>
              </c:strCache>
            </c:strRef>
          </c:cat>
          <c:val>
            <c:numRef>
              <c:f>'Zdroje financovania'!$C$4:$C$15</c:f>
              <c:numCache>
                <c:formatCode>#\ ##0.00\ _€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2F-4786-BDAA-F62D95E74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4846064"/>
        <c:axId val="544864368"/>
      </c:barChart>
      <c:catAx>
        <c:axId val="54484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44864368"/>
        <c:crosses val="autoZero"/>
        <c:auto val="1"/>
        <c:lblAlgn val="ctr"/>
        <c:lblOffset val="100"/>
        <c:noMultiLvlLbl val="0"/>
      </c:catAx>
      <c:valAx>
        <c:axId val="54486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4484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Pomer zdrojov financovania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'Zdroje financovania'!$D$2</c:f>
              <c:strCache>
                <c:ptCount val="1"/>
                <c:pt idx="0">
                  <c:v>POO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'Zdroje financovania'!$A$3:$A$14</c:f>
              <c:strCache>
                <c:ptCount val="12"/>
                <c:pt idx="0">
                  <c:v>Kúpa Basic Experimentálny</c:v>
                </c:pt>
                <c:pt idx="1">
                  <c:v>Rekonštrukcia Basic Experimentálny</c:v>
                </c:pt>
                <c:pt idx="2">
                  <c:v>Prenájom Basic Experimentálny</c:v>
                </c:pt>
                <c:pt idx="3">
                  <c:v>Kúpa Basic</c:v>
                </c:pt>
                <c:pt idx="4">
                  <c:v>Rekonštrukcia Basic</c:v>
                </c:pt>
                <c:pt idx="5">
                  <c:v>Prenájom Basic</c:v>
                </c:pt>
                <c:pt idx="6">
                  <c:v>Rekonštrukcia Extended</c:v>
                </c:pt>
                <c:pt idx="7">
                  <c:v>Kúpa Extended</c:v>
                </c:pt>
                <c:pt idx="8">
                  <c:v>Prenájom Extended</c:v>
                </c:pt>
                <c:pt idx="9">
                  <c:v>Rekonštrukcia Extended Experimentálny</c:v>
                </c:pt>
                <c:pt idx="10">
                  <c:v>Kúpa Extended Experimentálny</c:v>
                </c:pt>
                <c:pt idx="11">
                  <c:v>Prenájom Extended Experimentálny</c:v>
                </c:pt>
              </c:strCache>
            </c:strRef>
          </c:cat>
          <c:val>
            <c:numRef>
              <c:f>'Zdroje financovania'!$D$3:$D$14</c:f>
              <c:numCache>
                <c:formatCode>#\ ##0.00\ _€</c:formatCode>
                <c:ptCount val="12"/>
                <c:pt idx="0">
                  <c:v>41862004.765408807</c:v>
                </c:pt>
                <c:pt idx="1">
                  <c:v>29526004.765408803</c:v>
                </c:pt>
                <c:pt idx="2">
                  <c:v>19743058.285188802</c:v>
                </c:pt>
                <c:pt idx="3">
                  <c:v>50716642.381408803</c:v>
                </c:pt>
                <c:pt idx="4">
                  <c:v>40602260.6481888</c:v>
                </c:pt>
                <c:pt idx="5">
                  <c:v>28597695.901188802</c:v>
                </c:pt>
                <c:pt idx="6">
                  <c:v>94210333.764131978</c:v>
                </c:pt>
                <c:pt idx="7">
                  <c:v>112432333.76413198</c:v>
                </c:pt>
                <c:pt idx="8">
                  <c:v>66328070.123912007</c:v>
                </c:pt>
                <c:pt idx="9">
                  <c:v>78793430.669147998</c:v>
                </c:pt>
                <c:pt idx="10">
                  <c:v>97015430.669147983</c:v>
                </c:pt>
                <c:pt idx="11">
                  <c:v>50911167.028928004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D-4A48-98DA-10E5A70D5347}"/>
            </c:ext>
          </c:extLst>
        </c:ser>
        <c:ser>
          <c:idx val="1"/>
          <c:order val="1"/>
          <c:tx>
            <c:strRef>
              <c:f>'Zdroje financovania'!$E$2</c:f>
              <c:strCache>
                <c:ptCount val="1"/>
                <c:pt idx="0">
                  <c:v>EuroHPC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'Zdroje financovania'!$A$3:$A$14</c:f>
              <c:strCache>
                <c:ptCount val="12"/>
                <c:pt idx="0">
                  <c:v>Kúpa Basic Experimentálny</c:v>
                </c:pt>
                <c:pt idx="1">
                  <c:v>Rekonštrukcia Basic Experimentálny</c:v>
                </c:pt>
                <c:pt idx="2">
                  <c:v>Prenájom Basic Experimentálny</c:v>
                </c:pt>
                <c:pt idx="3">
                  <c:v>Kúpa Basic</c:v>
                </c:pt>
                <c:pt idx="4">
                  <c:v>Rekonštrukcia Basic</c:v>
                </c:pt>
                <c:pt idx="5">
                  <c:v>Prenájom Basic</c:v>
                </c:pt>
                <c:pt idx="6">
                  <c:v>Rekonštrukcia Extended</c:v>
                </c:pt>
                <c:pt idx="7">
                  <c:v>Kúpa Extended</c:v>
                </c:pt>
                <c:pt idx="8">
                  <c:v>Prenájom Extended</c:v>
                </c:pt>
                <c:pt idx="9">
                  <c:v>Rekonštrukcia Extended Experimentálny</c:v>
                </c:pt>
                <c:pt idx="10">
                  <c:v>Kúpa Extended Experimentálny</c:v>
                </c:pt>
                <c:pt idx="11">
                  <c:v>Prenájom Extended Experimentálny</c:v>
                </c:pt>
              </c:strCache>
            </c:strRef>
          </c:cat>
          <c:val>
            <c:numRef>
              <c:f>'Zdroje financovania'!$E$3:$E$14</c:f>
              <c:numCache>
                <c:formatCode>#\ ##0.00\ _€</c:formatCode>
                <c:ptCount val="12"/>
                <c:pt idx="0">
                  <c:v>11506114.020804068</c:v>
                </c:pt>
                <c:pt idx="1">
                  <c:v>11506114.020804068</c:v>
                </c:pt>
                <c:pt idx="2">
                  <c:v>17261466.420804068</c:v>
                </c:pt>
                <c:pt idx="3">
                  <c:v>16591930.89680407</c:v>
                </c:pt>
                <c:pt idx="4">
                  <c:v>0</c:v>
                </c:pt>
                <c:pt idx="5">
                  <c:v>22347283.29680407</c:v>
                </c:pt>
                <c:pt idx="6">
                  <c:v>50648361.353350297</c:v>
                </c:pt>
                <c:pt idx="7">
                  <c:v>47918361.353350297</c:v>
                </c:pt>
                <c:pt idx="8">
                  <c:v>58779836.033350289</c:v>
                </c:pt>
                <c:pt idx="9">
                  <c:v>47916430.207040988</c:v>
                </c:pt>
                <c:pt idx="10">
                  <c:v>45186430.207040988</c:v>
                </c:pt>
                <c:pt idx="11">
                  <c:v>56047904.88704098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CD-4A48-98DA-10E5A70D5347}"/>
            </c:ext>
          </c:extLst>
        </c:ser>
        <c:ser>
          <c:idx val="2"/>
          <c:order val="2"/>
          <c:tx>
            <c:strRef>
              <c:f>'Zdroje financovania'!$F$2</c:f>
              <c:strCache>
                <c:ptCount val="1"/>
                <c:pt idx="0">
                  <c:v>ŠR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'Zdroje financovania'!$A$3:$A$14</c:f>
              <c:strCache>
                <c:ptCount val="12"/>
                <c:pt idx="0">
                  <c:v>Kúpa Basic Experimentálny</c:v>
                </c:pt>
                <c:pt idx="1">
                  <c:v>Rekonštrukcia Basic Experimentálny</c:v>
                </c:pt>
                <c:pt idx="2">
                  <c:v>Prenájom Basic Experimentálny</c:v>
                </c:pt>
                <c:pt idx="3">
                  <c:v>Kúpa Basic</c:v>
                </c:pt>
                <c:pt idx="4">
                  <c:v>Rekonštrukcia Basic</c:v>
                </c:pt>
                <c:pt idx="5">
                  <c:v>Prenájom Basic</c:v>
                </c:pt>
                <c:pt idx="6">
                  <c:v>Rekonštrukcia Extended</c:v>
                </c:pt>
                <c:pt idx="7">
                  <c:v>Kúpa Extended</c:v>
                </c:pt>
                <c:pt idx="8">
                  <c:v>Prenájom Extended</c:v>
                </c:pt>
                <c:pt idx="9">
                  <c:v>Rekonštrukcia Extended Experimentálny</c:v>
                </c:pt>
                <c:pt idx="10">
                  <c:v>Kúpa Extended Experimentálny</c:v>
                </c:pt>
                <c:pt idx="11">
                  <c:v>Prenájom Extended Experimentálny</c:v>
                </c:pt>
              </c:strCache>
            </c:strRef>
          </c:cat>
          <c:val>
            <c:numRef>
              <c:f>'Zdroje financovania'!$F$3:$F$14</c:f>
              <c:numCache>
                <c:formatCode>#\ ##0.00\ _€</c:formatCode>
                <c:ptCount val="12"/>
                <c:pt idx="0">
                  <c:v>26567256.675643891</c:v>
                </c:pt>
                <c:pt idx="1">
                  <c:v>26567256.675643891</c:v>
                </c:pt>
                <c:pt idx="2">
                  <c:v>42182307.038163573</c:v>
                </c:pt>
                <c:pt idx="3">
                  <c:v>21471540.231643893</c:v>
                </c:pt>
                <c:pt idx="4">
                  <c:v>29731450.583799642</c:v>
                </c:pt>
                <c:pt idx="5">
                  <c:v>37086590.594163574</c:v>
                </c:pt>
                <c:pt idx="6">
                  <c:v>77257398.296495199</c:v>
                </c:pt>
                <c:pt idx="7">
                  <c:v>77257398.296495199</c:v>
                </c:pt>
                <c:pt idx="8">
                  <c:v>103877529.13901488</c:v>
                </c:pt>
                <c:pt idx="9">
                  <c:v>86724978.980123445</c:v>
                </c:pt>
                <c:pt idx="10">
                  <c:v>86724978.980123445</c:v>
                </c:pt>
                <c:pt idx="11">
                  <c:v>115217109.82264313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CD-4A48-98DA-10E5A70D5347}"/>
            </c:ext>
          </c:extLst>
        </c:ser>
        <c:ser>
          <c:idx val="3"/>
          <c:order val="3"/>
          <c:tx>
            <c:strRef>
              <c:f>'Zdroje financovania'!$G$2</c:f>
              <c:strCache>
                <c:ptCount val="1"/>
                <c:pt idx="0">
                  <c:v>Iné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'Zdroje financovania'!$A$3:$A$14</c:f>
              <c:strCache>
                <c:ptCount val="12"/>
                <c:pt idx="0">
                  <c:v>Kúpa Basic Experimentálny</c:v>
                </c:pt>
                <c:pt idx="1">
                  <c:v>Rekonštrukcia Basic Experimentálny</c:v>
                </c:pt>
                <c:pt idx="2">
                  <c:v>Prenájom Basic Experimentálny</c:v>
                </c:pt>
                <c:pt idx="3">
                  <c:v>Kúpa Basic</c:v>
                </c:pt>
                <c:pt idx="4">
                  <c:v>Rekonštrukcia Basic</c:v>
                </c:pt>
                <c:pt idx="5">
                  <c:v>Prenájom Basic</c:v>
                </c:pt>
                <c:pt idx="6">
                  <c:v>Rekonštrukcia Extended</c:v>
                </c:pt>
                <c:pt idx="7">
                  <c:v>Kúpa Extended</c:v>
                </c:pt>
                <c:pt idx="8">
                  <c:v>Prenájom Extended</c:v>
                </c:pt>
                <c:pt idx="9">
                  <c:v>Rekonštrukcia Extended Experimentálny</c:v>
                </c:pt>
                <c:pt idx="10">
                  <c:v>Kúpa Extended Experimentálny</c:v>
                </c:pt>
                <c:pt idx="11">
                  <c:v>Prenájom Extended Experimentálny</c:v>
                </c:pt>
              </c:strCache>
            </c:strRef>
          </c:cat>
          <c:val>
            <c:numRef>
              <c:f>'Zdroje financovania'!$G$3:$G$14</c:f>
              <c:numCache>
                <c:formatCode>#\ ##0.00\ _€</c:formatCode>
                <c:ptCount val="12"/>
                <c:pt idx="0">
                  <c:v>3940000</c:v>
                </c:pt>
                <c:pt idx="1">
                  <c:v>3940000</c:v>
                </c:pt>
                <c:pt idx="2">
                  <c:v>3940000</c:v>
                </c:pt>
                <c:pt idx="3">
                  <c:v>3940000</c:v>
                </c:pt>
                <c:pt idx="4">
                  <c:v>2000000</c:v>
                </c:pt>
                <c:pt idx="5">
                  <c:v>3940000</c:v>
                </c:pt>
                <c:pt idx="6">
                  <c:v>3940000</c:v>
                </c:pt>
                <c:pt idx="7">
                  <c:v>3940000</c:v>
                </c:pt>
                <c:pt idx="8">
                  <c:v>3940000</c:v>
                </c:pt>
                <c:pt idx="9">
                  <c:v>3940000</c:v>
                </c:pt>
                <c:pt idx="10">
                  <c:v>3940000</c:v>
                </c:pt>
                <c:pt idx="11">
                  <c:v>3940000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CD-4A48-98DA-10E5A70D5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8505871"/>
        <c:axId val="1058500463"/>
      </c:barChart>
      <c:catAx>
        <c:axId val="1058505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58500463"/>
        <c:crosses val="autoZero"/>
        <c:auto val="1"/>
        <c:lblAlgn val="ctr"/>
        <c:lblOffset val="100"/>
        <c:noMultiLvlLbl val="0"/>
      </c:catAx>
      <c:valAx>
        <c:axId val="10585004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58505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556260</xdr:colOff>
      <xdr:row>0</xdr:row>
      <xdr:rowOff>0</xdr:rowOff>
    </xdr:from>
    <xdr:to>
      <xdr:col>20</xdr:col>
      <xdr:colOff>251460</xdr:colOff>
      <xdr:row>15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FBB937-B1E3-4183-AB6F-F997812C4A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609599</xdr:colOff>
      <xdr:row>6</xdr:row>
      <xdr:rowOff>169334</xdr:rowOff>
    </xdr:from>
    <xdr:to>
      <xdr:col>18</xdr:col>
      <xdr:colOff>194733</xdr:colOff>
      <xdr:row>23</xdr:row>
      <xdr:rowOff>76201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B188C7-4AD0-420B-BA3B-9DC5EF2C75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179070</xdr:rowOff>
    </xdr:from>
    <xdr:to>
      <xdr:col>3</xdr:col>
      <xdr:colOff>205740</xdr:colOff>
      <xdr:row>30</xdr:row>
      <xdr:rowOff>179070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BF99DC7-96E8-4150-8343-A0DD5732E0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556260</xdr:colOff>
      <xdr:row>0</xdr:row>
      <xdr:rowOff>26670</xdr:rowOff>
    </xdr:from>
    <xdr:to>
      <xdr:col>15</xdr:col>
      <xdr:colOff>190500</xdr:colOff>
      <xdr:row>17</xdr:row>
      <xdr:rowOff>26670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7E9338-E6AE-4317-AFCA-A9100DD318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281940</xdr:colOff>
      <xdr:row>16</xdr:row>
      <xdr:rowOff>11430</xdr:rowOff>
    </xdr:from>
    <xdr:to>
      <xdr:col>9</xdr:col>
      <xdr:colOff>220980</xdr:colOff>
      <xdr:row>31</xdr:row>
      <xdr:rowOff>11430</xdr:rowOff>
    </xdr:to>
    <xdr:graphicFrame macro="">
      <xdr:nvGraphicFramePr>
        <xdr:cNvPr id="15" name="Chart 6">
          <a:extLst>
            <a:ext uri="{FF2B5EF4-FFF2-40B4-BE49-F238E27FC236}">
              <a16:creationId xmlns:a16="http://schemas.microsoft.com/office/drawing/2014/main" id="{BFA05572-21EB-4314-99B9-50350AC611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251460</xdr:colOff>
      <xdr:row>16</xdr:row>
      <xdr:rowOff>3810</xdr:rowOff>
    </xdr:from>
    <xdr:to>
      <xdr:col>16</xdr:col>
      <xdr:colOff>502920</xdr:colOff>
      <xdr:row>31</xdr:row>
      <xdr:rowOff>3810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3C28EFF-E0F0-41FB-9D40-97BAB50224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prace-ri.eu/wp-content/uploads/EuroHPC-Systems-Report-Sep_2021.pdf" TargetMode="External"/><Relationship Id="rId3" Type="http://schemas.openxmlformats.org/officeDocument/2006/relationships/hyperlink" Target="https://www.ceska-solarni.cz/kalkulacka" TargetMode="External"/><Relationship Id="rId7" Type="http://schemas.openxmlformats.org/officeDocument/2006/relationships/hyperlink" Target="https://www.datacenterdynamics.com/en/news/marenostrum-5-supercomputer-tender-re-opens-eurohpc-ju-requests-host-for-exascale-system/" TargetMode="External"/><Relationship Id="rId2" Type="http://schemas.openxmlformats.org/officeDocument/2006/relationships/hyperlink" Target="https://www.schrodinger.com/" TargetMode="External"/><Relationship Id="rId1" Type="http://schemas.openxmlformats.org/officeDocument/2006/relationships/hyperlink" Target="https://gaussian.com/pricing/" TargetMode="External"/><Relationship Id="rId6" Type="http://schemas.openxmlformats.org/officeDocument/2006/relationships/hyperlink" Target="https://365datacenters.com/data-center-colocation-build-vs-buy/" TargetMode="External"/><Relationship Id="rId5" Type="http://schemas.openxmlformats.org/officeDocument/2006/relationships/hyperlink" Target="https://www.ceska-solarni.cz/kalkulacka" TargetMode="External"/><Relationship Id="rId4" Type="http://schemas.openxmlformats.org/officeDocument/2006/relationships/hyperlink" Target="https://www.ceska-solarni.cz/kalkulacka" TargetMode="External"/><Relationship Id="rId9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65D12-6012-4C9C-B372-46291444F626}">
  <dimension ref="A1:E4"/>
  <sheetViews>
    <sheetView workbookViewId="0"/>
  </sheetViews>
  <sheetFormatPr defaultRowHeight="14.4"/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>
        <v>1</v>
      </c>
      <c r="B2">
        <v>2</v>
      </c>
      <c r="C2">
        <v>13</v>
      </c>
      <c r="D2">
        <v>21</v>
      </c>
      <c r="E2" t="s">
        <v>5</v>
      </c>
    </row>
    <row r="3" spans="1:5">
      <c r="A3">
        <v>15</v>
      </c>
      <c r="B3">
        <v>34</v>
      </c>
      <c r="C3">
        <v>18</v>
      </c>
      <c r="D3">
        <v>55</v>
      </c>
      <c r="E3" t="s">
        <v>6</v>
      </c>
    </row>
    <row r="4" spans="1:5">
      <c r="A4">
        <v>15</v>
      </c>
      <c r="B4">
        <v>1</v>
      </c>
      <c r="C4">
        <v>18</v>
      </c>
      <c r="D4">
        <v>10</v>
      </c>
      <c r="E4" t="s">
        <v>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FC11D-99EC-4A52-BADF-0E784833B135}">
  <dimension ref="A1:E2"/>
  <sheetViews>
    <sheetView workbookViewId="0"/>
  </sheetViews>
  <sheetFormatPr defaultRowHeight="14.4"/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>
        <v>1</v>
      </c>
      <c r="B2">
        <v>1</v>
      </c>
      <c r="C2">
        <v>10</v>
      </c>
      <c r="D2">
        <v>15</v>
      </c>
      <c r="E2" t="s">
        <v>173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90"/>
  <sheetViews>
    <sheetView topLeftCell="A106" zoomScaleNormal="100" workbookViewId="0">
      <selection activeCell="C17" sqref="C17"/>
    </sheetView>
  </sheetViews>
  <sheetFormatPr defaultColWidth="8.88671875" defaultRowHeight="13.95" customHeight="1"/>
  <cols>
    <col min="1" max="1" width="36.33203125" style="10" customWidth="1"/>
    <col min="2" max="14" width="12.6640625" style="10" customWidth="1"/>
    <col min="15" max="15" width="10.6640625" style="10" customWidth="1"/>
    <col min="16" max="16" width="8.88671875" style="10"/>
    <col min="17" max="17" width="12.109375" style="10" customWidth="1"/>
    <col min="18" max="19" width="11.33203125" style="10" bestFit="1" customWidth="1"/>
    <col min="20" max="20" width="8.88671875" style="10"/>
    <col min="21" max="21" width="11.44140625" style="10" customWidth="1"/>
    <col min="22" max="23" width="8.88671875" style="10"/>
    <col min="24" max="33" width="0" style="10" hidden="1" customWidth="1"/>
    <col min="34" max="16384" width="8.88671875" style="10"/>
  </cols>
  <sheetData>
    <row r="1" spans="1:33" ht="19.5" customHeight="1">
      <c r="A1" s="1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3"/>
      <c r="S1" s="3"/>
    </row>
    <row r="2" spans="1:33" s="74" customFormat="1" ht="21.6">
      <c r="A2" s="73" t="s">
        <v>175</v>
      </c>
      <c r="B2" s="45" t="s">
        <v>176</v>
      </c>
      <c r="C2" s="45" t="s">
        <v>105</v>
      </c>
      <c r="D2" s="45" t="s">
        <v>177</v>
      </c>
      <c r="E2" s="45" t="s">
        <v>178</v>
      </c>
      <c r="F2" s="45" t="s">
        <v>179</v>
      </c>
      <c r="G2" s="45" t="s">
        <v>180</v>
      </c>
      <c r="H2" s="45" t="s">
        <v>181</v>
      </c>
      <c r="I2" s="45" t="s">
        <v>182</v>
      </c>
      <c r="J2" s="45" t="s">
        <v>183</v>
      </c>
      <c r="K2" s="45" t="s">
        <v>184</v>
      </c>
      <c r="L2" s="45" t="s">
        <v>185</v>
      </c>
      <c r="M2" s="45" t="s">
        <v>186</v>
      </c>
      <c r="N2" s="45" t="s">
        <v>187</v>
      </c>
      <c r="O2" s="45" t="s">
        <v>113</v>
      </c>
      <c r="P2" s="45" t="s">
        <v>116</v>
      </c>
      <c r="Q2" s="45" t="s">
        <v>115</v>
      </c>
      <c r="R2" s="45" t="s">
        <v>188</v>
      </c>
      <c r="S2" s="46" t="s">
        <v>189</v>
      </c>
      <c r="X2" s="75" t="s">
        <v>157</v>
      </c>
      <c r="Y2" s="75" t="s">
        <v>158</v>
      </c>
      <c r="Z2" s="75" t="s">
        <v>159</v>
      </c>
      <c r="AA2" s="75" t="s">
        <v>160</v>
      </c>
      <c r="AB2" s="75" t="s">
        <v>161</v>
      </c>
      <c r="AC2" s="75" t="s">
        <v>162</v>
      </c>
      <c r="AD2" s="75" t="s">
        <v>163</v>
      </c>
      <c r="AE2" s="75" t="s">
        <v>164</v>
      </c>
      <c r="AF2" s="75" t="s">
        <v>165</v>
      </c>
      <c r="AG2" s="75" t="s">
        <v>166</v>
      </c>
    </row>
    <row r="3" spans="1:33" customFormat="1" ht="12" customHeight="1" thickBot="1">
      <c r="A3" s="5" t="s">
        <v>14</v>
      </c>
      <c r="B3" s="24" t="s">
        <v>169</v>
      </c>
      <c r="C3" s="24" t="s">
        <v>169</v>
      </c>
      <c r="D3" s="24" t="s">
        <v>169</v>
      </c>
      <c r="E3" s="24" t="s">
        <v>169</v>
      </c>
      <c r="F3" s="24" t="s">
        <v>169</v>
      </c>
      <c r="G3" s="135" t="s">
        <v>169</v>
      </c>
      <c r="H3" s="135" t="s">
        <v>169</v>
      </c>
      <c r="I3" s="25" t="s">
        <v>169</v>
      </c>
      <c r="J3" s="25" t="s">
        <v>169</v>
      </c>
      <c r="K3" s="25" t="s">
        <v>169</v>
      </c>
      <c r="L3" s="25" t="s">
        <v>169</v>
      </c>
      <c r="M3" s="25" t="s">
        <v>169</v>
      </c>
      <c r="N3" s="25" t="s">
        <v>169</v>
      </c>
      <c r="O3" s="25" t="s">
        <v>169</v>
      </c>
      <c r="P3" s="25" t="s">
        <v>169</v>
      </c>
      <c r="Q3" s="25" t="s">
        <v>169</v>
      </c>
      <c r="R3" s="25"/>
      <c r="S3" s="35"/>
      <c r="X3">
        <v>2022</v>
      </c>
      <c r="Y3">
        <v>2023</v>
      </c>
      <c r="Z3">
        <v>2024</v>
      </c>
      <c r="AA3">
        <v>2025</v>
      </c>
      <c r="AB3">
        <v>2026</v>
      </c>
      <c r="AC3">
        <v>2027</v>
      </c>
      <c r="AD3">
        <v>2028</v>
      </c>
      <c r="AE3">
        <v>2029</v>
      </c>
      <c r="AF3">
        <v>2030</v>
      </c>
      <c r="AG3">
        <v>2031</v>
      </c>
    </row>
    <row r="4" spans="1:33" customFormat="1" ht="12" hidden="1" customHeight="1">
      <c r="A4" s="5" t="s">
        <v>15</v>
      </c>
      <c r="B4" s="24" t="s">
        <v>191</v>
      </c>
      <c r="C4" s="24" t="s">
        <v>64</v>
      </c>
      <c r="D4" s="24">
        <v>52</v>
      </c>
      <c r="E4" s="135">
        <f t="shared" ref="E4:E7" si="0">B24*$B$28</f>
        <v>0</v>
      </c>
      <c r="F4" s="135">
        <f>C24*$C$28</f>
        <v>721.2700000000001</v>
      </c>
      <c r="G4" s="135">
        <v>0</v>
      </c>
      <c r="H4" s="135">
        <f t="shared" ref="H4:H15" si="1">G4*$B$22</f>
        <v>0</v>
      </c>
      <c r="I4" s="76">
        <f>H4*$B$20</f>
        <v>0</v>
      </c>
      <c r="J4" s="76">
        <v>0</v>
      </c>
      <c r="K4" s="76">
        <v>0</v>
      </c>
      <c r="L4" s="76">
        <v>0</v>
      </c>
      <c r="M4" s="76">
        <f t="shared" ref="M4:N7" si="2">B44</f>
        <v>0</v>
      </c>
      <c r="N4" s="76">
        <f t="shared" si="2"/>
        <v>23375000</v>
      </c>
      <c r="O4" s="76">
        <f t="shared" ref="O4:O11" si="3">$B$68</f>
        <v>500000</v>
      </c>
      <c r="P4" s="76"/>
      <c r="Q4" s="76">
        <v>0</v>
      </c>
      <c r="R4" s="76">
        <f>$B$49*$B$44</f>
        <v>0</v>
      </c>
      <c r="S4" s="77">
        <f>$B$49*$D$44</f>
        <v>116875</v>
      </c>
    </row>
    <row r="5" spans="1:33" customFormat="1" ht="12" hidden="1" customHeight="1">
      <c r="A5" s="5" t="s">
        <v>16</v>
      </c>
      <c r="B5" s="24" t="s">
        <v>191</v>
      </c>
      <c r="C5" s="24" t="s">
        <v>192</v>
      </c>
      <c r="D5" s="24">
        <v>52</v>
      </c>
      <c r="E5" s="135">
        <f t="shared" si="0"/>
        <v>232.14000000000001</v>
      </c>
      <c r="F5" s="135">
        <f t="shared" ref="F5:F7" si="4">C25*$C$28</f>
        <v>1210</v>
      </c>
      <c r="G5" s="135">
        <v>0</v>
      </c>
      <c r="H5" s="135">
        <f t="shared" si="1"/>
        <v>0</v>
      </c>
      <c r="I5" s="76">
        <f>H5*$B$20</f>
        <v>0</v>
      </c>
      <c r="J5" s="76">
        <v>0</v>
      </c>
      <c r="K5" s="76">
        <v>0</v>
      </c>
      <c r="L5" s="76">
        <v>0</v>
      </c>
      <c r="M5" s="76">
        <f t="shared" si="2"/>
        <v>3156000</v>
      </c>
      <c r="N5" s="76">
        <f t="shared" si="2"/>
        <v>4844000</v>
      </c>
      <c r="O5" s="76">
        <f t="shared" si="3"/>
        <v>500000</v>
      </c>
      <c r="P5" s="76"/>
      <c r="Q5" s="76">
        <v>0</v>
      </c>
      <c r="R5" s="76">
        <f>$B$49*$B$45</f>
        <v>15780</v>
      </c>
      <c r="S5" s="77">
        <f>$B$49*$D$45</f>
        <v>40000</v>
      </c>
      <c r="X5" s="10"/>
      <c r="Y5" s="69" t="s">
        <v>193</v>
      </c>
      <c r="Z5" s="69" t="s">
        <v>194</v>
      </c>
      <c r="AA5" s="69" t="s">
        <v>195</v>
      </c>
      <c r="AB5" s="69"/>
      <c r="AC5" s="69"/>
      <c r="AD5" s="69"/>
      <c r="AE5" s="69"/>
      <c r="AF5" s="69"/>
      <c r="AG5" s="69"/>
    </row>
    <row r="6" spans="1:33" customFormat="1" ht="12" hidden="1" customHeight="1">
      <c r="A6" s="5" t="s">
        <v>17</v>
      </c>
      <c r="B6" s="24" t="s">
        <v>191</v>
      </c>
      <c r="C6" s="24" t="s">
        <v>65</v>
      </c>
      <c r="D6" s="24">
        <v>123</v>
      </c>
      <c r="E6" s="135">
        <f t="shared" si="0"/>
        <v>228.96</v>
      </c>
      <c r="F6" s="135">
        <f t="shared" si="4"/>
        <v>3267.0000000000005</v>
      </c>
      <c r="G6" s="135">
        <v>0</v>
      </c>
      <c r="H6" s="135">
        <f t="shared" si="1"/>
        <v>0</v>
      </c>
      <c r="I6" s="76">
        <f>H6*$B$20</f>
        <v>0</v>
      </c>
      <c r="J6" s="76">
        <v>0</v>
      </c>
      <c r="K6" s="76">
        <v>0</v>
      </c>
      <c r="L6" s="76">
        <v>0</v>
      </c>
      <c r="M6" s="76">
        <f t="shared" si="2"/>
        <v>5340000</v>
      </c>
      <c r="N6" s="76">
        <f t="shared" si="2"/>
        <v>46660000</v>
      </c>
      <c r="O6" s="76">
        <f t="shared" si="3"/>
        <v>500000</v>
      </c>
      <c r="P6" s="76"/>
      <c r="Q6" s="76">
        <v>0</v>
      </c>
      <c r="R6" s="76">
        <f>$B$49*$B$46</f>
        <v>26700</v>
      </c>
      <c r="S6" s="77">
        <f>$B$49*$D$46</f>
        <v>260000</v>
      </c>
      <c r="X6" s="69" t="s">
        <v>197</v>
      </c>
      <c r="Y6" s="69" t="s">
        <v>198</v>
      </c>
      <c r="Z6" s="69" t="s">
        <v>199</v>
      </c>
      <c r="AA6" s="69" t="s">
        <v>200</v>
      </c>
      <c r="AB6" s="69"/>
      <c r="AC6" s="69"/>
      <c r="AD6" s="69"/>
      <c r="AE6" s="69"/>
      <c r="AF6" s="69"/>
      <c r="AG6" s="69"/>
    </row>
    <row r="7" spans="1:33" customFormat="1" ht="12" hidden="1" customHeight="1" thickBot="1">
      <c r="A7" s="5" t="s">
        <v>18</v>
      </c>
      <c r="B7" s="24" t="s">
        <v>191</v>
      </c>
      <c r="C7" s="24" t="s">
        <v>202</v>
      </c>
      <c r="D7" s="24">
        <v>208</v>
      </c>
      <c r="E7" s="135">
        <f t="shared" si="0"/>
        <v>232.14000000000001</v>
      </c>
      <c r="F7" s="140">
        <f t="shared" si="4"/>
        <v>3960.0000000000005</v>
      </c>
      <c r="G7" s="135">
        <v>0</v>
      </c>
      <c r="H7" s="135">
        <f t="shared" si="1"/>
        <v>0</v>
      </c>
      <c r="I7" s="76">
        <f>H7*$B$20</f>
        <v>0</v>
      </c>
      <c r="J7" s="76">
        <v>0</v>
      </c>
      <c r="K7" s="76">
        <v>0</v>
      </c>
      <c r="L7" s="76">
        <v>0</v>
      </c>
      <c r="M7" s="76">
        <f t="shared" si="2"/>
        <v>3156000</v>
      </c>
      <c r="N7" s="76">
        <f t="shared" si="2"/>
        <v>28844000</v>
      </c>
      <c r="O7" s="76">
        <f t="shared" si="3"/>
        <v>500000</v>
      </c>
      <c r="P7" s="76"/>
      <c r="Q7" s="76">
        <v>0</v>
      </c>
      <c r="R7" s="76">
        <f>$B$49*$B$47</f>
        <v>15780</v>
      </c>
      <c r="S7" s="77">
        <f>$B$49*$D$47</f>
        <v>160000</v>
      </c>
      <c r="X7" s="69" t="s">
        <v>203</v>
      </c>
      <c r="Y7" s="69" t="s">
        <v>204</v>
      </c>
      <c r="Z7" s="69" t="s">
        <v>205</v>
      </c>
      <c r="AA7" s="69"/>
      <c r="AB7" s="69"/>
      <c r="AC7" s="69"/>
      <c r="AD7" s="69"/>
      <c r="AE7" s="69"/>
      <c r="AF7" s="69"/>
      <c r="AG7" s="69"/>
    </row>
    <row r="8" spans="1:33" s="283" customFormat="1" ht="12" customHeight="1" thickTop="1">
      <c r="A8" s="278" t="s">
        <v>19</v>
      </c>
      <c r="B8" s="279" t="s">
        <v>207</v>
      </c>
      <c r="C8" s="279" t="s">
        <v>64</v>
      </c>
      <c r="D8" s="279">
        <v>52</v>
      </c>
      <c r="E8" s="280">
        <f t="shared" ref="E8:E11" si="5">B24*$B$28</f>
        <v>0</v>
      </c>
      <c r="F8" s="280">
        <f>C24*$C$28</f>
        <v>721.2700000000001</v>
      </c>
      <c r="G8" s="284">
        <v>2361.5</v>
      </c>
      <c r="H8" s="285">
        <f t="shared" si="1"/>
        <v>39589.602900000005</v>
      </c>
      <c r="I8" s="286">
        <f t="shared" ref="I8:I15" si="6">G8*$B$21</f>
        <v>666293.28916666599</v>
      </c>
      <c r="J8" s="281">
        <f>B78*Q8</f>
        <v>162500</v>
      </c>
      <c r="K8" s="281"/>
      <c r="L8" s="281"/>
      <c r="M8" s="281">
        <f t="shared" ref="M8:N11" si="7">B44</f>
        <v>0</v>
      </c>
      <c r="N8" s="281">
        <f t="shared" si="7"/>
        <v>23375000</v>
      </c>
      <c r="O8" s="281">
        <v>0</v>
      </c>
      <c r="P8" s="281"/>
      <c r="Q8" s="281">
        <v>6500000</v>
      </c>
      <c r="R8" s="281">
        <f>$B$49*$B$44</f>
        <v>0</v>
      </c>
      <c r="S8" s="282">
        <f t="shared" ref="S8" si="8">$B$49*$D$44</f>
        <v>116875</v>
      </c>
      <c r="X8" s="287"/>
      <c r="Y8" s="287" t="s">
        <v>208</v>
      </c>
      <c r="Z8" s="287"/>
      <c r="AA8" s="287"/>
      <c r="AB8" s="287"/>
      <c r="AC8" s="287"/>
      <c r="AD8" s="287"/>
      <c r="AE8" s="287"/>
      <c r="AF8" s="287"/>
      <c r="AG8" s="287"/>
    </row>
    <row r="9" spans="1:33" customFormat="1" ht="12" hidden="1" customHeight="1">
      <c r="A9" s="5" t="s">
        <v>505</v>
      </c>
      <c r="B9" s="24" t="s">
        <v>207</v>
      </c>
      <c r="C9" s="24" t="s">
        <v>192</v>
      </c>
      <c r="D9" s="24">
        <v>52</v>
      </c>
      <c r="E9" s="135">
        <f t="shared" si="5"/>
        <v>232.14000000000001</v>
      </c>
      <c r="F9" s="135">
        <f t="shared" ref="F9:F11" si="9">C25*$C$28</f>
        <v>1210</v>
      </c>
      <c r="G9" s="144">
        <v>2596.9899999999998</v>
      </c>
      <c r="H9" s="135">
        <f t="shared" si="1"/>
        <v>43537.498553999998</v>
      </c>
      <c r="I9" s="146">
        <f t="shared" si="6"/>
        <v>732736.4001833325</v>
      </c>
      <c r="J9" s="76">
        <f>$B$79</f>
        <v>315000</v>
      </c>
      <c r="K9" s="76">
        <v>500000</v>
      </c>
      <c r="L9" s="76">
        <v>2000000</v>
      </c>
      <c r="M9" s="76">
        <f t="shared" si="7"/>
        <v>3156000</v>
      </c>
      <c r="N9" s="76">
        <f t="shared" si="7"/>
        <v>4844000</v>
      </c>
      <c r="O9" s="76">
        <f t="shared" si="3"/>
        <v>500000</v>
      </c>
      <c r="P9" s="76"/>
      <c r="Q9" s="76">
        <f>$B$56-O9-K9</f>
        <v>11600000</v>
      </c>
      <c r="R9" s="76">
        <f>$B$49*$B$45</f>
        <v>15780</v>
      </c>
      <c r="S9" s="77">
        <f t="shared" ref="S9" si="10">$B$49*$D$45</f>
        <v>40000</v>
      </c>
      <c r="X9" s="69"/>
      <c r="Y9" s="69" t="s">
        <v>209</v>
      </c>
      <c r="Z9" s="69" t="s">
        <v>209</v>
      </c>
      <c r="AA9" s="69" t="s">
        <v>209</v>
      </c>
      <c r="AB9" s="69" t="s">
        <v>209</v>
      </c>
      <c r="AC9" s="69" t="s">
        <v>209</v>
      </c>
      <c r="AD9" s="69" t="s">
        <v>209</v>
      </c>
      <c r="AE9" s="69" t="s">
        <v>209</v>
      </c>
      <c r="AF9" s="69" t="s">
        <v>209</v>
      </c>
      <c r="AG9" s="69" t="s">
        <v>209</v>
      </c>
    </row>
    <row r="10" spans="1:33" customFormat="1" ht="12" hidden="1" customHeight="1">
      <c r="A10" s="5" t="s">
        <v>21</v>
      </c>
      <c r="B10" s="24" t="s">
        <v>207</v>
      </c>
      <c r="C10" s="24" t="s">
        <v>65</v>
      </c>
      <c r="D10" s="24">
        <v>123</v>
      </c>
      <c r="E10" s="135">
        <f t="shared" si="5"/>
        <v>228.96</v>
      </c>
      <c r="F10" s="135">
        <f t="shared" si="9"/>
        <v>3267.0000000000005</v>
      </c>
      <c r="G10" s="144">
        <v>2596.9899999999998</v>
      </c>
      <c r="H10" s="135">
        <f t="shared" si="1"/>
        <v>43537.498553999998</v>
      </c>
      <c r="I10" s="146">
        <f t="shared" si="6"/>
        <v>732736.4001833325</v>
      </c>
      <c r="J10" s="76">
        <f>$B$80</f>
        <v>742500</v>
      </c>
      <c r="K10" s="76">
        <v>500000</v>
      </c>
      <c r="L10" s="76">
        <v>6500000</v>
      </c>
      <c r="M10" s="76">
        <f t="shared" si="7"/>
        <v>5340000</v>
      </c>
      <c r="N10" s="76">
        <f t="shared" si="7"/>
        <v>46660000</v>
      </c>
      <c r="O10" s="76">
        <f t="shared" si="3"/>
        <v>500000</v>
      </c>
      <c r="P10" s="76"/>
      <c r="Q10" s="76">
        <f>$B$62-O10-K10</f>
        <v>28700000</v>
      </c>
      <c r="R10" s="76">
        <f>$B$49*$B$46</f>
        <v>26700</v>
      </c>
      <c r="S10" s="77">
        <f t="shared" ref="S10" si="11">$B$49*$D$46</f>
        <v>260000</v>
      </c>
      <c r="X10" s="69" t="s">
        <v>211</v>
      </c>
      <c r="Y10" s="69" t="s">
        <v>211</v>
      </c>
      <c r="Z10" s="69" t="s">
        <v>211</v>
      </c>
      <c r="AA10" s="69" t="s">
        <v>211</v>
      </c>
      <c r="AB10" s="69" t="s">
        <v>211</v>
      </c>
      <c r="AC10" s="69"/>
      <c r="AD10" s="69"/>
      <c r="AE10" s="69"/>
      <c r="AF10" s="69"/>
      <c r="AG10" s="69"/>
    </row>
    <row r="11" spans="1:33" customFormat="1" ht="12" hidden="1" customHeight="1">
      <c r="A11" s="5" t="s">
        <v>22</v>
      </c>
      <c r="B11" s="24" t="s">
        <v>207</v>
      </c>
      <c r="C11" s="24" t="s">
        <v>202</v>
      </c>
      <c r="D11" s="24">
        <v>208</v>
      </c>
      <c r="E11" s="135">
        <f t="shared" si="5"/>
        <v>232.14000000000001</v>
      </c>
      <c r="F11" s="140">
        <f t="shared" si="9"/>
        <v>3960.0000000000005</v>
      </c>
      <c r="G11" s="144">
        <v>2596.9899999999998</v>
      </c>
      <c r="H11" s="135">
        <f t="shared" si="1"/>
        <v>43537.498553999998</v>
      </c>
      <c r="I11" s="146">
        <f t="shared" si="6"/>
        <v>732736.4001833325</v>
      </c>
      <c r="J11" s="76">
        <f>$B$80</f>
        <v>742500</v>
      </c>
      <c r="K11" s="76">
        <v>500000</v>
      </c>
      <c r="L11" s="76">
        <v>6500000</v>
      </c>
      <c r="M11" s="76">
        <f t="shared" si="7"/>
        <v>3156000</v>
      </c>
      <c r="N11" s="76">
        <f t="shared" si="7"/>
        <v>28844000</v>
      </c>
      <c r="O11" s="76">
        <f t="shared" si="3"/>
        <v>500000</v>
      </c>
      <c r="P11" s="76"/>
      <c r="Q11" s="76">
        <f>$B$62-O11-K11</f>
        <v>28700000</v>
      </c>
      <c r="R11" s="76">
        <f>$B$49*$B$47</f>
        <v>15780</v>
      </c>
      <c r="S11" s="77">
        <f t="shared" ref="S11" si="12">$B$49*$D$47</f>
        <v>160000</v>
      </c>
      <c r="X11" s="69"/>
      <c r="Y11" s="69"/>
      <c r="Z11" s="69"/>
      <c r="AA11" s="10"/>
      <c r="AB11" s="10"/>
      <c r="AC11" s="10"/>
      <c r="AD11" s="10"/>
      <c r="AE11" s="10"/>
      <c r="AF11" s="10"/>
      <c r="AG11" s="10"/>
    </row>
    <row r="12" spans="1:33" customFormat="1" ht="12" hidden="1" customHeight="1">
      <c r="A12" s="5" t="s">
        <v>23</v>
      </c>
      <c r="B12" s="24" t="s">
        <v>214</v>
      </c>
      <c r="C12" s="24" t="s">
        <v>64</v>
      </c>
      <c r="D12" s="24">
        <v>52</v>
      </c>
      <c r="E12" s="135">
        <f t="shared" ref="E12:E15" si="13">B24*$B$28</f>
        <v>0</v>
      </c>
      <c r="F12" s="135">
        <f>C24*$C$28</f>
        <v>721.2700000000001</v>
      </c>
      <c r="G12" s="144">
        <v>2596.9899999999998</v>
      </c>
      <c r="H12" s="135">
        <f t="shared" si="1"/>
        <v>43537.498553999998</v>
      </c>
      <c r="I12" s="146">
        <f t="shared" si="6"/>
        <v>732736.4001833325</v>
      </c>
      <c r="J12" s="76">
        <f>$B$79</f>
        <v>315000</v>
      </c>
      <c r="K12" s="76">
        <v>0</v>
      </c>
      <c r="L12" s="76">
        <v>0</v>
      </c>
      <c r="M12" s="76">
        <f t="shared" ref="M12:N15" si="14">B44</f>
        <v>0</v>
      </c>
      <c r="N12" s="76">
        <f t="shared" si="14"/>
        <v>23375000</v>
      </c>
      <c r="O12" s="76">
        <f t="shared" ref="O12:O15" si="15">$B$68</f>
        <v>500000</v>
      </c>
      <c r="P12" s="76"/>
      <c r="Q12" s="76">
        <f>$B$74</f>
        <v>200000</v>
      </c>
      <c r="R12" s="76">
        <f>$B$49*$B$44</f>
        <v>0</v>
      </c>
      <c r="S12" s="77">
        <f t="shared" ref="S12" si="16">$B$49*$D$44</f>
        <v>116875</v>
      </c>
      <c r="X12" s="69"/>
      <c r="Y12" s="69"/>
      <c r="Z12" s="69"/>
      <c r="AA12" s="69" t="s">
        <v>215</v>
      </c>
      <c r="AB12" s="69" t="s">
        <v>215</v>
      </c>
      <c r="AC12" s="69" t="s">
        <v>215</v>
      </c>
      <c r="AD12" s="69" t="s">
        <v>215</v>
      </c>
      <c r="AE12" s="69" t="s">
        <v>215</v>
      </c>
      <c r="AF12" s="69" t="s">
        <v>215</v>
      </c>
      <c r="AG12" s="69" t="s">
        <v>215</v>
      </c>
    </row>
    <row r="13" spans="1:33" customFormat="1" ht="12" hidden="1" customHeight="1">
      <c r="A13" s="5" t="s">
        <v>24</v>
      </c>
      <c r="B13" s="24" t="s">
        <v>214</v>
      </c>
      <c r="C13" s="24" t="s">
        <v>192</v>
      </c>
      <c r="D13" s="24">
        <v>52</v>
      </c>
      <c r="E13" s="135">
        <f t="shared" si="13"/>
        <v>232.14000000000001</v>
      </c>
      <c r="F13" s="135">
        <f t="shared" ref="F13:F15" si="17">C25*$C$28</f>
        <v>1210</v>
      </c>
      <c r="G13" s="144">
        <v>2596.9899999999998</v>
      </c>
      <c r="H13" s="135">
        <f t="shared" si="1"/>
        <v>43537.498553999998</v>
      </c>
      <c r="I13" s="146">
        <f t="shared" si="6"/>
        <v>732736.4001833325</v>
      </c>
      <c r="J13" s="76">
        <f>$B$79</f>
        <v>315000</v>
      </c>
      <c r="K13" s="76">
        <v>0</v>
      </c>
      <c r="L13" s="76">
        <v>0</v>
      </c>
      <c r="M13" s="76">
        <f t="shared" si="14"/>
        <v>3156000</v>
      </c>
      <c r="N13" s="76">
        <f t="shared" si="14"/>
        <v>4844000</v>
      </c>
      <c r="O13" s="76">
        <f t="shared" si="15"/>
        <v>500000</v>
      </c>
      <c r="P13" s="76"/>
      <c r="Q13" s="76">
        <f t="shared" ref="Q13:Q15" si="18">$B$74</f>
        <v>200000</v>
      </c>
      <c r="R13" s="76">
        <f>$B$49*$B$45</f>
        <v>15780</v>
      </c>
      <c r="S13" s="77">
        <f t="shared" ref="S13" si="19">$B$49*$D$45</f>
        <v>40000</v>
      </c>
      <c r="X13" s="69"/>
      <c r="Y13" s="69"/>
      <c r="Z13" s="69" t="s">
        <v>216</v>
      </c>
      <c r="AA13" s="69" t="s">
        <v>217</v>
      </c>
      <c r="AB13" s="69" t="s">
        <v>217</v>
      </c>
      <c r="AC13" s="69" t="s">
        <v>217</v>
      </c>
      <c r="AD13" s="69" t="s">
        <v>217</v>
      </c>
      <c r="AE13" s="69" t="s">
        <v>217</v>
      </c>
      <c r="AF13" s="69" t="s">
        <v>217</v>
      </c>
      <c r="AG13" s="69" t="s">
        <v>217</v>
      </c>
    </row>
    <row r="14" spans="1:33" customFormat="1" ht="12" hidden="1" customHeight="1">
      <c r="A14" s="5" t="s">
        <v>25</v>
      </c>
      <c r="B14" s="24" t="s">
        <v>214</v>
      </c>
      <c r="C14" s="24" t="s">
        <v>65</v>
      </c>
      <c r="D14" s="24">
        <v>123</v>
      </c>
      <c r="E14" s="135">
        <f t="shared" si="13"/>
        <v>228.96</v>
      </c>
      <c r="F14" s="135">
        <f t="shared" si="17"/>
        <v>3267.0000000000005</v>
      </c>
      <c r="G14" s="144">
        <v>2596.9899999999998</v>
      </c>
      <c r="H14" s="135">
        <f t="shared" si="1"/>
        <v>43537.498553999998</v>
      </c>
      <c r="I14" s="146">
        <f t="shared" si="6"/>
        <v>732736.4001833325</v>
      </c>
      <c r="J14" s="76">
        <f>$B$80</f>
        <v>742500</v>
      </c>
      <c r="K14" s="76">
        <v>0</v>
      </c>
      <c r="L14" s="76">
        <v>0</v>
      </c>
      <c r="M14" s="76">
        <f t="shared" si="14"/>
        <v>5340000</v>
      </c>
      <c r="N14" s="76">
        <f t="shared" si="14"/>
        <v>46660000</v>
      </c>
      <c r="O14" s="76">
        <f t="shared" si="15"/>
        <v>500000</v>
      </c>
      <c r="P14" s="76">
        <f>$B$72</f>
        <v>20180000</v>
      </c>
      <c r="Q14" s="76">
        <f t="shared" si="18"/>
        <v>200000</v>
      </c>
      <c r="R14" s="76">
        <f>$B$49*$B$46</f>
        <v>26700</v>
      </c>
      <c r="S14" s="77">
        <f t="shared" ref="S14" si="20">$B$49*$D$46</f>
        <v>260000</v>
      </c>
      <c r="X14" s="69" t="s">
        <v>219</v>
      </c>
      <c r="Y14" s="69" t="s">
        <v>219</v>
      </c>
      <c r="Z14" s="69" t="s">
        <v>219</v>
      </c>
      <c r="AA14" s="69" t="s">
        <v>219</v>
      </c>
      <c r="AB14" s="69" t="s">
        <v>219</v>
      </c>
      <c r="AC14" s="69" t="s">
        <v>219</v>
      </c>
      <c r="AD14" s="69" t="s">
        <v>219</v>
      </c>
      <c r="AE14" s="69" t="s">
        <v>219</v>
      </c>
      <c r="AF14" s="69" t="s">
        <v>219</v>
      </c>
      <c r="AG14" s="69" t="s">
        <v>219</v>
      </c>
    </row>
    <row r="15" spans="1:33" customFormat="1" ht="12" hidden="1" customHeight="1" thickBot="1">
      <c r="A15" s="9" t="s">
        <v>26</v>
      </c>
      <c r="B15" s="26" t="s">
        <v>214</v>
      </c>
      <c r="C15" s="26" t="s">
        <v>202</v>
      </c>
      <c r="D15" s="26">
        <v>208</v>
      </c>
      <c r="E15" s="137">
        <f t="shared" si="13"/>
        <v>232.14000000000001</v>
      </c>
      <c r="F15" s="141">
        <f t="shared" si="17"/>
        <v>3960.0000000000005</v>
      </c>
      <c r="G15" s="145">
        <v>2596.9899999999998</v>
      </c>
      <c r="H15" s="148">
        <f t="shared" si="1"/>
        <v>43537.498553999998</v>
      </c>
      <c r="I15" s="147">
        <f t="shared" si="6"/>
        <v>732736.4001833325</v>
      </c>
      <c r="J15" s="78">
        <f>$B$80</f>
        <v>742500</v>
      </c>
      <c r="K15" s="78">
        <v>0</v>
      </c>
      <c r="L15" s="78">
        <v>0</v>
      </c>
      <c r="M15" s="78">
        <f t="shared" si="14"/>
        <v>3156000</v>
      </c>
      <c r="N15" s="78">
        <f t="shared" si="14"/>
        <v>28844000</v>
      </c>
      <c r="O15" s="78">
        <f t="shared" si="15"/>
        <v>500000</v>
      </c>
      <c r="P15" s="78">
        <f>$B$72</f>
        <v>20180000</v>
      </c>
      <c r="Q15" s="78">
        <f t="shared" si="18"/>
        <v>200000</v>
      </c>
      <c r="R15" s="78">
        <f>$B$49*$B$47</f>
        <v>15780</v>
      </c>
      <c r="S15" s="79">
        <f t="shared" ref="S15" si="21">$B$49*$D$47</f>
        <v>160000</v>
      </c>
      <c r="X15" s="69" t="s">
        <v>221</v>
      </c>
      <c r="Y15" s="69" t="s">
        <v>221</v>
      </c>
      <c r="Z15" s="69"/>
      <c r="AA15" s="69"/>
      <c r="AB15" s="69"/>
      <c r="AC15" s="69"/>
      <c r="AD15" s="69"/>
      <c r="AE15" s="69"/>
      <c r="AF15" s="69"/>
      <c r="AG15" s="69"/>
    </row>
    <row r="16" spans="1:33" ht="13.95" customHeight="1">
      <c r="A16" s="163"/>
      <c r="E16" s="135"/>
      <c r="G16" s="143" t="s">
        <v>222</v>
      </c>
      <c r="K16" s="143"/>
      <c r="V16" s="69"/>
      <c r="W16" s="69"/>
      <c r="X16" s="69"/>
      <c r="Y16" s="69"/>
      <c r="Z16" s="69"/>
      <c r="AA16" s="69"/>
      <c r="AB16" s="69"/>
      <c r="AC16" s="69"/>
      <c r="AD16" s="69"/>
    </row>
    <row r="17" spans="1:30" ht="13.95" customHeight="1">
      <c r="V17" s="69"/>
      <c r="W17" s="69"/>
      <c r="X17" s="69"/>
      <c r="Y17" s="69"/>
      <c r="Z17" s="69"/>
      <c r="AA17" s="69"/>
      <c r="AB17" s="69"/>
      <c r="AC17" s="69"/>
      <c r="AD17" s="69"/>
    </row>
    <row r="18" spans="1:30" ht="13.95" customHeight="1" thickBot="1">
      <c r="A18" s="11" t="s">
        <v>223</v>
      </c>
      <c r="E18" s="63" t="s">
        <v>224</v>
      </c>
      <c r="F18" s="63"/>
    </row>
    <row r="19" spans="1:30" ht="13.95" customHeight="1">
      <c r="A19" s="150" t="s">
        <v>225</v>
      </c>
      <c r="B19" s="307">
        <v>0.3</v>
      </c>
      <c r="D19" s="72" t="s">
        <v>226</v>
      </c>
      <c r="E19" s="47" t="s">
        <v>511</v>
      </c>
      <c r="F19" s="47"/>
      <c r="H19" s="12"/>
      <c r="K19" s="14"/>
    </row>
    <row r="20" spans="1:30" ht="13.95" customHeight="1">
      <c r="A20" s="151" t="s">
        <v>227</v>
      </c>
      <c r="B20" s="152">
        <v>1413.3333333400001</v>
      </c>
      <c r="D20" s="72" t="s">
        <v>226</v>
      </c>
      <c r="E20" s="62" t="s">
        <v>228</v>
      </c>
      <c r="F20" s="62"/>
      <c r="H20" s="13"/>
      <c r="K20" s="136"/>
    </row>
    <row r="21" spans="1:30" ht="13.95" customHeight="1">
      <c r="A21" s="151" t="s">
        <v>227</v>
      </c>
      <c r="B21" s="152">
        <v>282.14833333333303</v>
      </c>
      <c r="D21" s="72" t="s">
        <v>229</v>
      </c>
      <c r="E21" s="62" t="s">
        <v>228</v>
      </c>
      <c r="F21" s="62"/>
      <c r="H21" s="13"/>
    </row>
    <row r="22" spans="1:30" ht="13.95" customHeight="1" thickBot="1">
      <c r="A22" s="153" t="s">
        <v>230</v>
      </c>
      <c r="B22" s="154">
        <v>16.764600000000002</v>
      </c>
      <c r="D22" s="72" t="s">
        <v>231</v>
      </c>
      <c r="E22" s="62" t="s">
        <v>228</v>
      </c>
      <c r="F22" s="62"/>
      <c r="H22" s="13"/>
    </row>
    <row r="23" spans="1:30" ht="13.95" customHeight="1" thickBot="1">
      <c r="A23" s="151"/>
      <c r="B23" s="155" t="s">
        <v>232</v>
      </c>
      <c r="C23" s="156" t="s">
        <v>233</v>
      </c>
      <c r="D23" s="72"/>
      <c r="E23" s="62"/>
      <c r="F23" s="62"/>
      <c r="H23" s="13"/>
    </row>
    <row r="24" spans="1:30" ht="13.95" customHeight="1">
      <c r="A24" s="15" t="s">
        <v>234</v>
      </c>
      <c r="B24" s="297"/>
      <c r="C24" s="298">
        <v>655.7</v>
      </c>
      <c r="D24" s="72" t="s">
        <v>235</v>
      </c>
      <c r="E24" s="47" t="s">
        <v>236</v>
      </c>
      <c r="F24" s="62"/>
      <c r="H24" s="143"/>
    </row>
    <row r="25" spans="1:30" ht="13.95" hidden="1" customHeight="1">
      <c r="A25" s="16" t="s">
        <v>237</v>
      </c>
      <c r="B25" s="132">
        <v>146</v>
      </c>
      <c r="C25" s="133">
        <v>1100</v>
      </c>
      <c r="D25" s="72" t="s">
        <v>235</v>
      </c>
      <c r="E25" s="47" t="s">
        <v>236</v>
      </c>
      <c r="F25" s="47"/>
    </row>
    <row r="26" spans="1:30" ht="13.95" hidden="1" customHeight="1">
      <c r="A26" s="16" t="s">
        <v>238</v>
      </c>
      <c r="B26" s="132">
        <v>144</v>
      </c>
      <c r="C26" s="157">
        <v>2970</v>
      </c>
      <c r="D26" s="72" t="s">
        <v>235</v>
      </c>
      <c r="E26" s="258" t="s">
        <v>239</v>
      </c>
      <c r="F26" s="47"/>
    </row>
    <row r="27" spans="1:30" ht="13.95" hidden="1" customHeight="1" thickBot="1">
      <c r="A27" s="19" t="s">
        <v>240</v>
      </c>
      <c r="B27" s="158">
        <v>146</v>
      </c>
      <c r="C27" s="159">
        <v>3600</v>
      </c>
      <c r="D27" s="72" t="s">
        <v>235</v>
      </c>
      <c r="E27" s="258" t="s">
        <v>239</v>
      </c>
      <c r="F27" s="47"/>
    </row>
    <row r="28" spans="1:30" ht="13.95" customHeight="1">
      <c r="A28" s="10" t="s">
        <v>241</v>
      </c>
      <c r="B28" s="10">
        <v>1.59</v>
      </c>
      <c r="C28" s="306">
        <v>1.1000000000000001</v>
      </c>
      <c r="E28" s="62" t="s">
        <v>515</v>
      </c>
      <c r="F28" s="62" t="s">
        <v>516</v>
      </c>
    </row>
    <row r="29" spans="1:30" ht="13.95" customHeight="1">
      <c r="E29" s="47">
        <v>1.08</v>
      </c>
      <c r="F29" s="47">
        <v>1.1000000000000001</v>
      </c>
    </row>
    <row r="30" spans="1:30" ht="13.95" hidden="1" customHeight="1" thickBot="1">
      <c r="A30" s="11" t="s">
        <v>242</v>
      </c>
    </row>
    <row r="31" spans="1:30" ht="13.95" hidden="1" customHeight="1">
      <c r="A31" s="104"/>
      <c r="B31" s="105" t="s">
        <v>84</v>
      </c>
      <c r="C31" s="105" t="s">
        <v>85</v>
      </c>
      <c r="D31" s="105" t="s">
        <v>86</v>
      </c>
      <c r="E31" s="105" t="s">
        <v>87</v>
      </c>
      <c r="F31" s="105" t="s">
        <v>88</v>
      </c>
      <c r="G31" s="105" t="s">
        <v>89</v>
      </c>
      <c r="H31" s="105" t="s">
        <v>90</v>
      </c>
      <c r="I31" s="105" t="s">
        <v>91</v>
      </c>
      <c r="J31" s="105" t="s">
        <v>92</v>
      </c>
      <c r="K31" s="106" t="s">
        <v>93</v>
      </c>
    </row>
    <row r="32" spans="1:30" ht="13.95" hidden="1" customHeight="1" thickBot="1">
      <c r="A32" s="169" t="s">
        <v>243</v>
      </c>
      <c r="B32" s="170">
        <v>0.6</v>
      </c>
      <c r="C32" s="170">
        <v>0.7</v>
      </c>
      <c r="D32" s="170">
        <v>0.8</v>
      </c>
      <c r="E32" s="170">
        <v>0.7</v>
      </c>
      <c r="F32" s="170">
        <v>0.6</v>
      </c>
      <c r="G32" s="170">
        <v>0.6</v>
      </c>
      <c r="H32" s="170">
        <v>0.6</v>
      </c>
      <c r="I32" s="170">
        <v>0.6</v>
      </c>
      <c r="J32" s="170">
        <v>0.6</v>
      </c>
      <c r="K32" s="64">
        <v>0.6</v>
      </c>
      <c r="L32" s="14"/>
      <c r="M32" s="47" t="s">
        <v>244</v>
      </c>
    </row>
    <row r="33" spans="1:14" ht="13.95" customHeight="1">
      <c r="E33" s="47"/>
      <c r="F33" s="47"/>
    </row>
    <row r="34" spans="1:14" ht="13.95" customHeight="1">
      <c r="E34" s="47"/>
      <c r="F34" s="47"/>
    </row>
    <row r="35" spans="1:14" ht="13.95" customHeight="1" thickBot="1">
      <c r="A35" s="11" t="s">
        <v>245</v>
      </c>
      <c r="B35" s="14"/>
      <c r="E35" s="47"/>
      <c r="F35" s="47"/>
    </row>
    <row r="36" spans="1:14" ht="13.95" customHeight="1">
      <c r="A36" s="15" t="s">
        <v>246</v>
      </c>
      <c r="B36" s="172">
        <v>556600000</v>
      </c>
      <c r="C36" s="72" t="s">
        <v>247</v>
      </c>
      <c r="E36" s="47" t="s">
        <v>248</v>
      </c>
      <c r="F36" s="47"/>
    </row>
    <row r="37" spans="1:14" ht="13.95" customHeight="1">
      <c r="A37" s="16" t="s">
        <v>249</v>
      </c>
      <c r="B37" s="174">
        <v>0.125</v>
      </c>
      <c r="C37" s="10" t="s">
        <v>250</v>
      </c>
      <c r="E37" s="47" t="s">
        <v>251</v>
      </c>
      <c r="F37" s="47"/>
      <c r="H37" s="12"/>
    </row>
    <row r="38" spans="1:14" ht="13.95" customHeight="1" thickBot="1">
      <c r="A38" s="19" t="s">
        <v>252</v>
      </c>
      <c r="B38" s="173">
        <v>7.7999999999999996E-3</v>
      </c>
      <c r="C38" s="10" t="s">
        <v>250</v>
      </c>
      <c r="E38" s="47" t="s">
        <v>253</v>
      </c>
      <c r="F38" s="47"/>
      <c r="H38" s="12"/>
    </row>
    <row r="39" spans="1:14" ht="13.95" customHeight="1">
      <c r="A39" s="43" t="s">
        <v>254</v>
      </c>
      <c r="B39" s="81">
        <v>0</v>
      </c>
      <c r="C39" s="81">
        <v>0.3</v>
      </c>
      <c r="D39" s="81">
        <v>0.6</v>
      </c>
      <c r="E39" s="81">
        <v>0.8</v>
      </c>
      <c r="F39" s="81">
        <v>1</v>
      </c>
      <c r="G39" s="81">
        <v>1</v>
      </c>
      <c r="H39" s="81">
        <v>1</v>
      </c>
      <c r="I39" s="81">
        <v>1</v>
      </c>
      <c r="J39" s="81">
        <v>1</v>
      </c>
      <c r="K39" s="81">
        <v>1</v>
      </c>
      <c r="L39" s="81"/>
    </row>
    <row r="40" spans="1:14" ht="13.95" customHeight="1">
      <c r="A40" s="43" t="s">
        <v>255</v>
      </c>
      <c r="B40" s="81">
        <v>0.3</v>
      </c>
      <c r="C40" s="81"/>
      <c r="D40" s="81"/>
      <c r="E40" s="81"/>
      <c r="F40" s="81"/>
      <c r="G40" s="81"/>
      <c r="H40" s="81"/>
      <c r="J40" s="81"/>
      <c r="K40" s="81"/>
      <c r="L40" s="81"/>
      <c r="M40" s="81"/>
      <c r="N40" s="81"/>
    </row>
    <row r="41" spans="1:14" ht="13.95" customHeight="1">
      <c r="A41" s="81"/>
      <c r="B41" s="81"/>
      <c r="C41" s="81"/>
      <c r="D41" s="81"/>
      <c r="E41" s="81"/>
      <c r="F41" s="81"/>
      <c r="G41" s="81"/>
      <c r="H41" s="81"/>
      <c r="J41" s="81"/>
      <c r="K41" s="81"/>
      <c r="L41" s="81"/>
      <c r="M41" s="81"/>
      <c r="N41" s="81"/>
    </row>
    <row r="42" spans="1:14" ht="13.95" customHeight="1" thickBot="1">
      <c r="A42" s="96" t="s">
        <v>256</v>
      </c>
      <c r="B42" s="81"/>
      <c r="C42" s="81"/>
      <c r="D42" s="81"/>
      <c r="E42" s="81"/>
      <c r="F42" s="81"/>
      <c r="G42" s="81"/>
      <c r="H42" s="81"/>
      <c r="J42" s="81"/>
      <c r="K42" s="81"/>
      <c r="L42" s="81"/>
      <c r="M42" s="81"/>
      <c r="N42" s="81"/>
    </row>
    <row r="43" spans="1:14" ht="13.95" customHeight="1">
      <c r="A43" s="99"/>
      <c r="B43" s="100" t="s">
        <v>257</v>
      </c>
      <c r="C43" s="100" t="s">
        <v>258</v>
      </c>
      <c r="D43" s="101" t="s">
        <v>11</v>
      </c>
      <c r="E43" s="81"/>
      <c r="F43" s="81"/>
      <c r="G43" s="81"/>
      <c r="H43" s="81"/>
      <c r="J43" s="81"/>
      <c r="K43" s="81"/>
      <c r="L43" s="81"/>
      <c r="M43" s="81"/>
      <c r="N43" s="81"/>
    </row>
    <row r="44" spans="1:14" ht="13.95" customHeight="1">
      <c r="A44" s="98" t="s">
        <v>64</v>
      </c>
      <c r="B44" s="296"/>
      <c r="C44" s="296">
        <v>23375000</v>
      </c>
      <c r="D44" s="296">
        <v>23375000</v>
      </c>
      <c r="E44" s="47" t="s">
        <v>236</v>
      </c>
      <c r="F44" s="81"/>
      <c r="G44" s="81"/>
      <c r="H44" s="81"/>
      <c r="J44" s="81"/>
      <c r="K44" s="81"/>
      <c r="L44" s="81"/>
      <c r="M44" s="81"/>
      <c r="N44" s="81"/>
    </row>
    <row r="45" spans="1:14" ht="13.95" hidden="1" customHeight="1">
      <c r="A45" s="97" t="s">
        <v>192</v>
      </c>
      <c r="B45" s="138">
        <v>3156000</v>
      </c>
      <c r="C45" s="138">
        <v>4844000</v>
      </c>
      <c r="D45" s="102">
        <v>8000000</v>
      </c>
      <c r="E45" s="47" t="s">
        <v>236</v>
      </c>
      <c r="F45" s="81"/>
      <c r="G45" s="81"/>
      <c r="H45" s="81"/>
      <c r="J45" s="81"/>
      <c r="K45" s="81"/>
      <c r="L45" s="81"/>
      <c r="M45" s="81"/>
      <c r="N45" s="81"/>
    </row>
    <row r="46" spans="1:14" ht="13.95" hidden="1" customHeight="1">
      <c r="A46" s="97" t="s">
        <v>65</v>
      </c>
      <c r="B46" s="138">
        <v>5340000</v>
      </c>
      <c r="C46" s="138">
        <v>46660000</v>
      </c>
      <c r="D46" s="102">
        <v>52000000</v>
      </c>
      <c r="E46" s="258" t="s">
        <v>239</v>
      </c>
      <c r="F46" s="81"/>
      <c r="G46" s="81"/>
      <c r="H46" s="81"/>
      <c r="J46" s="81"/>
      <c r="K46" s="81"/>
      <c r="L46" s="81"/>
      <c r="M46" s="81"/>
      <c r="N46" s="81"/>
    </row>
    <row r="47" spans="1:14" ht="13.95" hidden="1" customHeight="1" thickBot="1">
      <c r="A47" s="191" t="s">
        <v>202</v>
      </c>
      <c r="B47" s="139">
        <v>3156000</v>
      </c>
      <c r="C47" s="139">
        <v>28844000</v>
      </c>
      <c r="D47" s="103">
        <v>32000000</v>
      </c>
      <c r="E47" s="258" t="s">
        <v>239</v>
      </c>
      <c r="F47" s="81"/>
      <c r="G47" s="81"/>
      <c r="H47" s="81"/>
      <c r="J47" s="81"/>
      <c r="K47" s="81"/>
      <c r="L47" s="81"/>
      <c r="M47" s="81"/>
      <c r="N47" s="81"/>
    </row>
    <row r="48" spans="1:14" ht="13.95" customHeight="1">
      <c r="A48" s="10" t="s">
        <v>109</v>
      </c>
      <c r="B48" s="295">
        <v>0.03</v>
      </c>
      <c r="C48" s="72"/>
      <c r="E48" s="143"/>
    </row>
    <row r="49" spans="1:14" ht="13.95" customHeight="1">
      <c r="A49" s="43" t="s">
        <v>111</v>
      </c>
      <c r="B49" s="81">
        <v>5.0000000000000001E-3</v>
      </c>
      <c r="C49" s="81"/>
      <c r="D49" s="81"/>
      <c r="E49" s="81"/>
      <c r="F49" s="81"/>
      <c r="G49" s="81"/>
      <c r="H49" s="81"/>
      <c r="J49" s="81"/>
      <c r="K49" s="81"/>
      <c r="L49" s="81"/>
      <c r="M49" s="81"/>
      <c r="N49" s="81"/>
    </row>
    <row r="50" spans="1:14" ht="13.95" hidden="1" customHeight="1">
      <c r="A50" s="43"/>
      <c r="B50" s="81"/>
      <c r="C50" s="81"/>
      <c r="D50" s="81"/>
      <c r="E50" s="81"/>
      <c r="F50" s="81"/>
      <c r="G50" s="81"/>
      <c r="H50" s="81"/>
      <c r="J50" s="81"/>
      <c r="K50" s="81"/>
      <c r="L50" s="81"/>
      <c r="M50" s="81"/>
      <c r="N50" s="81"/>
    </row>
    <row r="51" spans="1:14" ht="13.95" hidden="1" customHeight="1" thickBot="1">
      <c r="A51" s="11" t="s">
        <v>259</v>
      </c>
      <c r="E51" s="47"/>
      <c r="F51" s="47"/>
    </row>
    <row r="52" spans="1:14" ht="13.95" hidden="1" customHeight="1">
      <c r="A52" s="15" t="s">
        <v>260</v>
      </c>
      <c r="B52" s="20">
        <v>282930</v>
      </c>
      <c r="E52" s="47" t="s">
        <v>261</v>
      </c>
      <c r="F52" s="47"/>
    </row>
    <row r="53" spans="1:14" ht="13.95" hidden="1" customHeight="1" thickBot="1">
      <c r="A53" s="19" t="s">
        <v>262</v>
      </c>
      <c r="B53" s="64">
        <v>547651</v>
      </c>
      <c r="E53" s="47" t="s">
        <v>261</v>
      </c>
      <c r="F53" s="47"/>
    </row>
    <row r="54" spans="1:14" ht="13.95" hidden="1" customHeight="1">
      <c r="B54" s="14"/>
      <c r="E54" s="47"/>
      <c r="F54" s="47"/>
    </row>
    <row r="55" spans="1:14" ht="13.95" hidden="1" customHeight="1" thickBot="1">
      <c r="A55" s="11" t="s">
        <v>263</v>
      </c>
      <c r="B55" s="14"/>
      <c r="E55" s="47"/>
      <c r="F55" s="47"/>
    </row>
    <row r="56" spans="1:14" ht="13.95" hidden="1" customHeight="1">
      <c r="A56" s="87" t="s">
        <v>264</v>
      </c>
      <c r="B56" s="65">
        <f>SUM(B57:B61)</f>
        <v>12600000</v>
      </c>
      <c r="C56" s="14">
        <f>B56*1.2</f>
        <v>15120000</v>
      </c>
      <c r="E56" s="47"/>
      <c r="F56" s="47"/>
    </row>
    <row r="57" spans="1:14" ht="13.95" hidden="1" customHeight="1">
      <c r="A57" s="88" t="s">
        <v>265</v>
      </c>
      <c r="B57" s="17">
        <v>1000000</v>
      </c>
      <c r="E57" s="47" t="s">
        <v>266</v>
      </c>
      <c r="F57" s="47"/>
    </row>
    <row r="58" spans="1:14" ht="23.4" hidden="1" customHeight="1">
      <c r="A58" s="88" t="s">
        <v>267</v>
      </c>
      <c r="B58" s="17">
        <v>7800000</v>
      </c>
      <c r="E58" s="47" t="s">
        <v>266</v>
      </c>
      <c r="F58" s="47"/>
    </row>
    <row r="59" spans="1:14" ht="13.95" hidden="1" customHeight="1">
      <c r="A59" s="88" t="s">
        <v>268</v>
      </c>
      <c r="B59" s="17">
        <v>2500000</v>
      </c>
      <c r="E59" s="47" t="s">
        <v>266</v>
      </c>
      <c r="F59" s="47"/>
    </row>
    <row r="60" spans="1:14" ht="13.95" hidden="1" customHeight="1">
      <c r="A60" s="88" t="s">
        <v>269</v>
      </c>
      <c r="B60" s="17">
        <v>700000</v>
      </c>
      <c r="E60" s="47" t="s">
        <v>266</v>
      </c>
      <c r="F60" s="47"/>
    </row>
    <row r="61" spans="1:14" ht="13.95" hidden="1" customHeight="1">
      <c r="A61" s="88" t="s">
        <v>270</v>
      </c>
      <c r="B61" s="17">
        <v>600000</v>
      </c>
      <c r="E61" s="47" t="s">
        <v>266</v>
      </c>
      <c r="F61" s="47"/>
    </row>
    <row r="62" spans="1:14" ht="13.95" hidden="1" customHeight="1">
      <c r="A62" s="89" t="s">
        <v>271</v>
      </c>
      <c r="B62" s="66">
        <f>SUM(B63:B67)</f>
        <v>29700000</v>
      </c>
      <c r="C62" s="14"/>
      <c r="E62" s="47" t="s">
        <v>266</v>
      </c>
      <c r="F62" s="47"/>
    </row>
    <row r="63" spans="1:14" ht="13.95" hidden="1" customHeight="1">
      <c r="A63" s="88" t="s">
        <v>265</v>
      </c>
      <c r="B63" s="17">
        <v>1000000</v>
      </c>
      <c r="E63" s="47" t="s">
        <v>266</v>
      </c>
      <c r="F63" s="47"/>
    </row>
    <row r="64" spans="1:14" ht="22.2" hidden="1" customHeight="1">
      <c r="A64" s="88" t="s">
        <v>267</v>
      </c>
      <c r="B64" s="17">
        <v>20000000</v>
      </c>
      <c r="E64" s="47" t="s">
        <v>266</v>
      </c>
      <c r="F64" s="47"/>
    </row>
    <row r="65" spans="1:9" ht="13.95" hidden="1" customHeight="1">
      <c r="A65" s="88" t="s">
        <v>268</v>
      </c>
      <c r="B65" s="17">
        <v>7000000</v>
      </c>
      <c r="E65" s="47" t="s">
        <v>266</v>
      </c>
      <c r="F65" s="47"/>
    </row>
    <row r="66" spans="1:9" ht="13.95" hidden="1" customHeight="1">
      <c r="A66" s="88" t="s">
        <v>269</v>
      </c>
      <c r="B66" s="17">
        <v>1000000</v>
      </c>
      <c r="E66" s="47" t="s">
        <v>266</v>
      </c>
      <c r="F66" s="47"/>
    </row>
    <row r="67" spans="1:9" ht="13.95" hidden="1" customHeight="1" thickBot="1">
      <c r="A67" s="90" t="s">
        <v>270</v>
      </c>
      <c r="B67" s="64">
        <v>700000</v>
      </c>
      <c r="E67" s="47" t="s">
        <v>266</v>
      </c>
      <c r="F67" s="47"/>
    </row>
    <row r="68" spans="1:9" ht="13.95" hidden="1" customHeight="1">
      <c r="A68" s="10" t="s">
        <v>272</v>
      </c>
      <c r="B68" s="14">
        <v>500000</v>
      </c>
      <c r="E68" s="47" t="s">
        <v>266</v>
      </c>
      <c r="F68" s="47"/>
    </row>
    <row r="69" spans="1:9" ht="13.95" hidden="1" customHeight="1">
      <c r="B69" s="14"/>
      <c r="E69" s="47"/>
      <c r="F69" s="47"/>
    </row>
    <row r="70" spans="1:9" ht="13.95" hidden="1" customHeight="1">
      <c r="B70" s="14"/>
      <c r="E70" s="47"/>
      <c r="F70" s="47"/>
    </row>
    <row r="71" spans="1:9" ht="24.6" hidden="1" customHeight="1" thickBot="1">
      <c r="A71" s="11" t="s">
        <v>273</v>
      </c>
      <c r="B71" s="268" t="s">
        <v>508</v>
      </c>
      <c r="C71" s="94" t="s">
        <v>509</v>
      </c>
      <c r="E71" s="47" t="s">
        <v>507</v>
      </c>
      <c r="F71" s="47"/>
    </row>
    <row r="72" spans="1:9" ht="13.8" hidden="1" customHeight="1">
      <c r="A72" s="15" t="s">
        <v>274</v>
      </c>
      <c r="B72" s="161">
        <f>(B56+1000000)*1.3+2500000</f>
        <v>20180000</v>
      </c>
      <c r="C72" s="14">
        <f>B52*12*5*1.3</f>
        <v>22068540</v>
      </c>
      <c r="E72" s="47" t="s">
        <v>510</v>
      </c>
    </row>
    <row r="73" spans="1:9" ht="13.95" hidden="1" customHeight="1">
      <c r="A73" s="16" t="s">
        <v>275</v>
      </c>
      <c r="B73" s="162">
        <f>(B62+1000000)*1.3+2500000</f>
        <v>42410000</v>
      </c>
      <c r="C73" s="14">
        <f>B53*12*5*1.3</f>
        <v>42716778</v>
      </c>
    </row>
    <row r="74" spans="1:9" ht="13.95" hidden="1" customHeight="1" thickBot="1">
      <c r="A74" s="19" t="s">
        <v>276</v>
      </c>
      <c r="B74" s="160">
        <v>200000</v>
      </c>
      <c r="C74" s="14"/>
      <c r="E74" s="47" t="s">
        <v>266</v>
      </c>
    </row>
    <row r="75" spans="1:9" ht="13.95" hidden="1" customHeight="1">
      <c r="B75" s="14"/>
      <c r="E75" s="47"/>
      <c r="F75" s="47"/>
    </row>
    <row r="76" spans="1:9" ht="13.95" hidden="1" customHeight="1">
      <c r="B76" s="14"/>
      <c r="E76" s="47"/>
      <c r="F76" s="47"/>
    </row>
    <row r="77" spans="1:9" ht="13.95" customHeight="1" thickBot="1">
      <c r="A77" s="11" t="s">
        <v>183</v>
      </c>
      <c r="B77" s="14"/>
      <c r="E77" s="47"/>
      <c r="F77" s="47"/>
    </row>
    <row r="78" spans="1:9" ht="13.95" customHeight="1">
      <c r="A78" s="15" t="s">
        <v>277</v>
      </c>
      <c r="B78" s="299">
        <v>2.5000000000000001E-2</v>
      </c>
      <c r="E78" s="47" t="s">
        <v>278</v>
      </c>
      <c r="F78" s="47"/>
      <c r="I78" s="143"/>
    </row>
    <row r="79" spans="1:9" ht="13.95" hidden="1" customHeight="1">
      <c r="A79" s="88" t="s">
        <v>279</v>
      </c>
      <c r="B79" s="17">
        <f>B56*B78</f>
        <v>315000</v>
      </c>
      <c r="E79" s="47"/>
      <c r="F79" s="47"/>
    </row>
    <row r="80" spans="1:9" ht="13.95" hidden="1" customHeight="1" thickBot="1">
      <c r="A80" s="19" t="s">
        <v>280</v>
      </c>
      <c r="B80" s="64">
        <f>B62*B78</f>
        <v>742500</v>
      </c>
      <c r="E80" s="47"/>
      <c r="F80" s="47"/>
    </row>
    <row r="81" spans="1:13" ht="13.95" customHeight="1">
      <c r="E81" s="47"/>
      <c r="F81" s="47"/>
    </row>
    <row r="82" spans="1:13" ht="13.95" customHeight="1">
      <c r="B82" s="14"/>
      <c r="E82" s="47"/>
      <c r="F82" s="47"/>
    </row>
    <row r="83" spans="1:13" ht="13.95" customHeight="1" thickBot="1">
      <c r="A83" s="11" t="s">
        <v>281</v>
      </c>
    </row>
    <row r="84" spans="1:13" ht="13.95" customHeight="1">
      <c r="A84" s="104"/>
      <c r="B84" s="105" t="s">
        <v>84</v>
      </c>
      <c r="C84" s="105" t="s">
        <v>85</v>
      </c>
      <c r="D84" s="105" t="s">
        <v>86</v>
      </c>
      <c r="E84" s="105" t="s">
        <v>87</v>
      </c>
      <c r="F84" s="105" t="s">
        <v>88</v>
      </c>
      <c r="G84" s="105" t="s">
        <v>89</v>
      </c>
      <c r="H84" s="105" t="s">
        <v>90</v>
      </c>
      <c r="I84" s="105" t="s">
        <v>91</v>
      </c>
      <c r="J84" s="105" t="s">
        <v>92</v>
      </c>
      <c r="K84" s="106" t="s">
        <v>93</v>
      </c>
    </row>
    <row r="85" spans="1:13" ht="13.95" customHeight="1">
      <c r="A85" s="178" t="s">
        <v>282</v>
      </c>
      <c r="B85" s="179">
        <f>B94*(1+$B$95)</f>
        <v>3300.0000000000005</v>
      </c>
      <c r="C85" s="179">
        <f>B85*SUM(1+$B$96)</f>
        <v>3399.0000000000005</v>
      </c>
      <c r="D85" s="179">
        <f t="shared" ref="D85:K85" si="22">C85*SUM(1+$B$96)</f>
        <v>3500.9700000000007</v>
      </c>
      <c r="E85" s="179">
        <f>D85*SUM(1+$B$96)</f>
        <v>3605.9991000000009</v>
      </c>
      <c r="F85" s="179">
        <f>E85*SUM(1+$B$96)</f>
        <v>3714.1790730000012</v>
      </c>
      <c r="G85" s="179">
        <f>F85*SUM(1+$B$96)</f>
        <v>3825.6044451900011</v>
      </c>
      <c r="H85" s="179">
        <f>G85*SUM(1+$B$96)</f>
        <v>3940.3725785457013</v>
      </c>
      <c r="I85" s="179">
        <f>H85*SUM(1+$B$96)</f>
        <v>4058.5837559020724</v>
      </c>
      <c r="J85" s="179">
        <f t="shared" si="22"/>
        <v>4180.3412685791345</v>
      </c>
      <c r="K85" s="180">
        <f t="shared" si="22"/>
        <v>4305.7515066365086</v>
      </c>
      <c r="L85" s="14"/>
      <c r="M85" s="47" t="s">
        <v>283</v>
      </c>
    </row>
    <row r="86" spans="1:13" ht="13.95" customHeight="1">
      <c r="A86" s="175" t="s">
        <v>284</v>
      </c>
      <c r="B86" s="183">
        <v>4</v>
      </c>
      <c r="C86" s="183">
        <v>5</v>
      </c>
      <c r="D86" s="183">
        <v>5</v>
      </c>
      <c r="E86" s="183">
        <v>5</v>
      </c>
      <c r="F86" s="183">
        <v>5</v>
      </c>
      <c r="G86" s="183">
        <v>5</v>
      </c>
      <c r="H86" s="183">
        <v>5</v>
      </c>
      <c r="I86" s="183">
        <v>5</v>
      </c>
      <c r="J86" s="183">
        <v>5</v>
      </c>
      <c r="K86" s="184">
        <v>5</v>
      </c>
      <c r="M86" s="47" t="s">
        <v>285</v>
      </c>
    </row>
    <row r="87" spans="1:13" ht="13.95" customHeight="1">
      <c r="A87" s="185" t="s">
        <v>286</v>
      </c>
      <c r="B87" s="186">
        <v>0</v>
      </c>
      <c r="C87" s="186">
        <v>15</v>
      </c>
      <c r="D87" s="186">
        <v>25</v>
      </c>
      <c r="E87" s="186">
        <v>50</v>
      </c>
      <c r="F87" s="186">
        <v>50</v>
      </c>
      <c r="G87" s="186">
        <v>50</v>
      </c>
      <c r="H87" s="186">
        <v>50</v>
      </c>
      <c r="I87" s="186">
        <v>50</v>
      </c>
      <c r="J87" s="186">
        <v>50</v>
      </c>
      <c r="K87" s="187">
        <v>50</v>
      </c>
      <c r="M87" s="47" t="s">
        <v>285</v>
      </c>
    </row>
    <row r="88" spans="1:13" ht="13.95" customHeight="1">
      <c r="A88" s="175" t="s">
        <v>287</v>
      </c>
      <c r="B88" s="183">
        <v>2</v>
      </c>
      <c r="C88" s="308">
        <v>8</v>
      </c>
      <c r="D88" s="308">
        <v>8</v>
      </c>
      <c r="E88" s="308">
        <v>8</v>
      </c>
      <c r="F88" s="308">
        <v>8</v>
      </c>
      <c r="G88" s="308">
        <v>8</v>
      </c>
      <c r="H88" s="308">
        <v>8</v>
      </c>
      <c r="I88" s="308">
        <v>8</v>
      </c>
      <c r="J88" s="308">
        <v>8</v>
      </c>
      <c r="K88" s="309">
        <v>8</v>
      </c>
      <c r="M88" s="47" t="s">
        <v>285</v>
      </c>
    </row>
    <row r="89" spans="1:13" ht="13.95" customHeight="1">
      <c r="A89" s="185" t="s">
        <v>288</v>
      </c>
      <c r="B89" s="186">
        <v>0</v>
      </c>
      <c r="C89" s="310">
        <v>10</v>
      </c>
      <c r="D89" s="310">
        <v>10</v>
      </c>
      <c r="E89" s="310">
        <v>10</v>
      </c>
      <c r="F89" s="310">
        <v>10</v>
      </c>
      <c r="G89" s="310">
        <v>10</v>
      </c>
      <c r="H89" s="310">
        <v>10</v>
      </c>
      <c r="I89" s="310">
        <v>10</v>
      </c>
      <c r="J89" s="310">
        <v>10</v>
      </c>
      <c r="K89" s="311">
        <v>10</v>
      </c>
      <c r="M89" s="47" t="s">
        <v>285</v>
      </c>
    </row>
    <row r="90" spans="1:13" ht="13.95" hidden="1" customHeight="1">
      <c r="A90" s="175" t="s">
        <v>289</v>
      </c>
      <c r="B90" s="183">
        <v>4</v>
      </c>
      <c r="C90" s="183">
        <v>10</v>
      </c>
      <c r="D90" s="183">
        <v>15</v>
      </c>
      <c r="E90" s="183">
        <v>20</v>
      </c>
      <c r="F90" s="183">
        <v>25</v>
      </c>
      <c r="G90" s="183">
        <v>25</v>
      </c>
      <c r="H90" s="183">
        <v>25</v>
      </c>
      <c r="I90" s="183">
        <v>25</v>
      </c>
      <c r="J90" s="183">
        <v>25</v>
      </c>
      <c r="K90" s="184">
        <v>25</v>
      </c>
      <c r="M90" s="47" t="s">
        <v>285</v>
      </c>
    </row>
    <row r="91" spans="1:13" ht="13.95" hidden="1" customHeight="1">
      <c r="A91" s="185" t="s">
        <v>290</v>
      </c>
      <c r="B91" s="186">
        <v>0</v>
      </c>
      <c r="C91" s="186">
        <v>15</v>
      </c>
      <c r="D91" s="186">
        <v>25</v>
      </c>
      <c r="E91" s="186">
        <v>50</v>
      </c>
      <c r="F91" s="186">
        <v>50</v>
      </c>
      <c r="G91" s="186">
        <v>50</v>
      </c>
      <c r="H91" s="186">
        <v>50</v>
      </c>
      <c r="I91" s="186">
        <v>50</v>
      </c>
      <c r="J91" s="186">
        <v>50</v>
      </c>
      <c r="K91" s="187">
        <v>50</v>
      </c>
      <c r="M91" s="47" t="s">
        <v>285</v>
      </c>
    </row>
    <row r="92" spans="1:13" ht="13.95" hidden="1" customHeight="1">
      <c r="A92" s="95" t="s">
        <v>291</v>
      </c>
      <c r="B92" s="181">
        <v>4</v>
      </c>
      <c r="C92" s="181">
        <v>10</v>
      </c>
      <c r="D92" s="181">
        <v>15</v>
      </c>
      <c r="E92" s="181">
        <v>25</v>
      </c>
      <c r="F92" s="181">
        <v>28</v>
      </c>
      <c r="G92" s="181">
        <v>28</v>
      </c>
      <c r="H92" s="181">
        <v>28</v>
      </c>
      <c r="I92" s="181">
        <v>28</v>
      </c>
      <c r="J92" s="181">
        <v>28</v>
      </c>
      <c r="K92" s="182">
        <v>28</v>
      </c>
      <c r="M92" s="47" t="s">
        <v>285</v>
      </c>
    </row>
    <row r="93" spans="1:13" ht="13.95" hidden="1" customHeight="1" thickBot="1">
      <c r="A93" s="19" t="s">
        <v>292</v>
      </c>
      <c r="B93" s="176">
        <v>0</v>
      </c>
      <c r="C93" s="176">
        <v>15</v>
      </c>
      <c r="D93" s="176">
        <v>25</v>
      </c>
      <c r="E93" s="176">
        <v>55</v>
      </c>
      <c r="F93" s="176">
        <v>55</v>
      </c>
      <c r="G93" s="176">
        <v>55</v>
      </c>
      <c r="H93" s="176">
        <v>55</v>
      </c>
      <c r="I93" s="176">
        <v>55</v>
      </c>
      <c r="J93" s="176">
        <v>55</v>
      </c>
      <c r="K93" s="177">
        <v>55</v>
      </c>
      <c r="M93" s="47" t="s">
        <v>285</v>
      </c>
    </row>
    <row r="94" spans="1:13" ht="13.95" customHeight="1">
      <c r="A94" s="10" t="s">
        <v>293</v>
      </c>
      <c r="B94" s="14">
        <v>3000</v>
      </c>
      <c r="C94" s="72" t="s">
        <v>294</v>
      </c>
      <c r="E94" s="47" t="s">
        <v>285</v>
      </c>
      <c r="F94" s="47"/>
    </row>
    <row r="95" spans="1:13" ht="24.6" customHeight="1">
      <c r="A95" s="94" t="s">
        <v>295</v>
      </c>
      <c r="B95" s="131">
        <v>0.1</v>
      </c>
      <c r="C95" s="72"/>
      <c r="E95" s="47" t="s">
        <v>285</v>
      </c>
      <c r="F95" s="47"/>
    </row>
    <row r="96" spans="1:13" ht="13.95" customHeight="1">
      <c r="A96" s="10" t="s">
        <v>296</v>
      </c>
      <c r="B96" s="131">
        <v>0.03</v>
      </c>
      <c r="C96" s="72"/>
      <c r="E96" s="47" t="s">
        <v>285</v>
      </c>
      <c r="F96" s="47"/>
    </row>
    <row r="97" spans="1:11" ht="13.95" customHeight="1">
      <c r="A97" s="10" t="s">
        <v>297</v>
      </c>
      <c r="B97" s="10">
        <v>800</v>
      </c>
      <c r="C97" s="72" t="s">
        <v>298</v>
      </c>
      <c r="D97" s="18"/>
      <c r="E97" s="47" t="s">
        <v>285</v>
      </c>
      <c r="F97" s="47"/>
      <c r="H97" s="12"/>
    </row>
    <row r="98" spans="1:11" ht="13.95" customHeight="1">
      <c r="A98" s="10" t="s">
        <v>299</v>
      </c>
      <c r="B98" s="14">
        <v>10</v>
      </c>
      <c r="C98" s="72" t="s">
        <v>300</v>
      </c>
      <c r="E98" s="47" t="s">
        <v>285</v>
      </c>
      <c r="F98" s="47"/>
      <c r="H98" s="12"/>
    </row>
    <row r="101" spans="1:11" ht="13.95" customHeight="1" thickBot="1">
      <c r="A101" s="11" t="s">
        <v>80</v>
      </c>
      <c r="E101" s="47" t="s">
        <v>506</v>
      </c>
    </row>
    <row r="102" spans="1:11" ht="13.95" customHeight="1">
      <c r="A102" s="104"/>
      <c r="B102" s="105" t="s">
        <v>157</v>
      </c>
      <c r="C102" s="105" t="s">
        <v>158</v>
      </c>
      <c r="D102" s="105" t="s">
        <v>159</v>
      </c>
      <c r="E102" s="105" t="s">
        <v>160</v>
      </c>
      <c r="F102" s="105" t="s">
        <v>161</v>
      </c>
      <c r="G102" s="105" t="s">
        <v>162</v>
      </c>
      <c r="H102" s="105" t="s">
        <v>163</v>
      </c>
      <c r="I102" s="105" t="s">
        <v>164</v>
      </c>
      <c r="J102" s="105" t="s">
        <v>165</v>
      </c>
      <c r="K102" s="106" t="s">
        <v>166</v>
      </c>
    </row>
    <row r="103" spans="1:11" ht="13.95" customHeight="1">
      <c r="A103" s="265" t="s">
        <v>498</v>
      </c>
      <c r="B103" s="266"/>
      <c r="C103" s="266"/>
      <c r="D103" s="266"/>
      <c r="E103" s="266"/>
      <c r="F103" s="266"/>
      <c r="G103" s="266"/>
      <c r="H103" s="266"/>
      <c r="I103" s="266"/>
      <c r="J103" s="266"/>
      <c r="K103" s="267">
        <v>0</v>
      </c>
    </row>
    <row r="104" spans="1:11" ht="22.05" customHeight="1">
      <c r="A104" s="265" t="s">
        <v>495</v>
      </c>
      <c r="B104" s="266"/>
      <c r="C104" s="266"/>
      <c r="D104" s="266"/>
      <c r="E104" s="266"/>
      <c r="F104" s="266"/>
      <c r="G104" s="266"/>
      <c r="H104" s="266"/>
      <c r="I104" s="266"/>
      <c r="J104" s="266"/>
      <c r="K104" s="267">
        <v>0</v>
      </c>
    </row>
    <row r="105" spans="1:11" ht="22.05" customHeight="1">
      <c r="A105" s="265" t="s">
        <v>502</v>
      </c>
      <c r="B105" s="266"/>
      <c r="C105" s="266"/>
      <c r="D105" s="266"/>
      <c r="E105" s="266"/>
      <c r="F105" s="266"/>
      <c r="G105" s="266"/>
      <c r="H105" s="266"/>
      <c r="I105" s="266"/>
      <c r="J105" s="266"/>
      <c r="K105" s="267">
        <v>0</v>
      </c>
    </row>
    <row r="106" spans="1:11" ht="13.95" customHeight="1">
      <c r="A106" s="265" t="s">
        <v>496</v>
      </c>
      <c r="B106" s="266"/>
      <c r="C106" s="266"/>
      <c r="D106" s="266"/>
      <c r="E106" s="266"/>
      <c r="F106" s="266"/>
      <c r="G106" s="266"/>
      <c r="H106" s="266"/>
      <c r="I106" s="266"/>
      <c r="J106" s="266"/>
      <c r="K106" s="267">
        <v>0</v>
      </c>
    </row>
    <row r="107" spans="1:11" ht="13.95" customHeight="1">
      <c r="A107" s="265" t="s">
        <v>499</v>
      </c>
      <c r="B107" s="266"/>
      <c r="C107" s="266">
        <v>100000</v>
      </c>
      <c r="D107" s="266">
        <v>100000</v>
      </c>
      <c r="E107" s="266">
        <v>100000</v>
      </c>
      <c r="F107" s="266">
        <v>100000</v>
      </c>
      <c r="G107" s="266">
        <v>100000</v>
      </c>
      <c r="H107" s="266">
        <v>100000</v>
      </c>
      <c r="I107" s="266">
        <v>100000</v>
      </c>
      <c r="J107" s="266">
        <v>100000</v>
      </c>
      <c r="K107" s="267">
        <v>100000</v>
      </c>
    </row>
    <row r="108" spans="1:11" ht="13.95" customHeight="1">
      <c r="A108" s="265" t="s">
        <v>500</v>
      </c>
      <c r="B108" s="266"/>
      <c r="C108" s="266"/>
      <c r="D108" s="266"/>
      <c r="E108" s="266"/>
      <c r="F108" s="266"/>
      <c r="G108" s="266"/>
      <c r="H108" s="266"/>
      <c r="I108" s="266"/>
      <c r="J108" s="266"/>
      <c r="K108" s="267">
        <v>0</v>
      </c>
    </row>
    <row r="109" spans="1:11" ht="22.05" customHeight="1">
      <c r="A109" s="265" t="s">
        <v>501</v>
      </c>
      <c r="B109" s="266"/>
      <c r="C109" s="266">
        <v>153000</v>
      </c>
      <c r="D109" s="266">
        <v>355000</v>
      </c>
      <c r="E109" s="266">
        <v>650000</v>
      </c>
      <c r="F109" s="266">
        <v>890000</v>
      </c>
      <c r="G109" s="312">
        <v>890000</v>
      </c>
      <c r="H109" s="312">
        <v>890000</v>
      </c>
      <c r="I109" s="312">
        <v>890000</v>
      </c>
      <c r="J109" s="312">
        <v>890000</v>
      </c>
      <c r="K109" s="313">
        <v>890000</v>
      </c>
    </row>
    <row r="110" spans="1:11" ht="13.95" customHeight="1">
      <c r="A110" s="265" t="s">
        <v>497</v>
      </c>
      <c r="B110" s="266"/>
      <c r="C110" s="266"/>
      <c r="D110" s="266"/>
      <c r="E110" s="266"/>
      <c r="F110" s="266"/>
      <c r="G110" s="266"/>
      <c r="H110" s="266"/>
      <c r="I110" s="266"/>
      <c r="J110" s="266"/>
      <c r="K110" s="267">
        <v>0</v>
      </c>
    </row>
    <row r="111" spans="1:11" ht="13.95" customHeight="1">
      <c r="A111" s="265" t="s">
        <v>504</v>
      </c>
      <c r="B111" s="266"/>
      <c r="C111" s="266"/>
      <c r="D111" s="266"/>
      <c r="E111" s="266"/>
      <c r="F111" s="266"/>
      <c r="G111" s="266"/>
      <c r="H111" s="266"/>
      <c r="I111" s="266"/>
      <c r="J111" s="266"/>
      <c r="K111" s="267">
        <v>0</v>
      </c>
    </row>
    <row r="112" spans="1:11" ht="22.8" customHeight="1">
      <c r="A112" s="265" t="s">
        <v>503</v>
      </c>
      <c r="B112" s="266"/>
      <c r="C112" s="266"/>
      <c r="D112" s="266"/>
      <c r="E112" s="266"/>
      <c r="F112" s="266"/>
      <c r="G112" s="266"/>
      <c r="H112" s="266"/>
      <c r="I112" s="266"/>
      <c r="J112" s="266"/>
      <c r="K112" s="267">
        <v>0</v>
      </c>
    </row>
    <row r="113" spans="1:12" ht="13.95" customHeight="1" thickBot="1">
      <c r="A113" s="261" t="s">
        <v>301</v>
      </c>
      <c r="B113" s="262">
        <v>0</v>
      </c>
      <c r="C113" s="262">
        <f>SUM(C103:C112)</f>
        <v>253000</v>
      </c>
      <c r="D113" s="262">
        <f t="shared" ref="D113:K113" si="23">SUM(D103:D112)</f>
        <v>455000</v>
      </c>
      <c r="E113" s="262">
        <f t="shared" si="23"/>
        <v>750000</v>
      </c>
      <c r="F113" s="263">
        <f t="shared" si="23"/>
        <v>990000</v>
      </c>
      <c r="G113" s="263">
        <f t="shared" si="23"/>
        <v>990000</v>
      </c>
      <c r="H113" s="263">
        <f t="shared" si="23"/>
        <v>990000</v>
      </c>
      <c r="I113" s="263">
        <f t="shared" si="23"/>
        <v>990000</v>
      </c>
      <c r="J113" s="263">
        <f t="shared" si="23"/>
        <v>990000</v>
      </c>
      <c r="K113" s="264">
        <f t="shared" si="23"/>
        <v>990000</v>
      </c>
      <c r="L113" s="14"/>
    </row>
    <row r="114" spans="1:12" ht="13.95" customHeight="1">
      <c r="B114" s="272" t="s">
        <v>493</v>
      </c>
      <c r="C114" s="272"/>
      <c r="D114" s="272"/>
      <c r="E114" s="272"/>
      <c r="F114" s="273" t="s">
        <v>494</v>
      </c>
      <c r="G114" s="273"/>
      <c r="H114" s="273"/>
      <c r="I114" s="273"/>
      <c r="J114" s="273"/>
      <c r="K114" s="273"/>
    </row>
    <row r="115" spans="1:12" ht="13.95" customHeight="1">
      <c r="E115" s="47"/>
      <c r="F115" s="47"/>
    </row>
    <row r="116" spans="1:12" ht="13.95" customHeight="1" thickBot="1">
      <c r="A116" s="11" t="s">
        <v>103</v>
      </c>
      <c r="E116" s="47"/>
      <c r="F116" s="47"/>
    </row>
    <row r="117" spans="1:12" ht="13.95" customHeight="1">
      <c r="A117" s="15" t="s">
        <v>302</v>
      </c>
      <c r="B117" s="20">
        <v>106200</v>
      </c>
      <c r="E117" s="47" t="s">
        <v>303</v>
      </c>
      <c r="F117" s="47"/>
    </row>
    <row r="118" spans="1:12" ht="13.95" customHeight="1">
      <c r="A118" s="16" t="s">
        <v>304</v>
      </c>
      <c r="B118" s="17">
        <v>130368</v>
      </c>
      <c r="C118" s="10" t="s">
        <v>305</v>
      </c>
      <c r="E118" s="47" t="s">
        <v>303</v>
      </c>
      <c r="F118" s="47"/>
    </row>
    <row r="119" spans="1:12" ht="13.95" customHeight="1" thickBot="1">
      <c r="A119" s="19" t="s">
        <v>306</v>
      </c>
      <c r="B119" s="64">
        <v>21000</v>
      </c>
      <c r="C119" s="10" t="s">
        <v>305</v>
      </c>
      <c r="E119" s="47" t="s">
        <v>307</v>
      </c>
      <c r="F119" s="47"/>
    </row>
    <row r="120" spans="1:12" ht="13.95" customHeight="1">
      <c r="E120" s="47"/>
      <c r="F120" s="47"/>
    </row>
    <row r="121" spans="1:12" ht="10.199999999999999"/>
    <row r="122" spans="1:12" ht="13.95" customHeight="1" thickBot="1">
      <c r="A122" s="11" t="s">
        <v>108</v>
      </c>
      <c r="E122" s="10" t="s">
        <v>308</v>
      </c>
    </row>
    <row r="123" spans="1:12" ht="13.95" customHeight="1">
      <c r="A123" s="15" t="s">
        <v>309</v>
      </c>
      <c r="B123" s="91" t="s">
        <v>310</v>
      </c>
      <c r="C123" s="55" t="s">
        <v>311</v>
      </c>
      <c r="D123" s="48"/>
      <c r="E123" s="47" t="s">
        <v>312</v>
      </c>
      <c r="F123" s="47"/>
    </row>
    <row r="124" spans="1:12" ht="13.95" customHeight="1">
      <c r="A124" s="16" t="s">
        <v>313</v>
      </c>
      <c r="B124" s="92" t="s">
        <v>310</v>
      </c>
      <c r="C124" s="56" t="s">
        <v>314</v>
      </c>
      <c r="D124" s="49"/>
      <c r="E124" s="47" t="s">
        <v>315</v>
      </c>
      <c r="F124" s="47"/>
    </row>
    <row r="125" spans="1:12" ht="13.95" customHeight="1">
      <c r="A125" s="16" t="s">
        <v>313</v>
      </c>
      <c r="B125" s="92" t="s">
        <v>316</v>
      </c>
      <c r="C125" s="56" t="s">
        <v>317</v>
      </c>
      <c r="D125" s="49"/>
      <c r="E125" s="47" t="s">
        <v>315</v>
      </c>
      <c r="F125" s="47"/>
    </row>
    <row r="126" spans="1:12" ht="13.95" customHeight="1">
      <c r="A126" s="16" t="s">
        <v>318</v>
      </c>
      <c r="B126" s="92" t="s">
        <v>319</v>
      </c>
      <c r="C126" s="57">
        <v>0</v>
      </c>
      <c r="D126" s="50"/>
      <c r="E126" s="47" t="s">
        <v>320</v>
      </c>
      <c r="F126" s="47"/>
    </row>
    <row r="127" spans="1:12" ht="13.95" customHeight="1">
      <c r="A127" s="16" t="s">
        <v>321</v>
      </c>
      <c r="B127" s="92" t="s">
        <v>322</v>
      </c>
      <c r="C127" s="57">
        <v>0</v>
      </c>
      <c r="D127" s="50"/>
      <c r="E127" s="47" t="s">
        <v>323</v>
      </c>
      <c r="F127" s="47"/>
    </row>
    <row r="128" spans="1:12" ht="13.95" customHeight="1">
      <c r="A128" s="16" t="s">
        <v>324</v>
      </c>
      <c r="B128" s="92" t="s">
        <v>316</v>
      </c>
      <c r="C128" s="57">
        <v>0</v>
      </c>
      <c r="D128" s="50"/>
      <c r="E128" s="47" t="s">
        <v>325</v>
      </c>
      <c r="F128" s="47"/>
    </row>
    <row r="129" spans="1:6" ht="13.95" customHeight="1">
      <c r="A129" s="16" t="s">
        <v>326</v>
      </c>
      <c r="B129" s="92" t="s">
        <v>316</v>
      </c>
      <c r="C129" s="57">
        <v>0</v>
      </c>
      <c r="D129" s="50"/>
      <c r="E129" s="47" t="s">
        <v>327</v>
      </c>
      <c r="F129" s="47"/>
    </row>
    <row r="130" spans="1:6" ht="13.95" customHeight="1">
      <c r="A130" s="16" t="s">
        <v>328</v>
      </c>
      <c r="B130" s="92" t="s">
        <v>310</v>
      </c>
      <c r="C130" s="56" t="s">
        <v>311</v>
      </c>
      <c r="D130" s="49"/>
      <c r="E130" s="47"/>
      <c r="F130" s="47"/>
    </row>
    <row r="131" spans="1:6" ht="13.95" customHeight="1">
      <c r="A131" s="16" t="s">
        <v>329</v>
      </c>
      <c r="B131" s="92" t="s">
        <v>322</v>
      </c>
      <c r="C131" s="57">
        <v>0</v>
      </c>
      <c r="D131" s="50"/>
      <c r="E131" s="47"/>
      <c r="F131" s="47"/>
    </row>
    <row r="132" spans="1:6" ht="13.95" customHeight="1">
      <c r="A132" s="16" t="s">
        <v>330</v>
      </c>
      <c r="B132" s="92" t="s">
        <v>316</v>
      </c>
      <c r="C132" s="57">
        <v>0</v>
      </c>
      <c r="D132" s="50"/>
      <c r="E132" s="47" t="s">
        <v>331</v>
      </c>
      <c r="F132" s="47"/>
    </row>
    <row r="133" spans="1:6" ht="13.95" customHeight="1">
      <c r="A133" s="16" t="s">
        <v>332</v>
      </c>
      <c r="B133" s="92" t="s">
        <v>310</v>
      </c>
      <c r="C133" s="58">
        <v>1400</v>
      </c>
      <c r="D133" s="51"/>
      <c r="E133" s="47" t="s">
        <v>333</v>
      </c>
      <c r="F133" s="47"/>
    </row>
    <row r="134" spans="1:6" ht="13.95" customHeight="1">
      <c r="A134" s="16" t="s">
        <v>332</v>
      </c>
      <c r="B134" s="92" t="s">
        <v>334</v>
      </c>
      <c r="C134" s="58">
        <v>5600</v>
      </c>
      <c r="D134" s="51"/>
      <c r="E134" s="47" t="s">
        <v>333</v>
      </c>
      <c r="F134" s="47"/>
    </row>
    <row r="135" spans="1:6" ht="13.95" customHeight="1">
      <c r="A135" s="16" t="s">
        <v>332</v>
      </c>
      <c r="B135" s="92" t="s">
        <v>316</v>
      </c>
      <c r="C135" s="58">
        <v>10000</v>
      </c>
      <c r="D135" s="51"/>
      <c r="E135" s="47" t="s">
        <v>333</v>
      </c>
      <c r="F135" s="47"/>
    </row>
    <row r="136" spans="1:6" ht="13.95" customHeight="1">
      <c r="A136" s="16" t="s">
        <v>335</v>
      </c>
      <c r="B136" s="92" t="s">
        <v>322</v>
      </c>
      <c r="C136" s="57">
        <v>0</v>
      </c>
      <c r="D136" s="50"/>
      <c r="E136" s="47" t="s">
        <v>336</v>
      </c>
      <c r="F136" s="47"/>
    </row>
    <row r="137" spans="1:6" ht="13.95" customHeight="1">
      <c r="A137" s="16" t="s">
        <v>337</v>
      </c>
      <c r="B137" s="92" t="s">
        <v>322</v>
      </c>
      <c r="C137" s="57">
        <v>0</v>
      </c>
      <c r="D137" s="50"/>
      <c r="E137" s="47" t="s">
        <v>338</v>
      </c>
      <c r="F137" s="47"/>
    </row>
    <row r="138" spans="1:6" ht="13.95" customHeight="1">
      <c r="A138" s="16" t="s">
        <v>339</v>
      </c>
      <c r="B138" s="92" t="s">
        <v>322</v>
      </c>
      <c r="C138" s="57">
        <v>0</v>
      </c>
      <c r="D138" s="50"/>
      <c r="E138" s="47" t="s">
        <v>340</v>
      </c>
      <c r="F138" s="47"/>
    </row>
    <row r="139" spans="1:6" ht="13.95" customHeight="1">
      <c r="A139" s="16" t="s">
        <v>341</v>
      </c>
      <c r="B139" s="92" t="s">
        <v>310</v>
      </c>
      <c r="C139" s="57">
        <v>0</v>
      </c>
      <c r="D139" s="50"/>
      <c r="E139" s="47" t="s">
        <v>342</v>
      </c>
      <c r="F139" s="47"/>
    </row>
    <row r="140" spans="1:6" ht="13.95" customHeight="1">
      <c r="A140" s="16" t="s">
        <v>343</v>
      </c>
      <c r="B140" s="92" t="s">
        <v>316</v>
      </c>
      <c r="C140" s="57">
        <v>0</v>
      </c>
      <c r="D140" s="50"/>
      <c r="E140" s="47" t="s">
        <v>344</v>
      </c>
      <c r="F140" s="47"/>
    </row>
    <row r="141" spans="1:6" ht="13.95" customHeight="1">
      <c r="A141" s="16" t="s">
        <v>345</v>
      </c>
      <c r="B141" s="92" t="s">
        <v>322</v>
      </c>
      <c r="C141" s="57">
        <v>0</v>
      </c>
      <c r="D141" s="50"/>
      <c r="E141" s="47" t="s">
        <v>346</v>
      </c>
      <c r="F141" s="47"/>
    </row>
    <row r="142" spans="1:6" ht="13.95" customHeight="1">
      <c r="A142" s="16" t="s">
        <v>347</v>
      </c>
      <c r="B142" s="92" t="s">
        <v>322</v>
      </c>
      <c r="C142" s="57">
        <v>0</v>
      </c>
      <c r="D142" s="50"/>
      <c r="E142" s="47"/>
      <c r="F142" s="47"/>
    </row>
    <row r="143" spans="1:6" ht="13.95" customHeight="1">
      <c r="A143" s="16" t="s">
        <v>348</v>
      </c>
      <c r="B143" s="92" t="s">
        <v>310</v>
      </c>
      <c r="C143" s="59">
        <v>6900</v>
      </c>
      <c r="D143" s="52"/>
      <c r="E143" s="47" t="s">
        <v>349</v>
      </c>
      <c r="F143" s="47"/>
    </row>
    <row r="144" spans="1:6" ht="13.95" customHeight="1">
      <c r="A144" s="16" t="s">
        <v>348</v>
      </c>
      <c r="B144" s="92" t="s">
        <v>316</v>
      </c>
      <c r="C144" s="60">
        <v>40250</v>
      </c>
      <c r="D144" s="53"/>
      <c r="E144" s="47"/>
      <c r="F144" s="47"/>
    </row>
    <row r="145" spans="1:6" ht="13.95" customHeight="1">
      <c r="A145" s="16" t="s">
        <v>350</v>
      </c>
      <c r="B145" s="92" t="s">
        <v>310</v>
      </c>
      <c r="C145" s="59">
        <v>2875</v>
      </c>
      <c r="D145" s="52"/>
      <c r="E145" s="47"/>
      <c r="F145" s="47"/>
    </row>
    <row r="146" spans="1:6" ht="13.95" customHeight="1">
      <c r="A146" s="16" t="s">
        <v>350</v>
      </c>
      <c r="B146" s="92" t="s">
        <v>316</v>
      </c>
      <c r="C146" s="60">
        <v>11500</v>
      </c>
      <c r="D146" s="53"/>
      <c r="E146" s="47"/>
      <c r="F146" s="47"/>
    </row>
    <row r="147" spans="1:6" ht="13.95" customHeight="1">
      <c r="A147" s="16" t="s">
        <v>351</v>
      </c>
      <c r="B147" s="92" t="s">
        <v>322</v>
      </c>
      <c r="C147" s="57">
        <v>0</v>
      </c>
      <c r="D147" s="50"/>
      <c r="E147" s="47" t="s">
        <v>352</v>
      </c>
      <c r="F147" s="47"/>
    </row>
    <row r="148" spans="1:6" ht="13.95" customHeight="1">
      <c r="A148" s="16" t="s">
        <v>353</v>
      </c>
      <c r="B148" s="92" t="s">
        <v>310</v>
      </c>
      <c r="C148" s="59">
        <v>4025</v>
      </c>
      <c r="D148" s="52"/>
      <c r="E148" s="47"/>
      <c r="F148" s="47"/>
    </row>
    <row r="149" spans="1:6" ht="13.95" customHeight="1">
      <c r="A149" s="16" t="s">
        <v>353</v>
      </c>
      <c r="B149" s="92" t="s">
        <v>316</v>
      </c>
      <c r="C149" s="60">
        <v>11500</v>
      </c>
      <c r="D149" s="53"/>
      <c r="E149" s="47"/>
      <c r="F149" s="47"/>
    </row>
    <row r="150" spans="1:6" ht="13.95" customHeight="1">
      <c r="A150" s="16" t="s">
        <v>354</v>
      </c>
      <c r="B150" s="92" t="s">
        <v>310</v>
      </c>
      <c r="C150" s="58">
        <v>9000</v>
      </c>
      <c r="D150" s="51"/>
      <c r="E150" s="47"/>
      <c r="F150" s="47"/>
    </row>
    <row r="151" spans="1:6" ht="13.95" customHeight="1">
      <c r="A151" s="16" t="s">
        <v>355</v>
      </c>
      <c r="B151" s="92" t="s">
        <v>322</v>
      </c>
      <c r="C151" s="57">
        <v>0</v>
      </c>
      <c r="D151" s="50"/>
      <c r="E151" s="47"/>
      <c r="F151" s="47"/>
    </row>
    <row r="152" spans="1:6" ht="13.95" customHeight="1">
      <c r="A152" s="16" t="s">
        <v>356</v>
      </c>
      <c r="B152" s="92" t="s">
        <v>322</v>
      </c>
      <c r="C152" s="57">
        <v>0</v>
      </c>
      <c r="D152" s="50"/>
      <c r="E152" s="47"/>
      <c r="F152" s="47"/>
    </row>
    <row r="153" spans="1:6" ht="13.95" customHeight="1">
      <c r="A153" s="16" t="s">
        <v>357</v>
      </c>
      <c r="B153" s="92" t="s">
        <v>316</v>
      </c>
      <c r="C153" s="57">
        <v>0</v>
      </c>
      <c r="D153" s="50"/>
      <c r="E153" s="47" t="s">
        <v>358</v>
      </c>
      <c r="F153" s="47"/>
    </row>
    <row r="154" spans="1:6" ht="13.95" customHeight="1">
      <c r="A154" s="16" t="s">
        <v>357</v>
      </c>
      <c r="B154" s="92" t="s">
        <v>310</v>
      </c>
      <c r="C154" s="57">
        <v>0</v>
      </c>
      <c r="D154" s="50"/>
      <c r="E154" s="47"/>
      <c r="F154" s="47"/>
    </row>
    <row r="155" spans="1:6" ht="13.95" customHeight="1">
      <c r="A155" s="16" t="s">
        <v>359</v>
      </c>
      <c r="B155" s="92" t="s">
        <v>316</v>
      </c>
      <c r="C155" s="58">
        <v>2000</v>
      </c>
      <c r="D155" s="51"/>
      <c r="E155" s="47" t="s">
        <v>360</v>
      </c>
      <c r="F155" s="47"/>
    </row>
    <row r="156" spans="1:6" ht="13.95" customHeight="1">
      <c r="A156" s="16" t="s">
        <v>361</v>
      </c>
      <c r="B156" s="92" t="s">
        <v>310</v>
      </c>
      <c r="C156" s="58">
        <v>500</v>
      </c>
      <c r="D156" s="51"/>
      <c r="E156" s="47"/>
      <c r="F156" s="47"/>
    </row>
    <row r="157" spans="1:6" ht="13.95" customHeight="1">
      <c r="A157" s="16" t="s">
        <v>362</v>
      </c>
      <c r="B157" s="92" t="s">
        <v>322</v>
      </c>
      <c r="C157" s="57">
        <v>0</v>
      </c>
      <c r="D157" s="50"/>
      <c r="E157" s="47" t="s">
        <v>363</v>
      </c>
      <c r="F157" s="47"/>
    </row>
    <row r="158" spans="1:6" ht="13.95" customHeight="1">
      <c r="A158" s="16" t="s">
        <v>364</v>
      </c>
      <c r="B158" s="92" t="s">
        <v>316</v>
      </c>
      <c r="C158" s="57">
        <v>0</v>
      </c>
      <c r="D158" s="50"/>
      <c r="E158" s="47" t="s">
        <v>365</v>
      </c>
      <c r="F158" s="47"/>
    </row>
    <row r="159" spans="1:6" ht="13.95" customHeight="1">
      <c r="A159" s="16" t="s">
        <v>366</v>
      </c>
      <c r="B159" s="92" t="s">
        <v>310</v>
      </c>
      <c r="C159" s="58">
        <v>11400</v>
      </c>
      <c r="D159" s="51"/>
      <c r="E159" s="47" t="s">
        <v>367</v>
      </c>
      <c r="F159" s="47"/>
    </row>
    <row r="160" spans="1:6" ht="13.95" customHeight="1">
      <c r="A160" s="16" t="s">
        <v>368</v>
      </c>
      <c r="B160" s="92" t="s">
        <v>322</v>
      </c>
      <c r="C160" s="57">
        <v>0</v>
      </c>
      <c r="D160" s="50"/>
      <c r="E160" s="47"/>
      <c r="F160" s="47"/>
    </row>
    <row r="161" spans="1:6" ht="13.95" customHeight="1">
      <c r="A161" s="16" t="s">
        <v>369</v>
      </c>
      <c r="B161" s="92" t="s">
        <v>334</v>
      </c>
      <c r="C161" s="57">
        <v>0</v>
      </c>
      <c r="D161" s="50"/>
      <c r="E161" s="47" t="s">
        <v>370</v>
      </c>
      <c r="F161" s="47"/>
    </row>
    <row r="162" spans="1:6" ht="13.95" customHeight="1">
      <c r="A162" s="16" t="s">
        <v>371</v>
      </c>
      <c r="B162" s="92" t="s">
        <v>322</v>
      </c>
      <c r="C162" s="57">
        <v>0</v>
      </c>
      <c r="D162" s="50"/>
      <c r="E162" s="47"/>
      <c r="F162" s="47"/>
    </row>
    <row r="163" spans="1:6" ht="13.95" customHeight="1">
      <c r="A163" s="16" t="s">
        <v>372</v>
      </c>
      <c r="B163" s="92" t="s">
        <v>322</v>
      </c>
      <c r="C163" s="57">
        <v>0</v>
      </c>
      <c r="D163" s="50"/>
      <c r="E163" s="47" t="s">
        <v>373</v>
      </c>
      <c r="F163" s="47"/>
    </row>
    <row r="164" spans="1:6" ht="13.95" customHeight="1">
      <c r="A164" s="16" t="s">
        <v>374</v>
      </c>
      <c r="B164" s="92" t="s">
        <v>310</v>
      </c>
      <c r="C164" s="57">
        <v>0</v>
      </c>
      <c r="D164" s="50"/>
      <c r="E164" s="47"/>
      <c r="F164" s="47"/>
    </row>
    <row r="165" spans="1:6" ht="13.95" customHeight="1">
      <c r="A165" s="16" t="s">
        <v>375</v>
      </c>
      <c r="B165" s="92" t="s">
        <v>322</v>
      </c>
      <c r="C165" s="57">
        <v>0</v>
      </c>
      <c r="D165" s="50"/>
      <c r="E165" s="47" t="s">
        <v>376</v>
      </c>
      <c r="F165" s="47"/>
    </row>
    <row r="166" spans="1:6" ht="13.95" customHeight="1">
      <c r="A166" s="16" t="s">
        <v>377</v>
      </c>
      <c r="B166" s="92" t="s">
        <v>322</v>
      </c>
      <c r="C166" s="57">
        <v>0</v>
      </c>
      <c r="D166" s="50"/>
      <c r="E166" s="47" t="s">
        <v>378</v>
      </c>
      <c r="F166" s="47"/>
    </row>
    <row r="167" spans="1:6" ht="13.95" customHeight="1">
      <c r="A167" s="16" t="s">
        <v>379</v>
      </c>
      <c r="B167" s="92" t="s">
        <v>322</v>
      </c>
      <c r="C167" s="57">
        <v>0</v>
      </c>
      <c r="D167" s="50"/>
      <c r="E167" s="47" t="s">
        <v>380</v>
      </c>
      <c r="F167" s="47"/>
    </row>
    <row r="168" spans="1:6" ht="13.95" customHeight="1">
      <c r="A168" s="16" t="s">
        <v>381</v>
      </c>
      <c r="B168" s="92" t="s">
        <v>322</v>
      </c>
      <c r="C168" s="57">
        <v>0</v>
      </c>
      <c r="D168" s="50"/>
      <c r="E168" s="47" t="s">
        <v>382</v>
      </c>
      <c r="F168" s="47"/>
    </row>
    <row r="169" spans="1:6" ht="13.95" customHeight="1">
      <c r="A169" s="16" t="s">
        <v>383</v>
      </c>
      <c r="B169" s="92" t="s">
        <v>322</v>
      </c>
      <c r="C169" s="57">
        <v>0</v>
      </c>
      <c r="D169" s="50"/>
      <c r="E169" s="47" t="s">
        <v>384</v>
      </c>
      <c r="F169" s="47"/>
    </row>
    <row r="170" spans="1:6" ht="13.95" customHeight="1">
      <c r="A170" s="16" t="s">
        <v>385</v>
      </c>
      <c r="B170" s="92" t="s">
        <v>322</v>
      </c>
      <c r="C170" s="57">
        <v>0</v>
      </c>
      <c r="D170" s="50"/>
      <c r="E170" s="47"/>
      <c r="F170" s="47"/>
    </row>
    <row r="171" spans="1:6" ht="13.95" customHeight="1">
      <c r="A171" s="16" t="s">
        <v>386</v>
      </c>
      <c r="B171" s="92" t="s">
        <v>322</v>
      </c>
      <c r="C171" s="57">
        <v>0</v>
      </c>
      <c r="D171" s="50"/>
      <c r="E171" s="47" t="s">
        <v>387</v>
      </c>
      <c r="F171" s="47"/>
    </row>
    <row r="172" spans="1:6" ht="13.95" customHeight="1">
      <c r="A172" s="16" t="s">
        <v>388</v>
      </c>
      <c r="B172" s="92" t="s">
        <v>322</v>
      </c>
      <c r="C172" s="57">
        <v>0</v>
      </c>
      <c r="D172" s="50"/>
      <c r="E172" s="47" t="s">
        <v>389</v>
      </c>
      <c r="F172" s="47"/>
    </row>
    <row r="173" spans="1:6" ht="13.95" customHeight="1">
      <c r="A173" s="16" t="s">
        <v>390</v>
      </c>
      <c r="B173" s="92" t="s">
        <v>322</v>
      </c>
      <c r="C173" s="57">
        <v>0</v>
      </c>
      <c r="D173" s="50"/>
      <c r="E173" s="47" t="s">
        <v>391</v>
      </c>
      <c r="F173" s="47"/>
    </row>
    <row r="174" spans="1:6" ht="13.95" customHeight="1">
      <c r="A174" s="16" t="s">
        <v>392</v>
      </c>
      <c r="B174" s="92" t="s">
        <v>316</v>
      </c>
      <c r="C174" s="56" t="s">
        <v>393</v>
      </c>
      <c r="D174" s="49"/>
      <c r="E174" s="47" t="s">
        <v>394</v>
      </c>
      <c r="F174" s="47"/>
    </row>
    <row r="175" spans="1:6" ht="13.95" customHeight="1">
      <c r="A175" s="16" t="s">
        <v>395</v>
      </c>
      <c r="B175" s="92" t="s">
        <v>322</v>
      </c>
      <c r="C175" s="57">
        <v>0</v>
      </c>
      <c r="D175" s="50"/>
      <c r="E175" s="47" t="s">
        <v>396</v>
      </c>
      <c r="F175" s="47"/>
    </row>
    <row r="176" spans="1:6" ht="13.95" customHeight="1">
      <c r="A176" s="16" t="s">
        <v>397</v>
      </c>
      <c r="B176" s="92" t="s">
        <v>310</v>
      </c>
      <c r="C176" s="57">
        <v>0</v>
      </c>
      <c r="D176" s="50"/>
      <c r="E176" s="47" t="s">
        <v>398</v>
      </c>
      <c r="F176" s="47"/>
    </row>
    <row r="177" spans="1:8" ht="13.95" customHeight="1">
      <c r="A177" s="16" t="s">
        <v>399</v>
      </c>
      <c r="B177" s="92" t="s">
        <v>322</v>
      </c>
      <c r="C177" s="57">
        <v>0</v>
      </c>
      <c r="D177" s="50"/>
      <c r="E177" s="47" t="s">
        <v>400</v>
      </c>
      <c r="F177" s="47"/>
    </row>
    <row r="178" spans="1:8" ht="13.95" customHeight="1">
      <c r="A178" s="16" t="s">
        <v>401</v>
      </c>
      <c r="B178" s="92" t="s">
        <v>322</v>
      </c>
      <c r="C178" s="57">
        <v>0</v>
      </c>
      <c r="D178" s="50"/>
      <c r="E178" s="47" t="s">
        <v>402</v>
      </c>
      <c r="F178" s="47"/>
    </row>
    <row r="179" spans="1:8" ht="13.95" customHeight="1">
      <c r="A179" s="16" t="s">
        <v>403</v>
      </c>
      <c r="B179" s="92" t="s">
        <v>316</v>
      </c>
      <c r="C179" s="57">
        <v>0</v>
      </c>
      <c r="D179" s="50"/>
      <c r="E179" s="47" t="s">
        <v>404</v>
      </c>
      <c r="F179" s="47"/>
    </row>
    <row r="180" spans="1:8" ht="13.95" customHeight="1">
      <c r="A180" s="16" t="s">
        <v>403</v>
      </c>
      <c r="B180" s="92" t="s">
        <v>310</v>
      </c>
      <c r="C180" s="57">
        <v>0</v>
      </c>
      <c r="D180" s="50"/>
      <c r="E180" s="47"/>
      <c r="F180" s="47"/>
    </row>
    <row r="181" spans="1:8" ht="13.95" customHeight="1">
      <c r="A181" s="16" t="s">
        <v>405</v>
      </c>
      <c r="B181" s="92" t="s">
        <v>310</v>
      </c>
      <c r="C181" s="57">
        <v>0</v>
      </c>
      <c r="D181" s="50"/>
      <c r="E181" s="47" t="s">
        <v>406</v>
      </c>
      <c r="F181" s="47"/>
    </row>
    <row r="182" spans="1:8" ht="13.95" customHeight="1">
      <c r="A182" s="16" t="s">
        <v>407</v>
      </c>
      <c r="B182" s="92" t="s">
        <v>322</v>
      </c>
      <c r="C182" s="57">
        <v>0</v>
      </c>
      <c r="D182" s="50"/>
      <c r="E182" s="47" t="s">
        <v>408</v>
      </c>
      <c r="F182" s="47"/>
    </row>
    <row r="183" spans="1:8" ht="13.95" customHeight="1">
      <c r="A183" s="16" t="s">
        <v>409</v>
      </c>
      <c r="B183" s="92" t="s">
        <v>410</v>
      </c>
      <c r="C183" s="57">
        <v>0</v>
      </c>
      <c r="D183" s="50"/>
      <c r="E183" s="47" t="s">
        <v>411</v>
      </c>
      <c r="F183" s="47"/>
    </row>
    <row r="184" spans="1:8" ht="13.95" customHeight="1">
      <c r="A184" s="16" t="s">
        <v>412</v>
      </c>
      <c r="B184" s="92" t="s">
        <v>322</v>
      </c>
      <c r="C184" s="57">
        <v>0</v>
      </c>
      <c r="D184" s="50"/>
      <c r="E184" s="47"/>
      <c r="F184" s="47"/>
    </row>
    <row r="185" spans="1:8" ht="13.95" customHeight="1">
      <c r="A185" s="16" t="s">
        <v>413</v>
      </c>
      <c r="B185" s="92" t="s">
        <v>322</v>
      </c>
      <c r="C185" s="57">
        <v>0</v>
      </c>
      <c r="D185" s="50"/>
      <c r="E185" s="47"/>
      <c r="F185" s="47"/>
    </row>
    <row r="186" spans="1:8" ht="13.95" customHeight="1">
      <c r="A186" s="16" t="s">
        <v>414</v>
      </c>
      <c r="B186" s="92" t="s">
        <v>322</v>
      </c>
      <c r="C186" s="57">
        <v>0</v>
      </c>
      <c r="D186" s="50"/>
      <c r="E186" s="47"/>
      <c r="F186" s="47"/>
    </row>
    <row r="187" spans="1:8" ht="13.95" customHeight="1">
      <c r="A187" s="16" t="s">
        <v>415</v>
      </c>
      <c r="B187" s="92" t="s">
        <v>322</v>
      </c>
      <c r="C187" s="57">
        <v>0</v>
      </c>
      <c r="D187" s="50"/>
      <c r="E187" s="47"/>
      <c r="F187" s="47"/>
    </row>
    <row r="188" spans="1:8" ht="13.95" customHeight="1" thickBot="1">
      <c r="A188" s="21" t="s">
        <v>416</v>
      </c>
      <c r="B188" s="93"/>
      <c r="C188" s="61">
        <f>SUM(C123:C125,C130,C143:C146,C148:C149,C174)*B189+SUM(C126:C129,C131:C142,C147,C150:C173,C175:C187)</f>
        <v>114638.5</v>
      </c>
      <c r="D188" s="54"/>
      <c r="E188" s="63"/>
      <c r="F188" s="63"/>
      <c r="H188" s="11"/>
    </row>
    <row r="189" spans="1:8" ht="13.95" customHeight="1">
      <c r="A189" s="10" t="s">
        <v>417</v>
      </c>
      <c r="B189" s="14">
        <v>0.97</v>
      </c>
      <c r="E189" s="47"/>
      <c r="F189" s="47"/>
    </row>
    <row r="190" spans="1:8" ht="13.95" customHeight="1">
      <c r="A190" s="10" t="s">
        <v>418</v>
      </c>
      <c r="B190" s="14">
        <v>0.1</v>
      </c>
      <c r="E190" s="47"/>
      <c r="F190" s="47"/>
    </row>
  </sheetData>
  <mergeCells count="2">
    <mergeCell ref="B114:E114"/>
    <mergeCell ref="F114:K114"/>
  </mergeCells>
  <phoneticPr fontId="26" type="noConversion"/>
  <conditionalFormatting sqref="E36:G36">
    <cfRule type="cellIs" dxfId="9" priority="1" operator="equal">
      <formula>"???"</formula>
    </cfRule>
    <cfRule type="cellIs" dxfId="8" priority="2" operator="equal">
      <formula>"OK"</formula>
    </cfRule>
  </conditionalFormatting>
  <hyperlinks>
    <hyperlink ref="E143" r:id="rId1" xr:uid="{00000000-0004-0000-0100-000000000000}"/>
    <hyperlink ref="E176" r:id="rId2" xr:uid="{00000000-0004-0000-0100-000001000000}"/>
    <hyperlink ref="E22" r:id="rId3" xr:uid="{88D76255-095B-44F5-99F2-098B80BA7649}"/>
    <hyperlink ref="E21" r:id="rId4" xr:uid="{40CF8F04-02D2-4EAA-BA77-2B3703453822}"/>
    <hyperlink ref="E20" r:id="rId5" xr:uid="{6DD17801-0314-49FF-B77A-343023F6C03E}"/>
    <hyperlink ref="E78" r:id="rId6" xr:uid="{FB7F4A74-8DEE-4816-9391-2BC379A7FCDD}"/>
    <hyperlink ref="E28" r:id="rId7" xr:uid="{3C2C580C-8256-4A7B-A989-11602D42E7D3}"/>
    <hyperlink ref="F28" r:id="rId8" xr:uid="{BFCE2109-B79D-4930-BA98-0CD9E44DFFCD}"/>
  </hyperlinks>
  <pageMargins left="0.7" right="0.7" top="0.75" bottom="0.75" header="0.3" footer="0.3"/>
  <pageSetup paperSize="8" scale="76" fitToHeight="0" orientation="landscape" horizontalDpi="1200" verticalDpi="1200" r:id="rId9"/>
  <headerFooter>
    <oddFooter>&amp;C&amp;7&amp;B&amp;"Arial"Document Classification: KPMG Confidential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58065-7910-448A-AFF5-D518A8B2FB4B}">
  <dimension ref="A1:E3"/>
  <sheetViews>
    <sheetView workbookViewId="0"/>
  </sheetViews>
  <sheetFormatPr defaultRowHeight="14.4"/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>
        <v>1</v>
      </c>
      <c r="B2">
        <v>1</v>
      </c>
      <c r="C2">
        <v>11</v>
      </c>
      <c r="D2">
        <v>5</v>
      </c>
      <c r="E2" t="s">
        <v>419</v>
      </c>
    </row>
    <row r="3" spans="1:5">
      <c r="A3">
        <v>1</v>
      </c>
      <c r="B3">
        <v>7</v>
      </c>
      <c r="C3">
        <v>3</v>
      </c>
      <c r="D3">
        <v>21</v>
      </c>
      <c r="E3" t="s">
        <v>420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7F0FD-E674-478B-A7ED-4CDB805DAA98}">
  <dimension ref="A1:E2"/>
  <sheetViews>
    <sheetView workbookViewId="0"/>
  </sheetViews>
  <sheetFormatPr defaultRowHeight="14.4"/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>
        <v>1</v>
      </c>
      <c r="B2">
        <v>8</v>
      </c>
      <c r="C2">
        <v>7</v>
      </c>
      <c r="D2">
        <v>13</v>
      </c>
      <c r="E2" t="s">
        <v>421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55C73-06F5-49A6-93A3-E4E31586B6EA}">
  <sheetPr>
    <pageSetUpPr fitToPage="1"/>
  </sheetPr>
  <dimension ref="A1:L29"/>
  <sheetViews>
    <sheetView workbookViewId="0">
      <selection activeCell="A4" sqref="A4:XFD5"/>
    </sheetView>
  </sheetViews>
  <sheetFormatPr defaultColWidth="8.88671875" defaultRowHeight="13.95" customHeight="1"/>
  <cols>
    <col min="1" max="1" width="38.88671875" style="10" bestFit="1" customWidth="1"/>
    <col min="2" max="11" width="10.6640625" style="10" customWidth="1"/>
    <col min="12" max="16384" width="8.88671875" style="10"/>
  </cols>
  <sheetData>
    <row r="1" spans="1:12" ht="19.5" customHeight="1">
      <c r="A1" s="209" t="s">
        <v>422</v>
      </c>
      <c r="B1" s="2"/>
      <c r="C1" s="2"/>
      <c r="D1" s="2"/>
      <c r="E1" s="2"/>
      <c r="F1" s="2"/>
      <c r="G1" s="2"/>
      <c r="H1" s="2"/>
      <c r="I1" s="2"/>
      <c r="J1" s="2"/>
      <c r="K1" s="207"/>
    </row>
    <row r="2" spans="1:12" ht="20.399999999999999">
      <c r="A2" s="27" t="s">
        <v>423</v>
      </c>
      <c r="B2" s="45" t="s">
        <v>424</v>
      </c>
      <c r="C2" s="45" t="s">
        <v>425</v>
      </c>
      <c r="D2" s="45" t="s">
        <v>426</v>
      </c>
      <c r="E2" s="45" t="s">
        <v>427</v>
      </c>
      <c r="F2" s="45" t="s">
        <v>428</v>
      </c>
      <c r="G2" s="45" t="s">
        <v>429</v>
      </c>
      <c r="H2" s="45" t="s">
        <v>430</v>
      </c>
      <c r="I2" s="45" t="s">
        <v>431</v>
      </c>
      <c r="J2" s="45" t="s">
        <v>432</v>
      </c>
      <c r="K2" s="46" t="s">
        <v>433</v>
      </c>
    </row>
    <row r="3" spans="1:12" ht="12" customHeight="1">
      <c r="A3" s="5" t="s">
        <v>434</v>
      </c>
      <c r="B3" s="292">
        <v>0</v>
      </c>
      <c r="C3" s="292">
        <v>0</v>
      </c>
      <c r="D3" s="292">
        <v>0</v>
      </c>
      <c r="E3" s="292">
        <v>0</v>
      </c>
      <c r="F3" s="292">
        <v>0.03</v>
      </c>
      <c r="G3" s="292">
        <v>0.03</v>
      </c>
      <c r="H3" s="292">
        <v>0.03</v>
      </c>
      <c r="I3" s="292">
        <v>0.03</v>
      </c>
      <c r="J3" s="292">
        <v>0.03</v>
      </c>
      <c r="K3" s="293">
        <v>0.03</v>
      </c>
      <c r="L3" s="47" t="s">
        <v>435</v>
      </c>
    </row>
    <row r="4" spans="1:12" ht="12" hidden="1" customHeight="1">
      <c r="A4" s="5" t="s">
        <v>436</v>
      </c>
      <c r="B4" s="214">
        <v>0</v>
      </c>
      <c r="C4" s="214">
        <v>0</v>
      </c>
      <c r="D4" s="214">
        <v>0</v>
      </c>
      <c r="E4" s="292">
        <v>0</v>
      </c>
      <c r="F4" s="292">
        <v>0.03</v>
      </c>
      <c r="G4" s="292">
        <v>0.03</v>
      </c>
      <c r="H4" s="292">
        <v>0.03</v>
      </c>
      <c r="I4" s="292">
        <v>0.03</v>
      </c>
      <c r="J4" s="292">
        <v>0.03</v>
      </c>
      <c r="K4" s="293">
        <v>0.03</v>
      </c>
      <c r="L4" s="47" t="s">
        <v>437</v>
      </c>
    </row>
    <row r="5" spans="1:12" ht="12" hidden="1" customHeight="1">
      <c r="A5" s="210" t="s">
        <v>438</v>
      </c>
      <c r="B5" s="215">
        <v>0</v>
      </c>
      <c r="C5" s="215">
        <v>0</v>
      </c>
      <c r="D5" s="215">
        <v>0</v>
      </c>
      <c r="E5" s="215">
        <v>0.02</v>
      </c>
      <c r="F5" s="215">
        <v>0.04</v>
      </c>
      <c r="G5" s="215">
        <v>0.06</v>
      </c>
      <c r="H5" s="215">
        <v>0.08</v>
      </c>
      <c r="I5" s="215">
        <v>0.12</v>
      </c>
      <c r="J5" s="215">
        <v>0.16</v>
      </c>
      <c r="K5" s="216">
        <v>0.2</v>
      </c>
      <c r="L5" s="47" t="s">
        <v>437</v>
      </c>
    </row>
    <row r="6" spans="1:12" ht="12" customHeight="1">
      <c r="L6" s="47"/>
    </row>
    <row r="8" spans="1:12" s="23" customFormat="1" ht="19.5" customHeight="1">
      <c r="A8" s="217" t="s">
        <v>439</v>
      </c>
      <c r="B8" s="274" t="s">
        <v>440</v>
      </c>
      <c r="C8" s="274"/>
      <c r="D8" s="274"/>
      <c r="E8" s="274" t="s">
        <v>441</v>
      </c>
      <c r="F8" s="274"/>
      <c r="G8" s="275"/>
      <c r="H8" s="11"/>
      <c r="I8" s="11"/>
      <c r="J8" s="11"/>
      <c r="K8" s="11"/>
      <c r="L8" s="11"/>
    </row>
    <row r="9" spans="1:12" s="23" customFormat="1" ht="14.4">
      <c r="A9" s="218" t="s">
        <v>9</v>
      </c>
      <c r="B9" s="219" t="s">
        <v>442</v>
      </c>
      <c r="C9" s="220" t="s">
        <v>443</v>
      </c>
      <c r="D9" s="221" t="s">
        <v>444</v>
      </c>
      <c r="E9" s="219" t="s">
        <v>442</v>
      </c>
      <c r="F9" s="220" t="s">
        <v>443</v>
      </c>
      <c r="G9" s="222" t="s">
        <v>444</v>
      </c>
      <c r="H9" s="11"/>
      <c r="I9" s="11"/>
      <c r="J9" s="11"/>
      <c r="K9" s="11"/>
      <c r="L9" s="11"/>
    </row>
    <row r="10" spans="1:12" customFormat="1" ht="12" customHeight="1">
      <c r="A10" s="288" t="s">
        <v>445</v>
      </c>
      <c r="B10" s="289">
        <v>0</v>
      </c>
      <c r="C10" s="290">
        <v>0</v>
      </c>
      <c r="D10" s="291">
        <v>0</v>
      </c>
      <c r="E10" s="289">
        <v>150</v>
      </c>
      <c r="F10" s="290">
        <v>50</v>
      </c>
      <c r="G10" s="291">
        <v>150</v>
      </c>
      <c r="H10" s="14"/>
      <c r="I10" s="10"/>
      <c r="J10" s="14"/>
      <c r="K10" s="14"/>
    </row>
    <row r="11" spans="1:12" customFormat="1" ht="12" hidden="1" customHeight="1">
      <c r="A11" s="223" t="s">
        <v>446</v>
      </c>
      <c r="B11" s="224">
        <v>0</v>
      </c>
      <c r="C11" s="225">
        <v>0</v>
      </c>
      <c r="D11" s="226">
        <v>28</v>
      </c>
      <c r="E11" s="224">
        <v>0</v>
      </c>
      <c r="F11" s="225">
        <v>0</v>
      </c>
      <c r="G11" s="226">
        <v>228</v>
      </c>
      <c r="H11" s="14"/>
      <c r="I11" s="14"/>
      <c r="J11" s="14"/>
      <c r="K11" s="14"/>
    </row>
    <row r="12" spans="1:12" customFormat="1" ht="12" hidden="1" customHeight="1">
      <c r="A12" s="223" t="s">
        <v>447</v>
      </c>
      <c r="B12" s="224">
        <v>0</v>
      </c>
      <c r="C12" s="225">
        <v>0</v>
      </c>
      <c r="D12" s="226">
        <v>40</v>
      </c>
      <c r="E12" s="224">
        <v>1000</v>
      </c>
      <c r="F12" s="225">
        <v>250</v>
      </c>
      <c r="G12" s="226">
        <v>390</v>
      </c>
      <c r="H12" s="14"/>
      <c r="I12" s="14"/>
      <c r="J12" s="14"/>
      <c r="K12" s="14"/>
    </row>
    <row r="13" spans="1:12" customFormat="1" ht="12" hidden="1" customHeight="1">
      <c r="A13" s="227" t="s">
        <v>448</v>
      </c>
      <c r="B13" s="228">
        <v>0</v>
      </c>
      <c r="C13" s="229">
        <v>0</v>
      </c>
      <c r="D13" s="230">
        <v>28</v>
      </c>
      <c r="E13" s="228">
        <v>0</v>
      </c>
      <c r="F13" s="229">
        <v>0</v>
      </c>
      <c r="G13" s="230">
        <v>828</v>
      </c>
      <c r="H13" s="14"/>
      <c r="I13" s="14"/>
      <c r="J13" s="14"/>
      <c r="K13" s="14"/>
    </row>
    <row r="14" spans="1:12" ht="13.95" customHeight="1">
      <c r="B14" s="142"/>
    </row>
    <row r="16" spans="1:12" ht="13.95" customHeight="1">
      <c r="A16" s="217" t="s">
        <v>449</v>
      </c>
      <c r="B16" s="207"/>
    </row>
    <row r="17" spans="1:6" ht="13.95" customHeight="1">
      <c r="A17" s="231" t="s">
        <v>450</v>
      </c>
      <c r="B17" s="232">
        <f>0.1*1.2</f>
        <v>0.12</v>
      </c>
      <c r="C17" s="10" t="s">
        <v>250</v>
      </c>
    </row>
    <row r="18" spans="1:6" ht="13.95" customHeight="1">
      <c r="A18" s="233" t="s">
        <v>451</v>
      </c>
      <c r="B18" s="321">
        <f>6*1.2</f>
        <v>7.1999999999999993</v>
      </c>
      <c r="C18" s="10" t="s">
        <v>452</v>
      </c>
      <c r="F18" s="47" t="s">
        <v>453</v>
      </c>
    </row>
    <row r="19" spans="1:6" ht="13.95" customHeight="1">
      <c r="A19" s="233" t="s">
        <v>454</v>
      </c>
      <c r="B19" s="321">
        <f>7*1.2</f>
        <v>8.4</v>
      </c>
      <c r="C19" s="10" t="s">
        <v>452</v>
      </c>
      <c r="F19" s="47" t="s">
        <v>453</v>
      </c>
    </row>
    <row r="20" spans="1:6" ht="13.95" customHeight="1">
      <c r="A20" s="233" t="s">
        <v>455</v>
      </c>
      <c r="B20" s="321">
        <f>19*1.2</f>
        <v>22.8</v>
      </c>
      <c r="C20" s="10" t="s">
        <v>452</v>
      </c>
      <c r="F20" s="47" t="s">
        <v>453</v>
      </c>
    </row>
    <row r="21" spans="1:6" ht="13.95" customHeight="1">
      <c r="A21" s="233" t="s">
        <v>456</v>
      </c>
      <c r="B21" s="234">
        <f>50*1.2</f>
        <v>60</v>
      </c>
      <c r="C21" s="10" t="s">
        <v>457</v>
      </c>
      <c r="F21" s="47" t="s">
        <v>453</v>
      </c>
    </row>
    <row r="22" spans="1:6" ht="13.95" customHeight="1">
      <c r="A22" s="233" t="s">
        <v>458</v>
      </c>
      <c r="B22" s="235">
        <f>12*7.5*20*12</f>
        <v>21600</v>
      </c>
      <c r="F22" s="47" t="s">
        <v>459</v>
      </c>
    </row>
    <row r="23" spans="1:6" ht="13.95" customHeight="1">
      <c r="A23" s="233" t="s">
        <v>460</v>
      </c>
      <c r="B23" s="236">
        <v>0.98</v>
      </c>
      <c r="F23" s="47" t="s">
        <v>285</v>
      </c>
    </row>
    <row r="24" spans="1:6" ht="13.95" customHeight="1">
      <c r="A24" s="237" t="s">
        <v>461</v>
      </c>
      <c r="B24" s="238">
        <v>0.65</v>
      </c>
      <c r="F24" s="47"/>
    </row>
    <row r="27" spans="1:6" ht="13.95" customHeight="1">
      <c r="A27" s="217" t="s">
        <v>462</v>
      </c>
      <c r="B27" s="207"/>
    </row>
    <row r="28" spans="1:6" ht="13.95" customHeight="1">
      <c r="A28" s="231" t="s">
        <v>463</v>
      </c>
      <c r="B28" s="232">
        <f>28.87*2</f>
        <v>57.74</v>
      </c>
      <c r="C28" s="10" t="s">
        <v>464</v>
      </c>
      <c r="F28" s="47" t="s">
        <v>465</v>
      </c>
    </row>
    <row r="29" spans="1:6" ht="13.95" customHeight="1">
      <c r="A29" s="237" t="s">
        <v>466</v>
      </c>
      <c r="B29" s="239">
        <f>4.8*2</f>
        <v>9.6</v>
      </c>
      <c r="C29" s="10" t="s">
        <v>467</v>
      </c>
      <c r="F29" s="47" t="s">
        <v>465</v>
      </c>
    </row>
  </sheetData>
  <mergeCells count="2">
    <mergeCell ref="B8:D8"/>
    <mergeCell ref="E8:G8"/>
  </mergeCells>
  <conditionalFormatting sqref="E14:E17 E23:E31 F28:F29 F18:F23">
    <cfRule type="cellIs" dxfId="7" priority="5" operator="equal">
      <formula>"???"</formula>
    </cfRule>
    <cfRule type="cellIs" dxfId="6" priority="6" operator="equal">
      <formula>"OK"</formula>
    </cfRule>
  </conditionalFormatting>
  <pageMargins left="0.7" right="0.7" top="0.75" bottom="0.75" header="0.3" footer="0.3"/>
  <pageSetup paperSize="8" fitToHeight="0" orientation="landscape" horizontalDpi="1200" verticalDpi="1200" r:id="rId1"/>
  <headerFooter>
    <oddFooter>&amp;C&amp;7&amp;B&amp;"Arial"Document Classification: KPMG Confidential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F86A4-C684-405B-BF9C-B6EF6D043218}">
  <dimension ref="A1:T40"/>
  <sheetViews>
    <sheetView topLeftCell="E1" zoomScale="90" zoomScaleNormal="90" workbookViewId="0">
      <selection activeCell="A4" sqref="A4:L4"/>
    </sheetView>
  </sheetViews>
  <sheetFormatPr defaultRowHeight="14.4"/>
  <cols>
    <col min="1" max="1" width="24.6640625" customWidth="1"/>
    <col min="2" max="6" width="9.109375" bestFit="1" customWidth="1"/>
    <col min="7" max="12" width="15.33203125" customWidth="1"/>
    <col min="14" max="14" width="18.5546875" customWidth="1"/>
    <col min="15" max="19" width="13.33203125" bestFit="1" customWidth="1"/>
    <col min="20" max="20" width="18.109375" bestFit="1" customWidth="1"/>
  </cols>
  <sheetData>
    <row r="1" spans="1:20">
      <c r="A1" s="1" t="s">
        <v>468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N1" s="209" t="s">
        <v>64</v>
      </c>
      <c r="O1" s="2"/>
      <c r="P1" s="2"/>
      <c r="Q1" s="2"/>
      <c r="R1" s="2"/>
      <c r="S1" s="207"/>
    </row>
    <row r="2" spans="1:20">
      <c r="A2" s="241"/>
      <c r="B2" s="242" t="s">
        <v>125</v>
      </c>
      <c r="C2" s="242" t="s">
        <v>126</v>
      </c>
      <c r="D2" s="242" t="s">
        <v>127</v>
      </c>
      <c r="E2" s="242" t="s">
        <v>128</v>
      </c>
      <c r="F2" s="242" t="s">
        <v>129</v>
      </c>
      <c r="G2" s="242" t="s">
        <v>130</v>
      </c>
      <c r="H2" s="242" t="s">
        <v>131</v>
      </c>
      <c r="I2" s="242" t="s">
        <v>132</v>
      </c>
      <c r="J2" s="242" t="s">
        <v>133</v>
      </c>
      <c r="K2" s="242" t="s">
        <v>134</v>
      </c>
      <c r="L2" s="243" t="s">
        <v>11</v>
      </c>
      <c r="N2" s="254"/>
      <c r="O2" s="242" t="s">
        <v>89</v>
      </c>
      <c r="P2" s="242" t="s">
        <v>90</v>
      </c>
      <c r="Q2" s="242" t="s">
        <v>91</v>
      </c>
      <c r="R2" s="242" t="s">
        <v>92</v>
      </c>
      <c r="S2" s="243" t="s">
        <v>93</v>
      </c>
    </row>
    <row r="3" spans="1:20">
      <c r="A3" s="33" t="s">
        <v>434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N3" s="244" t="s">
        <v>469</v>
      </c>
      <c r="O3" s="246">
        <v>14925099.815999998</v>
      </c>
      <c r="P3" s="246">
        <v>29850199.631999996</v>
      </c>
      <c r="Q3" s="246">
        <v>326515558.24799997</v>
      </c>
      <c r="R3" s="246">
        <v>435354077.66399997</v>
      </c>
      <c r="S3" s="259">
        <v>653031116.49599993</v>
      </c>
      <c r="T3" s="206">
        <f>SUM(O3:S3)</f>
        <v>1459676051.8559999</v>
      </c>
    </row>
    <row r="4" spans="1:20">
      <c r="A4" s="244" t="s">
        <v>64</v>
      </c>
      <c r="B4" s="245" t="s">
        <v>169</v>
      </c>
      <c r="C4" s="245" t="s">
        <v>169</v>
      </c>
      <c r="D4" s="246">
        <f>Výnosy!B12*$B$38</f>
        <v>0</v>
      </c>
      <c r="E4" s="246">
        <f>Výnosy!C12*$B$38</f>
        <v>0</v>
      </c>
      <c r="F4" s="246">
        <f>Výnosy!D12*$B$38</f>
        <v>0</v>
      </c>
      <c r="G4" s="246">
        <f>Výnosy!E12*$B$38</f>
        <v>0</v>
      </c>
      <c r="H4" s="246">
        <f>Výnosy!F12*$B$38</f>
        <v>403221420.36000001</v>
      </c>
      <c r="I4" s="246">
        <f>Výnosy!G12*$B$38</f>
        <v>403221420.36000001</v>
      </c>
      <c r="J4" s="246">
        <f>Výnosy!H12*$B$38</f>
        <v>403221420.36000001</v>
      </c>
      <c r="K4" s="246">
        <f>Výnosy!I12*$B$38</f>
        <v>403221420.36000001</v>
      </c>
      <c r="L4" s="259">
        <f>SUM(B4:K4)</f>
        <v>1612885681.4400001</v>
      </c>
      <c r="N4" s="247" t="s">
        <v>470</v>
      </c>
      <c r="O4" s="124">
        <v>9216847.7366399989</v>
      </c>
      <c r="P4" s="124">
        <v>18433695.473279998</v>
      </c>
      <c r="Q4" s="124">
        <v>201636452.76191998</v>
      </c>
      <c r="R4" s="124">
        <v>268848603.68255997</v>
      </c>
      <c r="S4" s="123">
        <v>403272905.52383995</v>
      </c>
      <c r="T4" s="206">
        <f t="shared" ref="T4:T5" si="0">SUM(O4:S4)</f>
        <v>901408505.17823982</v>
      </c>
    </row>
    <row r="5" spans="1:20">
      <c r="A5" s="247" t="s">
        <v>66</v>
      </c>
      <c r="B5" s="124" t="s">
        <v>169</v>
      </c>
      <c r="C5" s="124" t="s">
        <v>169</v>
      </c>
      <c r="D5" s="124">
        <f>Výnosy!B21*'Výnosy klientov'!$B$38</f>
        <v>0</v>
      </c>
      <c r="E5" s="124">
        <f>Výnosy!C21*'Výnosy klientov'!$B$38</f>
        <v>0</v>
      </c>
      <c r="F5" s="124">
        <f>Výnosy!D21*'Výnosy klientov'!$B$38</f>
        <v>0</v>
      </c>
      <c r="G5" s="124">
        <f>Výnosy!E21*'Výnosy klientov'!$B$38</f>
        <v>0</v>
      </c>
      <c r="H5" s="124">
        <f>Výnosy!F21*'Výnosy klientov'!$B$38</f>
        <v>68138339.227199987</v>
      </c>
      <c r="I5" s="124">
        <f>Výnosy!G21*'Výnosy klientov'!$B$38</f>
        <v>425009333.70719999</v>
      </c>
      <c r="J5" s="124">
        <f>Výnosy!H21*'Výnosy klientov'!$B$38</f>
        <v>425009333.70719999</v>
      </c>
      <c r="K5" s="124">
        <f>Výnosy!I21*'Výnosy klientov'!$B$38</f>
        <v>425009333.70719999</v>
      </c>
      <c r="L5" s="123">
        <f t="shared" ref="L5:L7" si="1">SUM(B5:K5)</f>
        <v>1343166340.3487999</v>
      </c>
      <c r="N5" s="248" t="s">
        <v>471</v>
      </c>
      <c r="O5" s="250">
        <v>921684.77366399998</v>
      </c>
      <c r="P5" s="250">
        <v>2765054.3209919999</v>
      </c>
      <c r="Q5" s="250">
        <v>22928699.597183999</v>
      </c>
      <c r="R5" s="250">
        <v>49813559.965439998</v>
      </c>
      <c r="S5" s="260">
        <v>90140850.517823994</v>
      </c>
      <c r="T5" s="206">
        <f t="shared" si="0"/>
        <v>166569849.17510399</v>
      </c>
    </row>
    <row r="6" spans="1:20">
      <c r="A6" s="247" t="s">
        <v>65</v>
      </c>
      <c r="B6" s="124" t="s">
        <v>169</v>
      </c>
      <c r="C6" s="124" t="s">
        <v>169</v>
      </c>
      <c r="D6" s="124">
        <f>Výnosy!B30*'Výnosy klientov'!$B$38</f>
        <v>0</v>
      </c>
      <c r="E6" s="124">
        <f>Výnosy!C30*'Výnosy klientov'!$B$38</f>
        <v>0</v>
      </c>
      <c r="F6" s="124">
        <f>Výnosy!D30*'Výnosy klientov'!$B$38</f>
        <v>0</v>
      </c>
      <c r="G6" s="124">
        <f>Výnosy!E30*'Výnosy klientov'!$B$38</f>
        <v>0</v>
      </c>
      <c r="H6" s="124">
        <f>Výnosy!F30*'Výnosy klientov'!$B$38</f>
        <v>89550598.895999983</v>
      </c>
      <c r="I6" s="124">
        <f>Výnosy!G30*'Výnosy klientov'!$B$38</f>
        <v>1441903841.1359999</v>
      </c>
      <c r="J6" s="124">
        <f>Výnosy!H30*'Výnosy klientov'!$B$38</f>
        <v>1441903841.1359999</v>
      </c>
      <c r="K6" s="124">
        <f>Výnosy!I30*'Výnosy klientov'!$B$38</f>
        <v>1441903841.1359999</v>
      </c>
      <c r="L6" s="123">
        <f t="shared" si="1"/>
        <v>4415262122.3039999</v>
      </c>
    </row>
    <row r="7" spans="1:20">
      <c r="A7" s="248" t="s">
        <v>67</v>
      </c>
      <c r="B7" s="249" t="s">
        <v>169</v>
      </c>
      <c r="C7" s="249" t="s">
        <v>169</v>
      </c>
      <c r="D7" s="250">
        <f>Výnosy!B39*$B$38</f>
        <v>0</v>
      </c>
      <c r="E7" s="250">
        <f>Výnosy!C39*$B$38</f>
        <v>0</v>
      </c>
      <c r="F7" s="250">
        <f>Výnosy!D39*$B$38</f>
        <v>0</v>
      </c>
      <c r="G7" s="250">
        <f>Výnosy!E39*$B$38</f>
        <v>0</v>
      </c>
      <c r="H7" s="250">
        <f>Výnosy!F39*$B$38</f>
        <v>68138339.227199987</v>
      </c>
      <c r="I7" s="250">
        <f>Výnosy!G39*$B$38</f>
        <v>1495622317.1472001</v>
      </c>
      <c r="J7" s="250">
        <f>Výnosy!H39*$B$38</f>
        <v>1495622317.1472001</v>
      </c>
      <c r="K7" s="250">
        <f>Výnosy!I39*$B$38</f>
        <v>1495622317.1472001</v>
      </c>
      <c r="L7" s="260">
        <f t="shared" si="1"/>
        <v>4555005290.6688004</v>
      </c>
    </row>
    <row r="8" spans="1:20">
      <c r="A8" s="33" t="s">
        <v>436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20">
      <c r="A9" s="244" t="s">
        <v>64</v>
      </c>
      <c r="B9" s="245" t="s">
        <v>169</v>
      </c>
      <c r="C9" s="245" t="s">
        <v>169</v>
      </c>
      <c r="D9" s="246">
        <f>Výnosy!B15*$B$38</f>
        <v>0</v>
      </c>
      <c r="E9" s="246">
        <f>Výnosy!C15*$B$38</f>
        <v>0</v>
      </c>
      <c r="F9" s="246">
        <f>Výnosy!D15*$B$38</f>
        <v>0</v>
      </c>
      <c r="G9" s="246">
        <f>Výnosy!E15*$B$38</f>
        <v>0</v>
      </c>
      <c r="H9" s="246">
        <f>Výnosy!F15*$B$38</f>
        <v>18176400</v>
      </c>
      <c r="I9" s="246">
        <f>Výnosy!G15*$B$38</f>
        <v>403221420.36000001</v>
      </c>
      <c r="J9" s="246">
        <f>Výnosy!H15*$B$38</f>
        <v>403221420.36000001</v>
      </c>
      <c r="K9" s="246">
        <f>Výnosy!I15*$B$38</f>
        <v>403221420.36000001</v>
      </c>
      <c r="L9" s="259">
        <f>SUM(B9:K9)</f>
        <v>1227840661.0799999</v>
      </c>
    </row>
    <row r="10" spans="1:20">
      <c r="A10" s="247" t="s">
        <v>66</v>
      </c>
      <c r="B10" s="124" t="s">
        <v>169</v>
      </c>
      <c r="C10" s="124" t="s">
        <v>169</v>
      </c>
      <c r="D10" s="124">
        <f>Výnosy!B24*'Výnosy klientov'!$B$38</f>
        <v>0</v>
      </c>
      <c r="E10" s="124">
        <f>Výnosy!C24*'Výnosy klientov'!$B$38</f>
        <v>0</v>
      </c>
      <c r="F10" s="124">
        <f>Výnosy!D24*'Výnosy klientov'!$B$38</f>
        <v>0</v>
      </c>
      <c r="G10" s="124">
        <f>Výnosy!E24*'Výnosy klientov'!$B$38</f>
        <v>0</v>
      </c>
      <c r="H10" s="124">
        <f>Výnosy!F24*'Výnosy klientov'!$B$38</f>
        <v>68138339.227199987</v>
      </c>
      <c r="I10" s="124">
        <f>Výnosy!G24*'Výnosy klientov'!$B$38</f>
        <v>425009333.70719999</v>
      </c>
      <c r="J10" s="124">
        <f>Výnosy!H24*'Výnosy klientov'!$B$38</f>
        <v>425009333.70719999</v>
      </c>
      <c r="K10" s="124">
        <f>Výnosy!I24*'Výnosy klientov'!$B$38</f>
        <v>425009333.70719999</v>
      </c>
      <c r="L10" s="123">
        <f t="shared" ref="L10:L12" si="2">SUM(B10:K10)</f>
        <v>1343166340.3487999</v>
      </c>
    </row>
    <row r="11" spans="1:20">
      <c r="A11" s="247" t="s">
        <v>65</v>
      </c>
      <c r="B11" s="124" t="s">
        <v>169</v>
      </c>
      <c r="C11" s="124" t="s">
        <v>169</v>
      </c>
      <c r="D11" s="124">
        <f>Výnosy!B33*'Výnosy klientov'!$B$38</f>
        <v>0</v>
      </c>
      <c r="E11" s="124">
        <f>Výnosy!C33*'Výnosy klientov'!$B$38</f>
        <v>0</v>
      </c>
      <c r="F11" s="124">
        <f>Výnosy!D33*'Výnosy klientov'!$B$38</f>
        <v>0</v>
      </c>
      <c r="G11" s="124">
        <f>Výnosy!E33*'Výnosy klientov'!$B$38</f>
        <v>0</v>
      </c>
      <c r="H11" s="124">
        <f>Výnosy!F33*'Výnosy klientov'!$B$38</f>
        <v>89550598.895999983</v>
      </c>
      <c r="I11" s="124">
        <f>Výnosy!G33*'Výnosy klientov'!$B$38</f>
        <v>1441903841.1359999</v>
      </c>
      <c r="J11" s="124">
        <f>Výnosy!H33*'Výnosy klientov'!$B$38</f>
        <v>1441903841.1359999</v>
      </c>
      <c r="K11" s="124">
        <f>Výnosy!I33*'Výnosy klientov'!$B$38</f>
        <v>1441903841.1359999</v>
      </c>
      <c r="L11" s="123">
        <f t="shared" si="2"/>
        <v>4415262122.3039999</v>
      </c>
    </row>
    <row r="12" spans="1:20">
      <c r="A12" s="248" t="s">
        <v>67</v>
      </c>
      <c r="B12" s="249" t="s">
        <v>169</v>
      </c>
      <c r="C12" s="249" t="s">
        <v>169</v>
      </c>
      <c r="D12" s="250">
        <f>Výnosy!B42*$B$38</f>
        <v>0</v>
      </c>
      <c r="E12" s="250">
        <f>Výnosy!C42*$B$38</f>
        <v>0</v>
      </c>
      <c r="F12" s="250">
        <f>Výnosy!D42*$B$38</f>
        <v>0</v>
      </c>
      <c r="G12" s="250">
        <f>Výnosy!E42*$B$38</f>
        <v>0</v>
      </c>
      <c r="H12" s="250">
        <f>Výnosy!F42*$B$38</f>
        <v>68138339.227199987</v>
      </c>
      <c r="I12" s="250">
        <f>Výnosy!G42*$B$38</f>
        <v>1495622317.1472001</v>
      </c>
      <c r="J12" s="250">
        <f>Výnosy!H42*$B$38</f>
        <v>1495622317.1472001</v>
      </c>
      <c r="K12" s="250">
        <f>Výnosy!I42*$B$38</f>
        <v>1495622317.1472001</v>
      </c>
      <c r="L12" s="260">
        <f t="shared" si="2"/>
        <v>4555005290.6688004</v>
      </c>
    </row>
    <row r="13" spans="1:20">
      <c r="A13" s="33" t="s">
        <v>438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</row>
    <row r="14" spans="1:20">
      <c r="A14" s="244" t="s">
        <v>64</v>
      </c>
      <c r="B14" s="245" t="s">
        <v>169</v>
      </c>
      <c r="C14" s="245" t="s">
        <v>169</v>
      </c>
      <c r="D14" s="246">
        <f>Výnosy!B18*$B$38</f>
        <v>0</v>
      </c>
      <c r="E14" s="246">
        <f>Výnosy!C18*$B$38</f>
        <v>0</v>
      </c>
      <c r="F14" s="246">
        <f>Výnosy!D18*$B$38</f>
        <v>0</v>
      </c>
      <c r="G14" s="246">
        <f>Výnosy!E18*$B$38</f>
        <v>12117600</v>
      </c>
      <c r="H14" s="246">
        <f>Výnosy!F18*$B$38</f>
        <v>24235200</v>
      </c>
      <c r="I14" s="246">
        <f>Výnosy!G18*$B$38</f>
        <v>806442840.72000003</v>
      </c>
      <c r="J14" s="246">
        <f>Výnosy!H18*$B$38</f>
        <v>1075257120.96</v>
      </c>
      <c r="K14" s="246">
        <f>Výnosy!I18*$B$38</f>
        <v>1612885681.4400001</v>
      </c>
      <c r="L14" s="259">
        <f>SUM(B14:K14)</f>
        <v>3530938443.1199999</v>
      </c>
    </row>
    <row r="15" spans="1:20">
      <c r="A15" s="247" t="s">
        <v>66</v>
      </c>
      <c r="B15" s="124" t="s">
        <v>169</v>
      </c>
      <c r="C15" s="124" t="s">
        <v>169</v>
      </c>
      <c r="D15" s="124">
        <f>Výnosy!B27*'Výnosy klientov'!$B$38</f>
        <v>0</v>
      </c>
      <c r="E15" s="124">
        <f>Výnosy!C27*'Výnosy klientov'!$B$38</f>
        <v>0</v>
      </c>
      <c r="F15" s="124">
        <f>Výnosy!D27*'Výnosy klientov'!$B$38</f>
        <v>0</v>
      </c>
      <c r="G15" s="124">
        <f>Výnosy!E27*'Výnosy klientov'!$B$38</f>
        <v>45425559.484799996</v>
      </c>
      <c r="H15" s="124">
        <f>Výnosy!F27*'Výnosy klientov'!$B$38</f>
        <v>90851118.969599992</v>
      </c>
      <c r="I15" s="124">
        <f>Výnosy!G27*'Výnosy klientov'!$B$38</f>
        <v>850018667.41439998</v>
      </c>
      <c r="J15" s="124">
        <f>Výnosy!H27*'Výnosy klientov'!$B$38</f>
        <v>1133358223.2192001</v>
      </c>
      <c r="K15" s="124">
        <f>Výnosy!I27*'Výnosy klientov'!$B$38</f>
        <v>1700037334.8288</v>
      </c>
      <c r="L15" s="123">
        <f t="shared" ref="L15:L17" si="3">SUM(B15:K15)</f>
        <v>3819690903.9168</v>
      </c>
    </row>
    <row r="16" spans="1:20">
      <c r="A16" s="247" t="s">
        <v>65</v>
      </c>
      <c r="B16" s="124" t="s">
        <v>169</v>
      </c>
      <c r="C16" s="124" t="s">
        <v>169</v>
      </c>
      <c r="D16" s="124">
        <f>Výnosy!B36*'Výnosy klientov'!$B$38</f>
        <v>0</v>
      </c>
      <c r="E16" s="124">
        <f>Výnosy!C36*'Výnosy klientov'!$B$38</f>
        <v>0</v>
      </c>
      <c r="F16" s="124">
        <f>Výnosy!D36*'Výnosy klientov'!$B$38</f>
        <v>0</v>
      </c>
      <c r="G16" s="124">
        <f>Výnosy!E36*'Výnosy klientov'!$B$38</f>
        <v>59700399.263999991</v>
      </c>
      <c r="H16" s="124">
        <f>Výnosy!F36*'Výnosy klientov'!$B$38</f>
        <v>119400798.52799998</v>
      </c>
      <c r="I16" s="124">
        <f>Výnosy!G36*'Výnosy klientov'!$B$38</f>
        <v>2883807682.2719998</v>
      </c>
      <c r="J16" s="124">
        <f>Výnosy!H36*'Výnosy klientov'!$B$38</f>
        <v>3845076909.6959996</v>
      </c>
      <c r="K16" s="124">
        <f>Výnosy!I36*'Výnosy klientov'!$B$38</f>
        <v>5767615364.5439997</v>
      </c>
      <c r="L16" s="123">
        <f t="shared" si="3"/>
        <v>12675601154.303999</v>
      </c>
    </row>
    <row r="17" spans="1:12">
      <c r="A17" s="248" t="s">
        <v>67</v>
      </c>
      <c r="B17" s="249" t="s">
        <v>169</v>
      </c>
      <c r="C17" s="249" t="s">
        <v>169</v>
      </c>
      <c r="D17" s="250">
        <f>Výnosy!B45*$B$38</f>
        <v>0</v>
      </c>
      <c r="E17" s="250">
        <f>Výnosy!C45*$B$38</f>
        <v>0</v>
      </c>
      <c r="F17" s="250">
        <f>Výnosy!D45*$B$38</f>
        <v>0</v>
      </c>
      <c r="G17" s="250">
        <f>Výnosy!E45*$B$38</f>
        <v>45425559.484799996</v>
      </c>
      <c r="H17" s="250">
        <f>Výnosy!F45*$B$38</f>
        <v>90851118.969599992</v>
      </c>
      <c r="I17" s="250">
        <f>Výnosy!G45*$B$38</f>
        <v>2991244634.2944002</v>
      </c>
      <c r="J17" s="250">
        <f>Výnosy!H45*$B$38</f>
        <v>3988326179.0592008</v>
      </c>
      <c r="K17" s="250">
        <f>Výnosy!I45*$B$38</f>
        <v>5982489268.5888004</v>
      </c>
      <c r="L17" s="260">
        <f t="shared" si="3"/>
        <v>13098336760.396801</v>
      </c>
    </row>
    <row r="19" spans="1:12">
      <c r="A19" s="1" t="s">
        <v>472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</row>
    <row r="20" spans="1:12">
      <c r="A20" s="241"/>
      <c r="B20" s="242" t="s">
        <v>125</v>
      </c>
      <c r="C20" s="242" t="s">
        <v>126</v>
      </c>
      <c r="D20" s="242" t="s">
        <v>127</v>
      </c>
      <c r="E20" s="242" t="s">
        <v>128</v>
      </c>
      <c r="F20" s="242" t="s">
        <v>129</v>
      </c>
      <c r="G20" s="242" t="s">
        <v>130</v>
      </c>
      <c r="H20" s="242" t="s">
        <v>131</v>
      </c>
      <c r="I20" s="242" t="s">
        <v>132</v>
      </c>
      <c r="J20" s="242" t="s">
        <v>133</v>
      </c>
      <c r="K20" s="242" t="s">
        <v>134</v>
      </c>
      <c r="L20" s="243" t="s">
        <v>11</v>
      </c>
    </row>
    <row r="21" spans="1:12">
      <c r="A21" s="33" t="s">
        <v>434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7"/>
    </row>
    <row r="22" spans="1:12">
      <c r="A22" s="244" t="s">
        <v>64</v>
      </c>
      <c r="B22" s="245" t="s">
        <v>169</v>
      </c>
      <c r="C22" s="245" t="s">
        <v>169</v>
      </c>
      <c r="D22" s="246">
        <f>Výnosy!B12*$B$39</f>
        <v>0</v>
      </c>
      <c r="E22" s="246">
        <f>Výnosy!C12*$B$39</f>
        <v>0</v>
      </c>
      <c r="F22" s="246">
        <f>Výnosy!D12*$B$39</f>
        <v>0</v>
      </c>
      <c r="G22" s="246">
        <f>Výnosy!E12*$B$39</f>
        <v>0</v>
      </c>
      <c r="H22" s="246">
        <f>Výnosy!F12*$B$39</f>
        <v>249005399.0544</v>
      </c>
      <c r="I22" s="246">
        <f>Výnosy!G12*$B$39</f>
        <v>249005399.0544</v>
      </c>
      <c r="J22" s="246">
        <f>Výnosy!H12*$B$39</f>
        <v>249005399.0544</v>
      </c>
      <c r="K22" s="246">
        <f>Výnosy!I12*$B$39</f>
        <v>249005399.0544</v>
      </c>
      <c r="L22" s="259">
        <f>SUM(B22:K22)</f>
        <v>996021596.21759999</v>
      </c>
    </row>
    <row r="23" spans="1:12">
      <c r="A23" s="247" t="s">
        <v>66</v>
      </c>
      <c r="B23" s="124" t="s">
        <v>169</v>
      </c>
      <c r="C23" s="124" t="s">
        <v>169</v>
      </c>
      <c r="D23" s="124">
        <f>Výnosy!B21*'Výnosy klientov'!$B$39</f>
        <v>0</v>
      </c>
      <c r="E23" s="124">
        <f>Výnosy!C21*'Výnosy klientov'!$B$39</f>
        <v>0</v>
      </c>
      <c r="F23" s="124">
        <f>Výnosy!D21*'Výnosy klientov'!$B$39</f>
        <v>0</v>
      </c>
      <c r="G23" s="124">
        <f>Výnosy!E21*'Výnosy klientov'!$B$39</f>
        <v>0</v>
      </c>
      <c r="H23" s="124">
        <f>Výnosy!F21*'Výnosy klientov'!$B$39</f>
        <v>42078157.293887995</v>
      </c>
      <c r="I23" s="124">
        <f>Výnosy!G21*'Výnosy klientov'!$B$39</f>
        <v>262460309.39308801</v>
      </c>
      <c r="J23" s="124">
        <f>Výnosy!H21*'Výnosy klientov'!$B$39</f>
        <v>262460309.39308801</v>
      </c>
      <c r="K23" s="124">
        <f>Výnosy!I21*'Výnosy klientov'!$B$39</f>
        <v>262460309.39308801</v>
      </c>
      <c r="L23" s="123">
        <f t="shared" ref="L23:L25" si="4">SUM(B23:K23)</f>
        <v>829459085.47315204</v>
      </c>
    </row>
    <row r="24" spans="1:12">
      <c r="A24" s="247" t="s">
        <v>65</v>
      </c>
      <c r="B24" s="124" t="s">
        <v>169</v>
      </c>
      <c r="C24" s="124" t="s">
        <v>169</v>
      </c>
      <c r="D24" s="124">
        <f>Výnosy!B30*'Výnosy klientov'!$B$39</f>
        <v>0</v>
      </c>
      <c r="E24" s="124">
        <f>Výnosy!C30*'Výnosy klientov'!$B$39</f>
        <v>0</v>
      </c>
      <c r="F24" s="124">
        <f>Výnosy!D30*'Výnosy klientov'!$B$39</f>
        <v>0</v>
      </c>
      <c r="G24" s="124">
        <f>Výnosy!E30*'Výnosy klientov'!$B$39</f>
        <v>0</v>
      </c>
      <c r="H24" s="124">
        <f>Výnosy!F30*'Výnosy klientov'!$B$39</f>
        <v>55301086.419839986</v>
      </c>
      <c r="I24" s="124">
        <f>Výnosy!G30*'Výnosy klientov'!$B$39</f>
        <v>890433452.26943994</v>
      </c>
      <c r="J24" s="124">
        <f>Výnosy!H30*'Výnosy klientov'!$B$39</f>
        <v>890433452.26943994</v>
      </c>
      <c r="K24" s="124">
        <f>Výnosy!I30*'Výnosy klientov'!$B$39</f>
        <v>890433452.26943994</v>
      </c>
      <c r="L24" s="123">
        <f t="shared" si="4"/>
        <v>2726601443.2281599</v>
      </c>
    </row>
    <row r="25" spans="1:12">
      <c r="A25" s="248" t="s">
        <v>67</v>
      </c>
      <c r="B25" s="249" t="s">
        <v>169</v>
      </c>
      <c r="C25" s="249" t="s">
        <v>169</v>
      </c>
      <c r="D25" s="250">
        <f>Výnosy!B39*$B$39</f>
        <v>0</v>
      </c>
      <c r="E25" s="250">
        <f>Výnosy!C39*$B$39</f>
        <v>0</v>
      </c>
      <c r="F25" s="250">
        <f>Výnosy!D39*$B$39</f>
        <v>0</v>
      </c>
      <c r="G25" s="250">
        <f>Výnosy!E39*$B$39</f>
        <v>0</v>
      </c>
      <c r="H25" s="250">
        <f>Výnosy!F39*$B$39</f>
        <v>42078157.293887995</v>
      </c>
      <c r="I25" s="250">
        <f>Výnosy!G39*$B$39</f>
        <v>923606765.69068813</v>
      </c>
      <c r="J25" s="250">
        <f>Výnosy!H39*$B$39</f>
        <v>923606765.69068813</v>
      </c>
      <c r="K25" s="250">
        <f>Výnosy!I39*$B$39</f>
        <v>923606765.69068813</v>
      </c>
      <c r="L25" s="260">
        <f t="shared" si="4"/>
        <v>2812898454.3659525</v>
      </c>
    </row>
    <row r="26" spans="1:12">
      <c r="A26" s="33" t="s">
        <v>436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7"/>
    </row>
    <row r="27" spans="1:12">
      <c r="A27" s="244" t="s">
        <v>64</v>
      </c>
      <c r="B27" s="245" t="s">
        <v>169</v>
      </c>
      <c r="C27" s="245" t="s">
        <v>169</v>
      </c>
      <c r="D27" s="246">
        <f>Výnosy!B15*$B$39</f>
        <v>0</v>
      </c>
      <c r="E27" s="246">
        <f>Výnosy!C15*$B$39</f>
        <v>0</v>
      </c>
      <c r="F27" s="246">
        <f>Výnosy!D15*$B$39</f>
        <v>0</v>
      </c>
      <c r="G27" s="246">
        <f>Výnosy!E15*$B$39</f>
        <v>0</v>
      </c>
      <c r="H27" s="246">
        <f>Výnosy!F15*$B$39</f>
        <v>11224656</v>
      </c>
      <c r="I27" s="246">
        <f>Výnosy!G15*$B$39</f>
        <v>249005399.0544</v>
      </c>
      <c r="J27" s="246">
        <f>Výnosy!H15*$B$39</f>
        <v>249005399.0544</v>
      </c>
      <c r="K27" s="246">
        <f>Výnosy!I15*$B$39</f>
        <v>249005399.0544</v>
      </c>
      <c r="L27" s="259">
        <f>SUM(B27:K27)</f>
        <v>758240853.16320002</v>
      </c>
    </row>
    <row r="28" spans="1:12">
      <c r="A28" s="247" t="s">
        <v>66</v>
      </c>
      <c r="B28" s="124" t="s">
        <v>169</v>
      </c>
      <c r="C28" s="124" t="s">
        <v>169</v>
      </c>
      <c r="D28" s="124">
        <f>Výnosy!B24*'Výnosy klientov'!$B$39</f>
        <v>0</v>
      </c>
      <c r="E28" s="124">
        <f>Výnosy!C24*'Výnosy klientov'!$B$39</f>
        <v>0</v>
      </c>
      <c r="F28" s="124">
        <f>Výnosy!D24*'Výnosy klientov'!$B$39</f>
        <v>0</v>
      </c>
      <c r="G28" s="124">
        <f>Výnosy!E24*'Výnosy klientov'!$B$39</f>
        <v>0</v>
      </c>
      <c r="H28" s="124">
        <f>Výnosy!F24*'Výnosy klientov'!$B$39</f>
        <v>42078157.293887995</v>
      </c>
      <c r="I28" s="124">
        <f>Výnosy!G24*'Výnosy klientov'!$B$39</f>
        <v>262460309.39308801</v>
      </c>
      <c r="J28" s="124">
        <f>Výnosy!H24*'Výnosy klientov'!$B$39</f>
        <v>262460309.39308801</v>
      </c>
      <c r="K28" s="124">
        <f>Výnosy!I24*'Výnosy klientov'!$B$39</f>
        <v>262460309.39308801</v>
      </c>
      <c r="L28" s="123">
        <f t="shared" ref="L28:L30" si="5">SUM(B28:K28)</f>
        <v>829459085.47315204</v>
      </c>
    </row>
    <row r="29" spans="1:12">
      <c r="A29" s="247" t="s">
        <v>65</v>
      </c>
      <c r="B29" s="124" t="s">
        <v>169</v>
      </c>
      <c r="C29" s="124" t="s">
        <v>169</v>
      </c>
      <c r="D29" s="124">
        <f>Výnosy!B33*'Výnosy klientov'!$B$39</f>
        <v>0</v>
      </c>
      <c r="E29" s="124">
        <f>Výnosy!C33*'Výnosy klientov'!$B$39</f>
        <v>0</v>
      </c>
      <c r="F29" s="124">
        <f>Výnosy!D33*'Výnosy klientov'!$B$39</f>
        <v>0</v>
      </c>
      <c r="G29" s="124">
        <f>Výnosy!E33*'Výnosy klientov'!$B$39</f>
        <v>0</v>
      </c>
      <c r="H29" s="124">
        <f>Výnosy!F33*'Výnosy klientov'!$B$39</f>
        <v>55301086.419839986</v>
      </c>
      <c r="I29" s="124">
        <f>Výnosy!G33*'Výnosy klientov'!$B$39</f>
        <v>890433452.26943994</v>
      </c>
      <c r="J29" s="124">
        <f>Výnosy!H33*'Výnosy klientov'!$B$39</f>
        <v>890433452.26943994</v>
      </c>
      <c r="K29" s="124">
        <f>Výnosy!I33*'Výnosy klientov'!$B$39</f>
        <v>890433452.26943994</v>
      </c>
      <c r="L29" s="123">
        <f t="shared" si="5"/>
        <v>2726601443.2281599</v>
      </c>
    </row>
    <row r="30" spans="1:12">
      <c r="A30" s="248" t="s">
        <v>67</v>
      </c>
      <c r="B30" s="249" t="s">
        <v>169</v>
      </c>
      <c r="C30" s="249" t="s">
        <v>169</v>
      </c>
      <c r="D30" s="250">
        <f>Výnosy!B42*$B$39</f>
        <v>0</v>
      </c>
      <c r="E30" s="250">
        <f>Výnosy!C42*$B$39</f>
        <v>0</v>
      </c>
      <c r="F30" s="250">
        <f>Výnosy!D42*$B$39</f>
        <v>0</v>
      </c>
      <c r="G30" s="250">
        <f>Výnosy!E42*$B$39</f>
        <v>0</v>
      </c>
      <c r="H30" s="250">
        <f>Výnosy!F42*$B$39</f>
        <v>42078157.293887995</v>
      </c>
      <c r="I30" s="250">
        <f>Výnosy!G42*$B$39</f>
        <v>923606765.69068813</v>
      </c>
      <c r="J30" s="250">
        <f>Výnosy!H42*$B$39</f>
        <v>923606765.69068813</v>
      </c>
      <c r="K30" s="250">
        <f>Výnosy!I42*$B$39</f>
        <v>923606765.69068813</v>
      </c>
      <c r="L30" s="260">
        <f t="shared" si="5"/>
        <v>2812898454.3659525</v>
      </c>
    </row>
    <row r="31" spans="1:12">
      <c r="A31" s="33" t="s">
        <v>438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/>
    </row>
    <row r="32" spans="1:12">
      <c r="A32" s="244" t="s">
        <v>64</v>
      </c>
      <c r="B32" s="245" t="s">
        <v>169</v>
      </c>
      <c r="C32" s="245" t="s">
        <v>169</v>
      </c>
      <c r="D32" s="246">
        <f>Výnosy!B18*$B$39</f>
        <v>0</v>
      </c>
      <c r="E32" s="246">
        <f>Výnosy!C18*$B$39</f>
        <v>0</v>
      </c>
      <c r="F32" s="246">
        <f>Výnosy!D18*$B$39</f>
        <v>0</v>
      </c>
      <c r="G32" s="246">
        <f>Výnosy!E18*$B$39</f>
        <v>7483104</v>
      </c>
      <c r="H32" s="246">
        <f>Výnosy!F18*$B$39</f>
        <v>14966208</v>
      </c>
      <c r="I32" s="246">
        <f>Výnosy!G18*$B$39</f>
        <v>498010798.10879999</v>
      </c>
      <c r="J32" s="246">
        <f>Výnosy!H18*$B$39</f>
        <v>664014397.47840011</v>
      </c>
      <c r="K32" s="246">
        <f>Výnosy!I18*$B$39</f>
        <v>996021596.21759999</v>
      </c>
      <c r="L32" s="259">
        <f>SUM(B32:K32)</f>
        <v>2180496103.8048</v>
      </c>
    </row>
    <row r="33" spans="1:12">
      <c r="A33" s="247" t="s">
        <v>66</v>
      </c>
      <c r="B33" s="124" t="s">
        <v>169</v>
      </c>
      <c r="C33" s="124" t="s">
        <v>169</v>
      </c>
      <c r="D33" s="124">
        <f>Výnosy!B27*'Výnosy klientov'!$B$39</f>
        <v>0</v>
      </c>
      <c r="E33" s="124">
        <f>Výnosy!C27*'Výnosy klientov'!$B$39</f>
        <v>0</v>
      </c>
      <c r="F33" s="124">
        <f>Výnosy!D27*'Výnosy klientov'!$B$39</f>
        <v>0</v>
      </c>
      <c r="G33" s="124">
        <f>Výnosy!E27*'Výnosy klientov'!$B$39</f>
        <v>28052104.862591997</v>
      </c>
      <c r="H33" s="124">
        <f>Výnosy!F27*'Výnosy klientov'!$B$39</f>
        <v>56104209.725183994</v>
      </c>
      <c r="I33" s="124">
        <f>Výnosy!G27*'Výnosy klientov'!$B$39</f>
        <v>524920618.78617603</v>
      </c>
      <c r="J33" s="124">
        <f>Výnosy!H27*'Výnosy klientov'!$B$39</f>
        <v>699894158.38156796</v>
      </c>
      <c r="K33" s="124">
        <f>Výnosy!I27*'Výnosy klientov'!$B$39</f>
        <v>1049841237.5723521</v>
      </c>
      <c r="L33" s="123">
        <f t="shared" ref="L33:L35" si="6">SUM(B33:K33)</f>
        <v>2358812329.3278718</v>
      </c>
    </row>
    <row r="34" spans="1:12">
      <c r="A34" s="247" t="s">
        <v>65</v>
      </c>
      <c r="B34" s="124" t="s">
        <v>169</v>
      </c>
      <c r="C34" s="124" t="s">
        <v>169</v>
      </c>
      <c r="D34" s="124">
        <f>Výnosy!B36*'Výnosy klientov'!$B$39</f>
        <v>0</v>
      </c>
      <c r="E34" s="124">
        <f>Výnosy!C36*'Výnosy klientov'!$B$39</f>
        <v>0</v>
      </c>
      <c r="F34" s="124">
        <f>Výnosy!D36*'Výnosy klientov'!$B$39</f>
        <v>0</v>
      </c>
      <c r="G34" s="124">
        <f>Výnosy!E36*'Výnosy klientov'!$B$39</f>
        <v>36867390.946559995</v>
      </c>
      <c r="H34" s="124">
        <f>Výnosy!F36*'Výnosy klientov'!$B$39</f>
        <v>73734781.893119991</v>
      </c>
      <c r="I34" s="124">
        <f>Výnosy!G36*'Výnosy klientov'!$B$39</f>
        <v>1780866904.5388799</v>
      </c>
      <c r="J34" s="124">
        <f>Výnosy!H36*'Výnosy klientov'!$B$39</f>
        <v>2374489206.0518398</v>
      </c>
      <c r="K34" s="124">
        <f>Výnosy!I36*'Výnosy klientov'!$B$39</f>
        <v>3561733809.0777597</v>
      </c>
      <c r="L34" s="123">
        <f t="shared" si="6"/>
        <v>7827692092.5081596</v>
      </c>
    </row>
    <row r="35" spans="1:12">
      <c r="A35" s="248" t="s">
        <v>67</v>
      </c>
      <c r="B35" s="249" t="s">
        <v>169</v>
      </c>
      <c r="C35" s="249" t="s">
        <v>169</v>
      </c>
      <c r="D35" s="250">
        <f>Výnosy!B45*$B$39</f>
        <v>0</v>
      </c>
      <c r="E35" s="250">
        <f>Výnosy!C45*$B$39</f>
        <v>0</v>
      </c>
      <c r="F35" s="250">
        <f>Výnosy!D45*$B$39</f>
        <v>0</v>
      </c>
      <c r="G35" s="250">
        <f>Výnosy!E45*$B$39</f>
        <v>28052104.862591997</v>
      </c>
      <c r="H35" s="250">
        <f>Výnosy!F45*$B$39</f>
        <v>56104209.725183994</v>
      </c>
      <c r="I35" s="250">
        <f>Výnosy!G45*$B$39</f>
        <v>1847213531.3813763</v>
      </c>
      <c r="J35" s="250">
        <f>Výnosy!H45*$B$39</f>
        <v>2462951375.1751685</v>
      </c>
      <c r="K35" s="250">
        <f>Výnosy!I45*$B$39</f>
        <v>3694427062.7627525</v>
      </c>
      <c r="L35" s="260">
        <f t="shared" si="6"/>
        <v>8088748283.907073</v>
      </c>
    </row>
    <row r="37" spans="1:12">
      <c r="A37" s="253" t="s">
        <v>473</v>
      </c>
      <c r="B37" s="252"/>
    </row>
    <row r="38" spans="1:12">
      <c r="A38" s="251" t="s">
        <v>474</v>
      </c>
      <c r="B38" s="252">
        <v>467.5</v>
      </c>
    </row>
    <row r="39" spans="1:12">
      <c r="A39" s="251" t="s">
        <v>475</v>
      </c>
      <c r="B39" s="252">
        <v>288.7</v>
      </c>
    </row>
    <row r="40" spans="1:12">
      <c r="B40" s="25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28E43-3DAE-4CA2-B5DB-028AC563A994}">
  <dimension ref="A1:E2"/>
  <sheetViews>
    <sheetView workbookViewId="0"/>
  </sheetViews>
  <sheetFormatPr defaultRowHeight="14.4"/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>
        <v>1</v>
      </c>
      <c r="B2">
        <v>1</v>
      </c>
      <c r="C2">
        <v>12</v>
      </c>
      <c r="D2">
        <v>88</v>
      </c>
      <c r="E2" t="s">
        <v>476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2B8ED-5267-4889-909F-302089E1A414}">
  <dimension ref="A1:E2"/>
  <sheetViews>
    <sheetView workbookViewId="0"/>
  </sheetViews>
  <sheetFormatPr defaultRowHeight="14.4"/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>
        <v>1</v>
      </c>
      <c r="B2">
        <v>1</v>
      </c>
      <c r="C2">
        <v>26</v>
      </c>
      <c r="D2">
        <v>17</v>
      </c>
      <c r="E2" t="s">
        <v>477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74662-261F-410E-A5AC-F6AC86AB8C7E}">
  <dimension ref="A1:E2"/>
  <sheetViews>
    <sheetView workbookViewId="0"/>
  </sheetViews>
  <sheetFormatPr defaultRowHeight="14.4"/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>
        <v>1</v>
      </c>
      <c r="B2">
        <v>1</v>
      </c>
      <c r="C2">
        <v>7</v>
      </c>
      <c r="D2">
        <v>15</v>
      </c>
      <c r="E2" t="s">
        <v>478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981EE-57AC-4DB5-9563-69E8F989F677}">
  <dimension ref="A1:H44"/>
  <sheetViews>
    <sheetView zoomScaleNormal="100" workbookViewId="0">
      <selection activeCell="A3" sqref="A3:A15"/>
    </sheetView>
  </sheetViews>
  <sheetFormatPr defaultRowHeight="14.4"/>
  <cols>
    <col min="1" max="1" width="25.33203125" customWidth="1"/>
    <col min="2" max="2" width="20.44140625" bestFit="1" customWidth="1"/>
    <col min="3" max="3" width="22.5546875" bestFit="1" customWidth="1"/>
    <col min="4" max="4" width="13.33203125" bestFit="1" customWidth="1"/>
    <col min="5" max="5" width="11.6640625" customWidth="1"/>
    <col min="6" max="6" width="13.33203125" bestFit="1" customWidth="1"/>
    <col min="7" max="7" width="11.88671875" bestFit="1" customWidth="1"/>
    <col min="8" max="26" width="9" bestFit="1" customWidth="1"/>
  </cols>
  <sheetData>
    <row r="1" spans="1:8" ht="19.5" customHeight="1">
      <c r="A1" s="1"/>
      <c r="B1" s="2"/>
      <c r="C1" s="2"/>
      <c r="D1" s="2"/>
      <c r="E1" s="2"/>
      <c r="F1" s="2"/>
      <c r="G1" s="3"/>
    </row>
    <row r="2" spans="1:8" ht="12" customHeight="1">
      <c r="A2" s="27" t="s">
        <v>9</v>
      </c>
      <c r="B2" s="4" t="s">
        <v>479</v>
      </c>
      <c r="C2" s="4" t="s">
        <v>480</v>
      </c>
      <c r="D2" s="4" t="s">
        <v>94</v>
      </c>
      <c r="E2" s="4" t="s">
        <v>95</v>
      </c>
      <c r="F2" s="4" t="s">
        <v>96</v>
      </c>
      <c r="G2" s="28" t="s">
        <v>481</v>
      </c>
      <c r="H2" s="67"/>
    </row>
    <row r="3" spans="1:8" ht="12" customHeight="1">
      <c r="A3" s="5" t="s">
        <v>24</v>
      </c>
      <c r="B3" s="25" t="e">
        <f>#REF!</f>
        <v>#REF!</v>
      </c>
      <c r="C3" s="25" t="e">
        <f>#REF!</f>
        <v>#REF!</v>
      </c>
      <c r="D3" s="25">
        <f>Náklady!O257</f>
        <v>41862004.765408807</v>
      </c>
      <c r="E3" s="25">
        <f>Náklady!P257</f>
        <v>11506114.020804068</v>
      </c>
      <c r="F3" s="25">
        <f>Náklady!Q257</f>
        <v>26567256.675643891</v>
      </c>
      <c r="G3" s="35">
        <f>Náklady!R257</f>
        <v>3940000</v>
      </c>
    </row>
    <row r="4" spans="1:8" ht="12" customHeight="1">
      <c r="A4" s="5" t="s">
        <v>20</v>
      </c>
      <c r="B4" s="25" t="e">
        <f>#REF!</f>
        <v>#REF!</v>
      </c>
      <c r="C4" s="25" t="e">
        <f>#REF!</f>
        <v>#REF!</v>
      </c>
      <c r="D4" s="25">
        <f>Náklady!O149</f>
        <v>29526004.765408803</v>
      </c>
      <c r="E4" s="25">
        <f>Náklady!P149</f>
        <v>11506114.020804068</v>
      </c>
      <c r="F4" s="25">
        <f>Náklady!Q149</f>
        <v>26567256.675643891</v>
      </c>
      <c r="G4" s="35">
        <f>Náklady!R149</f>
        <v>3940000</v>
      </c>
    </row>
    <row r="5" spans="1:8" ht="12" customHeight="1">
      <c r="A5" s="5" t="s">
        <v>16</v>
      </c>
      <c r="B5" s="25" t="e">
        <f>#REF!</f>
        <v>#REF!</v>
      </c>
      <c r="C5" s="25" t="e">
        <f>#REF!</f>
        <v>#REF!</v>
      </c>
      <c r="D5" s="25">
        <f>Náklady!O41</f>
        <v>19743058.285188802</v>
      </c>
      <c r="E5" s="25">
        <f>Náklady!P41</f>
        <v>17261466.420804068</v>
      </c>
      <c r="F5" s="25">
        <f>Náklady!Q41</f>
        <v>42182307.038163573</v>
      </c>
      <c r="G5" s="35">
        <f>Náklady!R41</f>
        <v>3940000</v>
      </c>
    </row>
    <row r="6" spans="1:8" ht="12" customHeight="1">
      <c r="A6" s="5" t="s">
        <v>23</v>
      </c>
      <c r="B6" s="25" t="e">
        <f>#REF!</f>
        <v>#REF!</v>
      </c>
      <c r="C6" s="25" t="e">
        <f>#REF!</f>
        <v>#REF!</v>
      </c>
      <c r="D6" s="25">
        <f>Náklady!O230</f>
        <v>50716642.381408803</v>
      </c>
      <c r="E6" s="25">
        <f>Náklady!P230</f>
        <v>16591930.89680407</v>
      </c>
      <c r="F6" s="25">
        <f>Náklady!Q230</f>
        <v>21471540.231643893</v>
      </c>
      <c r="G6" s="35">
        <f>Náklady!R230</f>
        <v>3940000</v>
      </c>
    </row>
    <row r="7" spans="1:8" ht="12" customHeight="1">
      <c r="A7" s="5" t="s">
        <v>19</v>
      </c>
      <c r="B7" s="25" t="e">
        <f>#REF!</f>
        <v>#REF!</v>
      </c>
      <c r="C7" s="25" t="e">
        <f>#REF!</f>
        <v>#REF!</v>
      </c>
      <c r="D7" s="25">
        <f>Náklady!O122</f>
        <v>40602260.6481888</v>
      </c>
      <c r="E7" s="25">
        <f>Náklady!P122</f>
        <v>0</v>
      </c>
      <c r="F7" s="25">
        <f>Náklady!Q122</f>
        <v>29731450.583799642</v>
      </c>
      <c r="G7" s="35">
        <f>Náklady!R122</f>
        <v>2000000</v>
      </c>
    </row>
    <row r="8" spans="1:8" ht="12" customHeight="1">
      <c r="A8" s="5" t="s">
        <v>15</v>
      </c>
      <c r="B8" s="25" t="e">
        <f>#REF!</f>
        <v>#REF!</v>
      </c>
      <c r="C8" s="25" t="e">
        <f>#REF!</f>
        <v>#REF!</v>
      </c>
      <c r="D8" s="25">
        <f>Náklady!O14</f>
        <v>28597695.901188802</v>
      </c>
      <c r="E8" s="25">
        <f>Náklady!P14</f>
        <v>22347283.29680407</v>
      </c>
      <c r="F8" s="25">
        <f>Náklady!Q14</f>
        <v>37086590.594163574</v>
      </c>
      <c r="G8" s="35">
        <f>Náklady!R14</f>
        <v>3940000</v>
      </c>
    </row>
    <row r="9" spans="1:8" ht="12" customHeight="1">
      <c r="A9" s="5" t="s">
        <v>21</v>
      </c>
      <c r="B9" s="25" t="e">
        <f>#REF!</f>
        <v>#REF!</v>
      </c>
      <c r="C9" s="25" t="e">
        <f>#REF!</f>
        <v>#REF!</v>
      </c>
      <c r="D9" s="25">
        <f>Náklady!O176</f>
        <v>94210333.764131978</v>
      </c>
      <c r="E9" s="25">
        <f>Náklady!P176</f>
        <v>50648361.353350297</v>
      </c>
      <c r="F9" s="25">
        <f>Náklady!Q176</f>
        <v>77257398.296495199</v>
      </c>
      <c r="G9" s="35">
        <f>Náklady!R176</f>
        <v>3940000</v>
      </c>
    </row>
    <row r="10" spans="1:8" ht="12" customHeight="1">
      <c r="A10" s="5" t="s">
        <v>25</v>
      </c>
      <c r="B10" s="25" t="e">
        <f>#REF!</f>
        <v>#REF!</v>
      </c>
      <c r="C10" s="25" t="e">
        <f>#REF!</f>
        <v>#REF!</v>
      </c>
      <c r="D10" s="25">
        <f>Náklady!O284</f>
        <v>112432333.76413198</v>
      </c>
      <c r="E10" s="25">
        <f>Náklady!P284</f>
        <v>47918361.353350297</v>
      </c>
      <c r="F10" s="25">
        <f>Náklady!Q284</f>
        <v>77257398.296495199</v>
      </c>
      <c r="G10" s="35">
        <f>Náklady!R284</f>
        <v>3940000</v>
      </c>
    </row>
    <row r="11" spans="1:8" ht="12" customHeight="1">
      <c r="A11" s="5" t="s">
        <v>17</v>
      </c>
      <c r="B11" s="25" t="e">
        <f>#REF!</f>
        <v>#REF!</v>
      </c>
      <c r="C11" s="25" t="e">
        <f>#REF!</f>
        <v>#REF!</v>
      </c>
      <c r="D11" s="25">
        <f>Náklady!O68</f>
        <v>66328070.123912007</v>
      </c>
      <c r="E11" s="25">
        <f>Náklady!P68</f>
        <v>58779836.033350289</v>
      </c>
      <c r="F11" s="25">
        <f>Náklady!Q68</f>
        <v>103877529.13901488</v>
      </c>
      <c r="G11" s="35">
        <f>Náklady!R68</f>
        <v>3940000</v>
      </c>
    </row>
    <row r="12" spans="1:8" ht="12" customHeight="1">
      <c r="A12" s="5" t="s">
        <v>22</v>
      </c>
      <c r="B12" s="25" t="e">
        <f>#REF!</f>
        <v>#REF!</v>
      </c>
      <c r="C12" s="25" t="e">
        <f>#REF!</f>
        <v>#REF!</v>
      </c>
      <c r="D12" s="25">
        <f>Náklady!O203</f>
        <v>78793430.669147998</v>
      </c>
      <c r="E12" s="25">
        <f>Náklady!P203</f>
        <v>47916430.207040988</v>
      </c>
      <c r="F12" s="25">
        <f>Náklady!Q203</f>
        <v>86724978.980123445</v>
      </c>
      <c r="G12" s="35">
        <f>Náklady!R203</f>
        <v>3940000</v>
      </c>
    </row>
    <row r="13" spans="1:8" ht="12" customHeight="1">
      <c r="A13" s="5" t="s">
        <v>26</v>
      </c>
      <c r="B13" s="25" t="e">
        <f>#REF!</f>
        <v>#REF!</v>
      </c>
      <c r="C13" s="25" t="e">
        <f>#REF!</f>
        <v>#REF!</v>
      </c>
      <c r="D13" s="25">
        <f>Náklady!O311</f>
        <v>97015430.669147983</v>
      </c>
      <c r="E13" s="25">
        <f>Náklady!P311</f>
        <v>45186430.207040988</v>
      </c>
      <c r="F13" s="25">
        <f>Náklady!Q311</f>
        <v>86724978.980123445</v>
      </c>
      <c r="G13" s="35">
        <f>Náklady!R311</f>
        <v>3940000</v>
      </c>
    </row>
    <row r="14" spans="1:8" ht="12" customHeight="1">
      <c r="A14" s="5" t="s">
        <v>18</v>
      </c>
      <c r="B14" s="25" t="e">
        <f>#REF!</f>
        <v>#REF!</v>
      </c>
      <c r="C14" s="25" t="e">
        <f>#REF!</f>
        <v>#REF!</v>
      </c>
      <c r="D14" s="25">
        <f>Náklady!O95</f>
        <v>50911167.028928004</v>
      </c>
      <c r="E14" s="25">
        <f>Náklady!P95</f>
        <v>56047904.88704098</v>
      </c>
      <c r="F14" s="25">
        <f>Náklady!Q95</f>
        <v>115217109.82264313</v>
      </c>
      <c r="G14" s="35">
        <f>Náklady!R95</f>
        <v>3940000</v>
      </c>
    </row>
    <row r="15" spans="1:8" ht="12" customHeight="1" thickBot="1">
      <c r="A15" s="9" t="s">
        <v>14</v>
      </c>
      <c r="B15" s="39"/>
      <c r="C15" s="39" t="e">
        <f>#REF!</f>
        <v>#REF!</v>
      </c>
      <c r="D15" s="39">
        <f>Náklady!O3</f>
        <v>86042397.279999986</v>
      </c>
      <c r="E15" s="39">
        <f>Náklady!P3</f>
        <v>0</v>
      </c>
      <c r="F15" s="39">
        <f>Náklady!Q3</f>
        <v>322392984.00025576</v>
      </c>
      <c r="G15" s="40">
        <f>Náklady!R3</f>
        <v>3940000</v>
      </c>
    </row>
    <row r="16" spans="1:8">
      <c r="D16" s="25">
        <f>SUM(D3:D15)</f>
        <v>796780830.04619277</v>
      </c>
      <c r="E16" s="25">
        <f t="shared" ref="E16:G16" si="0">SUM(E3:E15)</f>
        <v>385710232.69719416</v>
      </c>
      <c r="F16" s="25">
        <f t="shared" si="0"/>
        <v>1053058779.3142095</v>
      </c>
      <c r="G16" s="25">
        <f t="shared" si="0"/>
        <v>49280000</v>
      </c>
    </row>
    <row r="34" spans="1:5">
      <c r="B34" s="276" t="s">
        <v>29</v>
      </c>
      <c r="C34" s="276"/>
    </row>
    <row r="35" spans="1:5">
      <c r="B35" s="68" t="s">
        <v>482</v>
      </c>
      <c r="C35" s="68" t="s">
        <v>483</v>
      </c>
    </row>
    <row r="36" spans="1:5">
      <c r="A36" t="s">
        <v>191</v>
      </c>
      <c r="B36" s="70">
        <f>'Vstupy cost'!B52</f>
        <v>282930</v>
      </c>
      <c r="C36" s="70">
        <f>'Vstupy cost'!B53</f>
        <v>547651</v>
      </c>
      <c r="D36" s="70"/>
      <c r="E36" s="70"/>
    </row>
    <row r="37" spans="1:5">
      <c r="A37" t="s">
        <v>207</v>
      </c>
      <c r="B37" s="70">
        <f>'Vstupy cost'!Q8</f>
        <v>6500000</v>
      </c>
      <c r="C37" s="70">
        <f>'Vstupy cost'!Q11</f>
        <v>28700000</v>
      </c>
      <c r="D37" s="70"/>
      <c r="E37" s="70"/>
    </row>
    <row r="38" spans="1:5">
      <c r="A38" t="s">
        <v>214</v>
      </c>
      <c r="B38" s="70"/>
      <c r="C38" s="70">
        <v>30000000</v>
      </c>
      <c r="D38" s="70"/>
      <c r="E38" s="70"/>
    </row>
    <row r="39" spans="1:5">
      <c r="B39" s="70"/>
      <c r="C39" s="70"/>
      <c r="D39" s="70"/>
      <c r="E39" s="70"/>
    </row>
    <row r="40" spans="1:5">
      <c r="B40" s="277" t="s">
        <v>484</v>
      </c>
      <c r="C40" s="277"/>
      <c r="D40" s="71" t="s">
        <v>182</v>
      </c>
      <c r="E40" s="71" t="s">
        <v>118</v>
      </c>
    </row>
    <row r="41" spans="1:5">
      <c r="A41" t="s">
        <v>64</v>
      </c>
      <c r="B41" s="70">
        <f>'Vstupy cost'!M4</f>
        <v>0</v>
      </c>
      <c r="C41" s="70"/>
      <c r="D41" s="70">
        <f>'Vstupy cost'!I8</f>
        <v>666293.28916666599</v>
      </c>
      <c r="E41" s="70">
        <f>'Vstupy cost'!K12</f>
        <v>0</v>
      </c>
    </row>
    <row r="42" spans="1:5">
      <c r="A42" t="s">
        <v>192</v>
      </c>
      <c r="B42" s="70">
        <f>'Vstupy cost'!M5</f>
        <v>3156000</v>
      </c>
      <c r="C42" s="70"/>
      <c r="D42" s="70">
        <f>'Vstupy cost'!I9</f>
        <v>732736.4001833325</v>
      </c>
      <c r="E42" s="70">
        <f>'Vstupy cost'!K13</f>
        <v>0</v>
      </c>
    </row>
    <row r="43" spans="1:5">
      <c r="A43" t="s">
        <v>65</v>
      </c>
      <c r="B43" s="70"/>
      <c r="C43" s="70">
        <f>'Vstupy cost'!M6</f>
        <v>5340000</v>
      </c>
      <c r="D43" s="70">
        <f>'Vstupy cost'!I10</f>
        <v>732736.4001833325</v>
      </c>
      <c r="E43" s="70">
        <f>'Vstupy cost'!K14</f>
        <v>0</v>
      </c>
    </row>
    <row r="44" spans="1:5">
      <c r="A44" t="s">
        <v>202</v>
      </c>
      <c r="B44" s="70"/>
      <c r="C44" s="70">
        <f>'Vstupy cost'!M7</f>
        <v>3156000</v>
      </c>
      <c r="D44" s="70">
        <f>'Vstupy cost'!I11</f>
        <v>732736.4001833325</v>
      </c>
      <c r="E44" s="70">
        <f>'Vstupy cost'!K15</f>
        <v>0</v>
      </c>
    </row>
  </sheetData>
  <sortState xmlns:xlrd2="http://schemas.microsoft.com/office/spreadsheetml/2017/richdata2" ref="A3:H15">
    <sortCondition ref="F3:F15"/>
  </sortState>
  <mergeCells count="2">
    <mergeCell ref="B34:C34"/>
    <mergeCell ref="B40:C40"/>
  </mergeCells>
  <conditionalFormatting sqref="D3:D15">
    <cfRule type="cellIs" dxfId="5" priority="1" operator="greaterThan">
      <formula>70000000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626D9-3F61-442A-A0B4-13BC113F3596}">
  <dimension ref="A1:E2"/>
  <sheetViews>
    <sheetView workbookViewId="0"/>
  </sheetViews>
  <sheetFormatPr defaultRowHeight="14.4"/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>
        <v>1</v>
      </c>
      <c r="B2">
        <v>1</v>
      </c>
      <c r="C2">
        <v>13</v>
      </c>
      <c r="D2">
        <v>63</v>
      </c>
      <c r="E2" t="s">
        <v>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C2757-7A0B-4272-8755-7DF96342C8C8}">
  <dimension ref="A1:M107"/>
  <sheetViews>
    <sheetView workbookViewId="0">
      <selection sqref="A1:M107"/>
    </sheetView>
  </sheetViews>
  <sheetFormatPr defaultRowHeight="14.4"/>
  <cols>
    <col min="1" max="1" width="35.88671875" bestFit="1" customWidth="1"/>
    <col min="2" max="12" width="11.6640625" customWidth="1"/>
    <col min="13" max="13" width="10.33203125" style="134" bestFit="1" customWidth="1"/>
    <col min="14" max="16" width="11" bestFit="1" customWidth="1"/>
  </cols>
  <sheetData>
    <row r="1" spans="1:13" ht="19.5" customHeight="1">
      <c r="A1" s="1" t="s">
        <v>485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3" ht="12" customHeight="1">
      <c r="A2" s="29" t="s">
        <v>175</v>
      </c>
      <c r="B2" s="30" t="s">
        <v>157</v>
      </c>
      <c r="C2" s="30" t="s">
        <v>158</v>
      </c>
      <c r="D2" s="30" t="s">
        <v>159</v>
      </c>
      <c r="E2" s="30" t="s">
        <v>160</v>
      </c>
      <c r="F2" s="30" t="s">
        <v>161</v>
      </c>
      <c r="G2" s="30" t="s">
        <v>162</v>
      </c>
      <c r="H2" s="30" t="s">
        <v>163</v>
      </c>
      <c r="I2" s="30" t="s">
        <v>164</v>
      </c>
      <c r="J2" s="30" t="s">
        <v>165</v>
      </c>
      <c r="K2" s="30" t="s">
        <v>166</v>
      </c>
      <c r="L2" s="31" t="s">
        <v>11</v>
      </c>
    </row>
    <row r="3" spans="1:13" ht="12" customHeight="1">
      <c r="A3" s="33" t="s">
        <v>14</v>
      </c>
      <c r="B3" s="36">
        <f>B6-SUM(B7:B10)</f>
        <v>0</v>
      </c>
      <c r="C3" s="36">
        <f t="shared" ref="C3:K3" si="0">SUM(C4)-C5-SUM(C7:C10)</f>
        <v>0</v>
      </c>
      <c r="D3" s="36">
        <f t="shared" si="0"/>
        <v>0</v>
      </c>
      <c r="E3" s="36">
        <f t="shared" si="0"/>
        <v>0</v>
      </c>
      <c r="F3" s="36">
        <f t="shared" si="0"/>
        <v>0</v>
      </c>
      <c r="G3" s="36">
        <f t="shared" si="0"/>
        <v>0</v>
      </c>
      <c r="H3" s="36">
        <f t="shared" si="0"/>
        <v>0</v>
      </c>
      <c r="I3" s="36">
        <f t="shared" si="0"/>
        <v>0</v>
      </c>
      <c r="J3" s="36">
        <f t="shared" si="0"/>
        <v>0</v>
      </c>
      <c r="K3" s="36">
        <f t="shared" si="0"/>
        <v>0</v>
      </c>
      <c r="L3" s="37">
        <f>L4-L5-SUM(L7:L10)</f>
        <v>0</v>
      </c>
    </row>
    <row r="4" spans="1:13" ht="12" customHeight="1">
      <c r="A4" s="5" t="s">
        <v>486</v>
      </c>
      <c r="B4" s="25">
        <f>SUM(Náklady!C5,Náklady!C7:C9,Náklady!C12:C12)</f>
        <v>221443.20000000004</v>
      </c>
      <c r="C4" s="25">
        <f>SUM(Náklady!D5,Náklady!D7:D9,Náklady!D12:D12)</f>
        <v>16119382.479999999</v>
      </c>
      <c r="D4" s="25">
        <f>SUM(Náklady!E5,Náklady!E7:E9,Náklady!E12:E12)</f>
        <v>31553668.181600001</v>
      </c>
      <c r="E4" s="25">
        <f>SUM(Náklady!F5,Náklady!F7:F9,Náklady!F12:F12)</f>
        <v>43154383.249587998</v>
      </c>
      <c r="F4" s="25">
        <f>SUM(Náklady!G5,Náklady!G7:G9,Náklady!G12:G12)</f>
        <v>53234698.74707564</v>
      </c>
      <c r="G4" s="25">
        <f>SUM(Náklady!H5,Náklady!H7:H9,Náklady!H12:H12)</f>
        <v>53337508.709487908</v>
      </c>
      <c r="H4" s="25">
        <f>SUM(Náklady!I5,Náklady!I7:I9,Náklady!I12:I12)</f>
        <v>53443402.97077255</v>
      </c>
      <c r="I4" s="25">
        <f>SUM(Náklady!J5,Náklady!J7:J9,Náklady!J12:J12)</f>
        <v>53552474.059895724</v>
      </c>
      <c r="J4" s="25">
        <f>SUM(Náklady!K5,Náklady!K7:K9,Náklady!K12:K12)</f>
        <v>53664817.281692594</v>
      </c>
      <c r="K4" s="25">
        <f>SUM(Náklady!L5,Náklady!L7:L9,Náklady!L12:L12)</f>
        <v>53780530.800143369</v>
      </c>
      <c r="L4" s="35">
        <f>SUM(B4:K4)</f>
        <v>412062309.68025577</v>
      </c>
    </row>
    <row r="5" spans="1:13" ht="12" customHeight="1">
      <c r="A5" s="5" t="s">
        <v>487</v>
      </c>
      <c r="B5" s="25">
        <f>Výnosy!B3</f>
        <v>0</v>
      </c>
      <c r="C5" s="25">
        <f>Výnosy!C3</f>
        <v>0</v>
      </c>
      <c r="D5" s="25">
        <f>Výnosy!D3</f>
        <v>0</v>
      </c>
      <c r="E5" s="25">
        <f>Výnosy!E3</f>
        <v>0</v>
      </c>
      <c r="F5" s="25">
        <f>Výnosy!F3</f>
        <v>2042640</v>
      </c>
      <c r="G5" s="25">
        <f>Výnosy!G3</f>
        <v>2042640</v>
      </c>
      <c r="H5" s="25">
        <f>Výnosy!H3</f>
        <v>2042640</v>
      </c>
      <c r="I5" s="25">
        <f>Výnosy!I3</f>
        <v>2042640</v>
      </c>
      <c r="J5" s="25">
        <f>Výnosy!J3</f>
        <v>2042640</v>
      </c>
      <c r="K5" s="25">
        <f>Výnosy!K3</f>
        <v>2042640</v>
      </c>
      <c r="L5" s="35">
        <f>SUM(B5:K5)</f>
        <v>12255840</v>
      </c>
    </row>
    <row r="6" spans="1:13" ht="12" customHeight="1">
      <c r="A6" s="5" t="s">
        <v>10</v>
      </c>
      <c r="B6" s="25">
        <f>B4-B5</f>
        <v>221443.20000000004</v>
      </c>
      <c r="C6" s="25">
        <f t="shared" ref="C6:K6" si="1">C4-C5</f>
        <v>16119382.479999999</v>
      </c>
      <c r="D6" s="25">
        <f t="shared" si="1"/>
        <v>31553668.181600001</v>
      </c>
      <c r="E6" s="25">
        <f t="shared" si="1"/>
        <v>43154383.249587998</v>
      </c>
      <c r="F6" s="25">
        <f t="shared" si="1"/>
        <v>51192058.74707564</v>
      </c>
      <c r="G6" s="25">
        <f t="shared" si="1"/>
        <v>51294868.709487908</v>
      </c>
      <c r="H6" s="25">
        <f t="shared" si="1"/>
        <v>51400762.97077255</v>
      </c>
      <c r="I6" s="25">
        <f t="shared" si="1"/>
        <v>51509834.059895724</v>
      </c>
      <c r="J6" s="25">
        <f t="shared" si="1"/>
        <v>51622177.281692594</v>
      </c>
      <c r="K6" s="25">
        <f t="shared" si="1"/>
        <v>51737890.800143369</v>
      </c>
      <c r="L6" s="35"/>
    </row>
    <row r="7" spans="1:13" ht="12" customHeight="1">
      <c r="A7" s="107" t="s">
        <v>94</v>
      </c>
      <c r="B7" s="108">
        <f>IF(SUM(B6,-B10)&lt;70000000,B6-B10,SUM(B6,-B10)-70000000)</f>
        <v>-278556.79999999993</v>
      </c>
      <c r="C7" s="108">
        <f>IF(B9="",IF(SUM(B7:B7,(C6-C10))&lt;70000000,C6-C10,70000000-SUM(B7:B7)),0)</f>
        <v>15366382.479999999</v>
      </c>
      <c r="D7" s="108">
        <f>IF(C9="",IF(SUM(B7:C7,(D6-D10))&lt;70000000,D6-D10,70000000-SUM(B7:C7)),"")</f>
        <v>31098668.181600001</v>
      </c>
      <c r="E7" s="108">
        <f>IF(D9="",IF(SUM(B7:D7,(E6-E10))&lt;70000000,E6-E10,70000000-SUM(B7:D7)),"")</f>
        <v>23813506.138400003</v>
      </c>
      <c r="F7" s="108" t="str">
        <f>IF(E9="",IF(SUM(B7:E7,(F6-F10))&lt;70000000,F6-F10,70000000-SUM(B7:E7)),"")</f>
        <v/>
      </c>
      <c r="G7" s="108" t="str">
        <f t="shared" ref="G7:K7" si="2">IF(F9="",IF(SUM(C7:F7,(G6-G10))&lt;70000000,G6-G10,70000000-SUM(C7:F7)),"")</f>
        <v/>
      </c>
      <c r="H7" s="108" t="str">
        <f t="shared" si="2"/>
        <v/>
      </c>
      <c r="I7" s="108" t="str">
        <f t="shared" si="2"/>
        <v/>
      </c>
      <c r="J7" s="108" t="str">
        <f t="shared" si="2"/>
        <v/>
      </c>
      <c r="K7" s="108" t="str">
        <f t="shared" si="2"/>
        <v/>
      </c>
      <c r="L7" s="109">
        <f t="shared" ref="L7:L10" si="3">SUM(B7:K7)</f>
        <v>70000000</v>
      </c>
      <c r="M7" s="134">
        <f>70000000-L7</f>
        <v>0</v>
      </c>
    </row>
    <row r="8" spans="1:13" ht="12" customHeight="1">
      <c r="A8" s="113" t="s">
        <v>95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5">
        <f t="shared" si="3"/>
        <v>0</v>
      </c>
    </row>
    <row r="9" spans="1:13" ht="12" customHeight="1">
      <c r="A9" s="110" t="s">
        <v>96</v>
      </c>
      <c r="B9" s="111" t="str">
        <f>IF(SUM(B6,-B10)&lt;70000000,"",70000000-SUM(B6,-B10))</f>
        <v/>
      </c>
      <c r="C9" s="111" t="str">
        <f>IF(C7="",C7-C10,IF(SUM(B7,(C6-C10))&lt;70000000,"",(C6-C10)-C7))</f>
        <v/>
      </c>
      <c r="D9" s="111" t="str">
        <f>IF(D7="",D7-D10,IF(SUM(B7:C7,(D6-D10))&lt;70000000,"",(D6-D10)-D7))</f>
        <v/>
      </c>
      <c r="E9" s="111">
        <f>IF(E7="",E6-E10,IF(SUM(B7:D7,(E6-E10))&lt;70000000,"",(E6-E10)-E7))</f>
        <v>18590877.111187994</v>
      </c>
      <c r="F9" s="111">
        <f>IF(F7="",F6-F10,IF(SUM(B7:E7,(F6-F10))&lt;70000000,"",(F6-F10)-F7))</f>
        <v>50202058.74707564</v>
      </c>
      <c r="G9" s="111">
        <f t="shared" ref="G9:K9" si="4">IF(G7="",G6-G10,IF(SUM(C7:F7,(G6-G10))&lt;70000000,"",(G6-G10)-G7))</f>
        <v>50304868.709487908</v>
      </c>
      <c r="H9" s="111">
        <f t="shared" si="4"/>
        <v>50410762.97077255</v>
      </c>
      <c r="I9" s="111">
        <f t="shared" si="4"/>
        <v>50519834.059895724</v>
      </c>
      <c r="J9" s="111">
        <f t="shared" si="4"/>
        <v>50632177.281692594</v>
      </c>
      <c r="K9" s="111">
        <f t="shared" si="4"/>
        <v>50747890.800143369</v>
      </c>
      <c r="L9" s="112">
        <f t="shared" si="3"/>
        <v>321408469.68025577</v>
      </c>
    </row>
    <row r="10" spans="1:13" ht="12" customHeight="1">
      <c r="A10" s="116" t="s">
        <v>488</v>
      </c>
      <c r="B10" s="117">
        <f>SUM(Náklady!C12:C12)+500000</f>
        <v>500000</v>
      </c>
      <c r="C10" s="117">
        <f>SUM(Náklady!D12:D12)+500000</f>
        <v>753000</v>
      </c>
      <c r="D10" s="117">
        <f>SUM(Náklady!E12:E12)</f>
        <v>455000</v>
      </c>
      <c r="E10" s="117">
        <f>SUM(Náklady!F12:F12)</f>
        <v>750000</v>
      </c>
      <c r="F10" s="117">
        <f>SUM(Náklady!G12:G12)</f>
        <v>990000</v>
      </c>
      <c r="G10" s="117">
        <f>SUM(Náklady!H12:H12)</f>
        <v>990000</v>
      </c>
      <c r="H10" s="117">
        <f>SUM(Náklady!I12:I12)</f>
        <v>990000</v>
      </c>
      <c r="I10" s="117">
        <f>SUM(Náklady!J12:J12)</f>
        <v>990000</v>
      </c>
      <c r="J10" s="117">
        <f>SUM(Náklady!K12:K12)</f>
        <v>990000</v>
      </c>
      <c r="K10" s="117">
        <f>SUM(Náklady!L12:L12)</f>
        <v>990000</v>
      </c>
      <c r="L10" s="118">
        <f t="shared" si="3"/>
        <v>8398000</v>
      </c>
    </row>
    <row r="11" spans="1:13" ht="12" customHeight="1">
      <c r="A11" s="33" t="s">
        <v>190</v>
      </c>
      <c r="B11" s="36">
        <f>SUM(B12:B13)-B14-SUM(B16:B19)</f>
        <v>0</v>
      </c>
      <c r="C11" s="36">
        <f t="shared" ref="C11:K11" si="5">SUM(C12:C13)-C14-SUM(C16:C19)</f>
        <v>0</v>
      </c>
      <c r="D11" s="36" t="e">
        <f t="shared" si="5"/>
        <v>#REF!</v>
      </c>
      <c r="E11" s="36" t="e">
        <f t="shared" si="5"/>
        <v>#REF!</v>
      </c>
      <c r="F11" s="36">
        <f t="shared" si="5"/>
        <v>28188000.000000004</v>
      </c>
      <c r="G11" s="36">
        <f t="shared" si="5"/>
        <v>0</v>
      </c>
      <c r="H11" s="36">
        <f t="shared" si="5"/>
        <v>0</v>
      </c>
      <c r="I11" s="36">
        <f t="shared" si="5"/>
        <v>0</v>
      </c>
      <c r="J11" s="36">
        <f t="shared" si="5"/>
        <v>0</v>
      </c>
      <c r="K11" s="36">
        <f t="shared" si="5"/>
        <v>0</v>
      </c>
      <c r="L11" s="37">
        <f>SUM(L12:L13)-L14-SUM(L16:L19)</f>
        <v>0</v>
      </c>
    </row>
    <row r="12" spans="1:13" ht="12" customHeight="1">
      <c r="A12" s="5" t="s">
        <v>489</v>
      </c>
      <c r="B12" s="25">
        <f>SUM(Náklady!C17,Náklady!C18,Náklady!C28,Náklady!C30)</f>
        <v>0</v>
      </c>
      <c r="C12" s="25">
        <f>SUM(Náklady!D17,Náklady!D18,Náklady!D28,Náklady!D30)</f>
        <v>0</v>
      </c>
      <c r="D12" s="25" t="e">
        <f>SUM(Náklady!#REF!,Náklady!#REF!,Náklady!E28,Náklady!F30)</f>
        <v>#REF!</v>
      </c>
      <c r="E12" s="25" t="e">
        <f>SUM(Náklady!E17,Náklady!E18,Náklady!#REF!,Náklady!#REF!)</f>
        <v>#REF!</v>
      </c>
      <c r="F12" s="25">
        <f>SUM(Náklady!F17,Náklady!F18,Náklady!F28,Náklady!G30)</f>
        <v>28188000</v>
      </c>
      <c r="G12" s="25">
        <f>SUM(Náklady!H17,Náklady!H18,Náklady!H28,Náklady!H30)</f>
        <v>0</v>
      </c>
      <c r="H12" s="25">
        <f>SUM(Náklady!I17,Náklady!I18,Náklady!I28,Náklady!I30)</f>
        <v>0</v>
      </c>
      <c r="I12" s="25">
        <f>SUM(Náklady!J17,Náklady!J18,Náklady!J28,Náklady!J30)</f>
        <v>0</v>
      </c>
      <c r="J12" s="25">
        <f>SUM(Náklady!K17,Náklady!K18,Náklady!K28,Náklady!K30)</f>
        <v>0</v>
      </c>
      <c r="K12" s="25">
        <f>SUM(Náklady!L17,Náklady!L18,Náklady!L28,Náklady!L30)</f>
        <v>0</v>
      </c>
      <c r="L12" s="35">
        <f>SUM(Náklady!M17,Náklady!M18,Náklady!M28,Náklady!M30)</f>
        <v>28326000</v>
      </c>
    </row>
    <row r="13" spans="1:13" ht="12" customHeight="1">
      <c r="A13" s="5" t="s">
        <v>486</v>
      </c>
      <c r="B13" s="25">
        <f>SUM(Náklady!C19:C20,Náklady!C24,Náklady!C29,Náklady!C31,Náklady!C34:C37,Náklady!C39:C39)</f>
        <v>267351.60000000003</v>
      </c>
      <c r="C13" s="25">
        <f>SUM(Náklady!D19:D20,Náklady!D24,Náklady!D29,Náklady!D31,Náklady!D34:D37,Náklady!D39:D39)</f>
        <v>1551030.8320000004</v>
      </c>
      <c r="D13" s="25">
        <f>SUM(Náklady!E19:E20,Náklady!E24,Náklady!E29,Náklady!E31,Náklady!E34:E37,Náklady!E39:E39)</f>
        <v>1641180.9089600001</v>
      </c>
      <c r="E13" s="25">
        <f>SUM(Náklady!F19:F20,Náklady!F24,Náklady!F29,Náklady!F31,Náklady!F34:F37,Náklady!F39:F39)</f>
        <v>4776991.3602288002</v>
      </c>
      <c r="F13" s="25">
        <f>SUM(Náklady!G19:G20,Náklady!G24,Náklady!G29,Náklady!G31,Náklady!G34:G37,Náklady!G39:G39)</f>
        <v>8603152.2983156648</v>
      </c>
      <c r="G13" s="25">
        <f>SUM(Náklady!H19:H20,Náklady!H24,Náklady!H29,Náklady!H31,Náklady!H34:H37,Náklady!H39:H39)</f>
        <v>8636799.1951051354</v>
      </c>
      <c r="H13" s="25">
        <f>SUM(Náklady!I19:I20,Náklady!I24,Náklady!I29,Náklady!I31,Náklady!I34:I37,Náklady!I39:I39)</f>
        <v>8671455.4987982884</v>
      </c>
      <c r="I13" s="25">
        <f>SUM(Náklady!J19:J20,Náklady!J24,Náklady!J29,Náklady!J31,Náklady!J34:J37,Náklady!J39:J39)</f>
        <v>8707151.4916022383</v>
      </c>
      <c r="J13" s="25">
        <f>SUM(Náklady!K19:K20,Náklady!K24,Náklady!K29,Náklady!K31,Náklady!K34:K37,Náklady!K39:K39)</f>
        <v>9585418.3641903047</v>
      </c>
      <c r="K13" s="25">
        <f>SUM(Náklady!L19:L20,Náklady!L24,Náklady!L29,Náklady!L31,Náklady!L34:L37,Náklady!L39:L39)</f>
        <v>9623288.2429560144</v>
      </c>
      <c r="L13" s="35">
        <f>SUM(Náklady!M19:M20,Náklady!M24,Náklady!M29,Náklady!M31,Náklady!M34:M37,Náklady!M39:M39)</f>
        <v>62063819.792156443</v>
      </c>
    </row>
    <row r="14" spans="1:13" ht="12" customHeight="1">
      <c r="A14" s="5" t="s">
        <v>487</v>
      </c>
      <c r="B14" s="25">
        <f>Výnosy!B12</f>
        <v>0</v>
      </c>
      <c r="C14" s="25">
        <f>Výnosy!C12</f>
        <v>0</v>
      </c>
      <c r="D14" s="25">
        <f>Výnosy!D12</f>
        <v>0</v>
      </c>
      <c r="E14" s="25">
        <f>Výnosy!E12</f>
        <v>0</v>
      </c>
      <c r="F14" s="25">
        <f>Výnosy!F12</f>
        <v>862505.71200000006</v>
      </c>
      <c r="G14" s="25">
        <f>Výnosy!G12</f>
        <v>862505.71200000006</v>
      </c>
      <c r="H14" s="25">
        <f>Výnosy!H12</f>
        <v>862505.71200000006</v>
      </c>
      <c r="I14" s="25">
        <f>Výnosy!I12</f>
        <v>862505.71200000006</v>
      </c>
      <c r="J14" s="25">
        <f>Výnosy!J12</f>
        <v>862505.71200000006</v>
      </c>
      <c r="K14" s="25">
        <f>Výnosy!K12</f>
        <v>862505.71200000006</v>
      </c>
      <c r="L14" s="35">
        <f>SUM(B14:K14)</f>
        <v>5175034.2720000008</v>
      </c>
    </row>
    <row r="15" spans="1:13" ht="12" customHeight="1">
      <c r="A15" s="5" t="s">
        <v>10</v>
      </c>
      <c r="B15" s="135">
        <f>SUM(B12:B13)-B14</f>
        <v>267351.60000000003</v>
      </c>
      <c r="C15" s="25">
        <f t="shared" ref="C15" si="6">C13-C14</f>
        <v>1551030.8320000004</v>
      </c>
      <c r="D15" s="25">
        <f t="shared" ref="D15" si="7">D13-D14</f>
        <v>1641180.9089600001</v>
      </c>
      <c r="E15" s="25">
        <f t="shared" ref="E15" si="8">E13-E14</f>
        <v>4776991.3602288002</v>
      </c>
      <c r="F15" s="25">
        <f t="shared" ref="F15" si="9">F13-F14</f>
        <v>7740646.5863156645</v>
      </c>
      <c r="G15" s="25">
        <f t="shared" ref="G15" si="10">G13-G14</f>
        <v>7774293.4831051352</v>
      </c>
      <c r="H15" s="25">
        <f t="shared" ref="H15" si="11">H13-H14</f>
        <v>7808949.7867982881</v>
      </c>
      <c r="I15" s="25">
        <f t="shared" ref="I15" si="12">I13-I14</f>
        <v>7844645.779602238</v>
      </c>
      <c r="J15" s="25">
        <f t="shared" ref="J15" si="13">J13-J14</f>
        <v>8722912.6521903053</v>
      </c>
      <c r="K15" s="25">
        <f t="shared" ref="K15" si="14">K13-K14</f>
        <v>8760782.530956015</v>
      </c>
      <c r="L15" s="35"/>
    </row>
    <row r="16" spans="1:13" ht="12" customHeight="1">
      <c r="A16" s="107" t="s">
        <v>94</v>
      </c>
      <c r="B16" s="108">
        <f>SUM(Náklady!C17:C20,Náklady!C24:C31,Náklady!C34:C37)-B14</f>
        <v>267351.60000000003</v>
      </c>
      <c r="C16" s="108">
        <f>SUM(Náklady!D17:D20,Náklady!D24:D31,Náklady!D34:D37)-C14-1000000</f>
        <v>298030.8320000004</v>
      </c>
      <c r="D16" s="108">
        <f>SUM(Náklady!E17:E20,Náklady!E24:E31,Náklady!E34:E37)-D14</f>
        <v>1324180.9089600001</v>
      </c>
      <c r="E16" s="108">
        <f>SUM(Náklady!F17:F20,Náklady!F24:F31,Náklady!F34:F37)-E14</f>
        <v>32214991.360228799</v>
      </c>
      <c r="F16" s="108"/>
      <c r="G16" s="108"/>
      <c r="H16" s="108"/>
      <c r="I16" s="108"/>
      <c r="J16" s="108"/>
      <c r="K16" s="108"/>
      <c r="L16" s="109">
        <f t="shared" ref="L16:L19" si="15">SUM(B16:K16)</f>
        <v>34104554.701188803</v>
      </c>
      <c r="M16" s="134">
        <f>70000000-L16</f>
        <v>35895445.298811197</v>
      </c>
    </row>
    <row r="17" spans="1:13" ht="12" customHeight="1">
      <c r="A17" s="113" t="s">
        <v>95</v>
      </c>
      <c r="B17" s="114"/>
      <c r="C17" s="114"/>
      <c r="D17" s="114"/>
      <c r="E17" s="114"/>
      <c r="F17" s="114">
        <f>SUM(Náklady!G17:G20)*0.35</f>
        <v>9660</v>
      </c>
      <c r="G17" s="114">
        <f>SUM(Náklady!H17:H20,Náklady!H24:H30,Náklady!H35:H36)*0.35</f>
        <v>2636059.7182867969</v>
      </c>
      <c r="H17" s="114">
        <f>SUM(Náklady!I17:I20,Náklady!I24:I30,Náklady!I35:I36)*0.35</f>
        <v>2648189.4245794006</v>
      </c>
      <c r="I17" s="114">
        <f>SUM(Náklady!J17:J20,Náklady!J24:J30,Náklady!J35:J36)*0.35</f>
        <v>2660683.0220607831</v>
      </c>
      <c r="J17" s="114">
        <f>SUM(Náklady!K17:K20,Náklady!K24:K30,Náklady!K35:K36)*0.35</f>
        <v>2968076.4274666063</v>
      </c>
      <c r="K17" s="114">
        <f>SUM(Náklady!L17:L20,Náklady!L24:L30,Náklady!L35:L36)*0.35</f>
        <v>2981330.8850346049</v>
      </c>
      <c r="L17" s="115">
        <f t="shared" si="15"/>
        <v>13903999.477428194</v>
      </c>
    </row>
    <row r="18" spans="1:13" ht="12" customHeight="1">
      <c r="A18" s="110" t="s">
        <v>96</v>
      </c>
      <c r="B18" s="111"/>
      <c r="C18" s="111"/>
      <c r="D18" s="111"/>
      <c r="E18" s="111"/>
      <c r="F18" s="111">
        <f>SUM(Náklady!G17:G20)*0.65+SUM(Náklady!G24:G31,Náklady!G34:G37)-F14</f>
        <v>6740986.5863156645</v>
      </c>
      <c r="G18" s="111">
        <f>SUM(Náklady!H17:H20,Náklady!H24:H30,Náklady!H35:H36)*0.65+SUM(Náklady!H31,Náklady!H34,Náklady!H37)-G14</f>
        <v>4148233.7648183377</v>
      </c>
      <c r="H18" s="111">
        <f>SUM(Náklady!I17:I20,Náklady!I24:I30,Náklady!I35:I36)*0.65+SUM(Náklady!I31,Náklady!I34,Náklady!I37)-H14</f>
        <v>4170760.3622188875</v>
      </c>
      <c r="I18" s="111">
        <f>SUM(Náklady!J17:J20,Náklady!J24:J30,Náklady!J35:J36)*0.65+SUM(Náklady!J31,Náklady!J34,Náklady!J37)-I14</f>
        <v>4193962.7575414544</v>
      </c>
      <c r="J18" s="111">
        <f>SUM(Náklady!K17:K20,Náklady!K24:K30,Náklady!K35:K36)*0.65+SUM(Náklady!K31,Náklady!K34,Náklady!K37)-J14</f>
        <v>4764836.2247236976</v>
      </c>
      <c r="K18" s="111">
        <f>SUM(Náklady!L17:L20,Náklady!L24:L30,Náklady!L35:L36)*0.65+SUM(Náklady!L31,Náklady!L34,Náklady!L37)-K14</f>
        <v>4789451.6459214091</v>
      </c>
      <c r="L18" s="112">
        <f t="shared" si="15"/>
        <v>28808231.34153945</v>
      </c>
    </row>
    <row r="19" spans="1:13" ht="12" customHeight="1">
      <c r="A19" s="116" t="s">
        <v>488</v>
      </c>
      <c r="B19" s="117">
        <f>SUM(Náklady!C39:C39)</f>
        <v>0</v>
      </c>
      <c r="C19" s="117">
        <f>SUM(Náklady!D39:D39)+1000000</f>
        <v>1253000</v>
      </c>
      <c r="D19" s="117">
        <f>SUM(Náklady!E39:E39)</f>
        <v>455000</v>
      </c>
      <c r="E19" s="117">
        <f>SUM(Náklady!F39:F39)</f>
        <v>750000</v>
      </c>
      <c r="F19" s="117">
        <f>SUM(Náklady!G39:G39)</f>
        <v>990000</v>
      </c>
      <c r="G19" s="117">
        <f>SUM(Náklady!H39:H39)</f>
        <v>990000</v>
      </c>
      <c r="H19" s="117">
        <f>SUM(Náklady!I39:I39)</f>
        <v>990000</v>
      </c>
      <c r="I19" s="117">
        <f>SUM(Náklady!J39:J39)</f>
        <v>990000</v>
      </c>
      <c r="J19" s="117">
        <f>SUM(Náklady!K39:K39)</f>
        <v>990000</v>
      </c>
      <c r="K19" s="117">
        <f>SUM(Náklady!L39:L39)</f>
        <v>990000</v>
      </c>
      <c r="L19" s="118">
        <f t="shared" si="15"/>
        <v>8398000</v>
      </c>
    </row>
    <row r="20" spans="1:13" ht="12" customHeight="1">
      <c r="A20" s="33" t="s">
        <v>490</v>
      </c>
      <c r="B20" s="36">
        <f>SUM(B21:B22)-B23-SUM(B24:B27)</f>
        <v>0</v>
      </c>
      <c r="C20" s="36">
        <f t="shared" ref="C20:K20" si="16">SUM(C21:C22)-C23-SUM(C24:C27)</f>
        <v>0</v>
      </c>
      <c r="D20" s="36" t="e">
        <f t="shared" si="16"/>
        <v>#REF!</v>
      </c>
      <c r="E20" s="36" t="e">
        <f t="shared" si="16"/>
        <v>#REF!</v>
      </c>
      <c r="F20" s="36">
        <f t="shared" si="16"/>
        <v>5950800</v>
      </c>
      <c r="G20" s="36">
        <f t="shared" si="16"/>
        <v>0</v>
      </c>
      <c r="H20" s="36">
        <f t="shared" si="16"/>
        <v>0</v>
      </c>
      <c r="I20" s="36">
        <f t="shared" si="16"/>
        <v>0</v>
      </c>
      <c r="J20" s="36">
        <f t="shared" si="16"/>
        <v>0</v>
      </c>
      <c r="K20" s="36">
        <f t="shared" si="16"/>
        <v>0</v>
      </c>
      <c r="L20" s="37" t="e">
        <f>SUM(L21:L22)-SUM(L24:L27)</f>
        <v>#REF!</v>
      </c>
    </row>
    <row r="21" spans="1:13" ht="12" customHeight="1">
      <c r="A21" s="5" t="s">
        <v>489</v>
      </c>
      <c r="B21" s="25">
        <f>SUM(Náklady!C44,Náklady!C45,Náklady!C55,Náklady!C57)</f>
        <v>0</v>
      </c>
      <c r="C21" s="25">
        <f>SUM(Náklady!D44,Náklady!D45,Náklady!D55,Náklady!D57)</f>
        <v>0</v>
      </c>
      <c r="D21" s="25" t="e">
        <f>SUM(Náklady!#REF!,Náklady!#REF!,Náklady!E55,Náklady!F57)</f>
        <v>#REF!</v>
      </c>
      <c r="E21" s="25" t="e">
        <f>SUM(Náklady!E44,Náklady!E45,Náklady!#REF!,Náklady!#REF!)</f>
        <v>#REF!</v>
      </c>
      <c r="F21" s="25">
        <f>SUM(Náklady!F44,Náklady!F45,Náklady!F55,Náklady!G57)</f>
        <v>5950800</v>
      </c>
      <c r="G21" s="25">
        <f>SUM(Náklady!H44,Náklady!H45,Náklady!H55,Náklady!H57)</f>
        <v>0</v>
      </c>
      <c r="H21" s="25">
        <f>SUM(Náklady!I44,Náklady!I45,Náklady!I55,Náklady!I57)</f>
        <v>0</v>
      </c>
      <c r="I21" s="25">
        <f>SUM(Náklady!J44,Náklady!J45,Náklady!J55,Náklady!J57)</f>
        <v>0</v>
      </c>
      <c r="J21" s="25">
        <f>SUM(Náklady!K44,Náklady!K45,Náklady!K55,Náklady!K57)</f>
        <v>0</v>
      </c>
      <c r="K21" s="25">
        <f>SUM(Náklady!L44,Náklady!L45,Náklady!L55,Náklady!L57)</f>
        <v>0</v>
      </c>
      <c r="L21" s="35" t="e">
        <f>SUM(B21:K21)</f>
        <v>#REF!</v>
      </c>
    </row>
    <row r="22" spans="1:13" ht="12" customHeight="1">
      <c r="A22" s="5" t="s">
        <v>486</v>
      </c>
      <c r="B22" s="25">
        <f>SUM(Náklady!C46:C47,Náklady!C51,Náklady!C56,Náklady!C58,Náklady!C61:C64,Náklady!C66:C66)</f>
        <v>267351.60000000003</v>
      </c>
      <c r="C22" s="25">
        <f>SUM(Náklady!D46:D47,Náklady!D51,Náklady!D56,Náklady!D58,Náklady!D61:D64,Náklady!D66:D66)</f>
        <v>1551030.8320000004</v>
      </c>
      <c r="D22" s="25" t="e">
        <f>SUM(Náklady!E46:E47,Náklady!#REF!,Náklady!E56,Náklady!E58,Náklady!E61:E64,Náklady!E66:E66)</f>
        <v>#REF!</v>
      </c>
      <c r="E22" s="25">
        <f>SUM(Náklady!F46:F47,Náklady!F51,Náklady!F56,Náklady!F58,Náklady!F61:F64,Náklady!F66:F66)</f>
        <v>6022821.0402287999</v>
      </c>
      <c r="F22" s="25">
        <f>SUM(Náklady!G46:G47,Náklady!G51,Náklady!G56,Náklady!G58,Náklady!G61:G64,Náklady!G66:G66)</f>
        <v>10144411.226315664</v>
      </c>
      <c r="G22" s="25">
        <f>SUM(Náklady!H46:H47,Náklady!H51,Náklady!H56,Náklady!H58,Náklady!H61:H64,Náklady!H66:H66)</f>
        <v>10178058.123105133</v>
      </c>
      <c r="H22" s="25">
        <f>SUM(Náklady!I46:I47,Náklady!I51,Náklady!I56,Náklady!I58,Náklady!I61:I64,Náklady!I66:I66)</f>
        <v>10212714.426798288</v>
      </c>
      <c r="I22" s="25">
        <f>SUM(Náklady!J46:J47,Náklady!J51,Náklady!J56,Náklady!J58,Náklady!J61:J64,Náklady!J66:J66)</f>
        <v>10362026.419602238</v>
      </c>
      <c r="J22" s="25">
        <f>SUM(Náklady!K46:K47,Náklady!K51,Náklady!K56,Náklady!K58,Náklady!K61:K64,Náklady!K66:K66)</f>
        <v>10573177.292190304</v>
      </c>
      <c r="K22" s="25">
        <f>SUM(Náklady!L46:L47,Náklady!L51,Náklady!L56,Náklady!L58,Náklady!L61:L64,Náklady!L66:L66)</f>
        <v>10611047.170956014</v>
      </c>
      <c r="L22" s="35" t="e">
        <f t="shared" ref="L22:L27" si="17">SUM(B22:K22)</f>
        <v>#REF!</v>
      </c>
    </row>
    <row r="23" spans="1:13" ht="12" customHeight="1">
      <c r="A23" s="5" t="s">
        <v>487</v>
      </c>
      <c r="B23" s="25">
        <f>Výnosy!B21</f>
        <v>0</v>
      </c>
      <c r="C23" s="25">
        <f>Výnosy!C21</f>
        <v>0</v>
      </c>
      <c r="D23" s="25">
        <f>Výnosy!D21</f>
        <v>0</v>
      </c>
      <c r="E23" s="25">
        <f>Výnosy!E21</f>
        <v>0</v>
      </c>
      <c r="F23" s="25">
        <f>Výnosy!F21</f>
        <v>145750.45823999998</v>
      </c>
      <c r="G23" s="25">
        <f>Výnosy!G21</f>
        <v>909110.87424000003</v>
      </c>
      <c r="H23" s="25">
        <f>Výnosy!H21</f>
        <v>909110.87424000003</v>
      </c>
      <c r="I23" s="25">
        <f>Výnosy!I21</f>
        <v>909110.87424000003</v>
      </c>
      <c r="J23" s="25">
        <f>Výnosy!J21</f>
        <v>909110.87424000003</v>
      </c>
      <c r="K23" s="25">
        <f>Výnosy!K21</f>
        <v>909110.87424000003</v>
      </c>
      <c r="L23" s="35"/>
    </row>
    <row r="24" spans="1:13" ht="12" customHeight="1">
      <c r="A24" s="107" t="s">
        <v>94</v>
      </c>
      <c r="B24" s="108">
        <f>SUM(Náklady!C44:C47,Náklady!C51:C58,Náklady!C61:C64)-B23-500000</f>
        <v>-232648.39999999997</v>
      </c>
      <c r="C24" s="108">
        <f>SUM(Náklady!D44:D47,Náklady!D51:D58,Náklady!D61:D64)-C23-500000</f>
        <v>798030.8320000004</v>
      </c>
      <c r="D24" s="108">
        <f>SUM(Náklady!E44:E47,Náklady!E50:E58,Náklady!E61:E64)-D23</f>
        <v>6443457.6129599996</v>
      </c>
      <c r="E24" s="108">
        <f>SUM(Náklady!F44:F47,Náklady!F51:F58,Náklady!F61:F64)-E23</f>
        <v>11223621.040228801</v>
      </c>
      <c r="F24" s="108">
        <f>SUM(Náklady!G44:G47)*0.65+SUM(Náklady!G51:G58,Náklady!G61:G64)-F23</f>
        <v>8999000.7680756636</v>
      </c>
      <c r="G24" s="108"/>
      <c r="H24" s="108"/>
      <c r="I24" s="108"/>
      <c r="J24" s="108"/>
      <c r="K24" s="108"/>
      <c r="L24" s="109">
        <f t="shared" si="17"/>
        <v>27231461.853264462</v>
      </c>
      <c r="M24" s="134">
        <f>70000000-L24</f>
        <v>42768538.146735534</v>
      </c>
    </row>
    <row r="25" spans="1:13" ht="12" customHeight="1">
      <c r="A25" s="113" t="s">
        <v>95</v>
      </c>
      <c r="B25" s="114"/>
      <c r="C25" s="114"/>
      <c r="D25" s="114"/>
      <c r="E25" s="114"/>
      <c r="F25" s="114">
        <f>SUM(Náklady!G44:G47)*0.35</f>
        <v>9660</v>
      </c>
      <c r="G25" s="114">
        <f>SUM(Náklady!H44:H47,Náklady!H51:H57,Náklady!H62:H63)*0.35</f>
        <v>3175500.3430867963</v>
      </c>
      <c r="H25" s="114">
        <f>SUM(Náklady!I44:I47,Náklady!I51:I57,Náklady!I62:I63)*0.35</f>
        <v>3187630.0493794004</v>
      </c>
      <c r="I25" s="114">
        <f>SUM(Náklady!J44:J47,Náklady!J51:J57,Náklady!J62:J63)*0.35</f>
        <v>3239889.2468607831</v>
      </c>
      <c r="J25" s="114">
        <f>SUM(Náklady!K44:K47,Náklady!K51:K57,Náklady!K62:K63)*0.35</f>
        <v>3313792.0522666061</v>
      </c>
      <c r="K25" s="114">
        <f>SUM(Náklady!L44:L47,Náklady!L51:L57,Náklady!L62:L63)*0.35</f>
        <v>3327046.5098346048</v>
      </c>
      <c r="L25" s="115">
        <f t="shared" si="17"/>
        <v>16253518.201428192</v>
      </c>
    </row>
    <row r="26" spans="1:13" ht="12" customHeight="1">
      <c r="A26" s="110" t="s">
        <v>96</v>
      </c>
      <c r="B26" s="111"/>
      <c r="C26" s="111"/>
      <c r="D26" s="111"/>
      <c r="E26" s="111"/>
      <c r="F26" s="111"/>
      <c r="G26" s="111">
        <f>SUM(Náklady!H44:H47,Náklady!H51:H57,Náklady!H62:H63)*0.65+SUM(Náklady!H58,Náklady!H61,Náklady!H64)-G23</f>
        <v>5103446.9057783373</v>
      </c>
      <c r="H26" s="111">
        <f>SUM(Náklady!I44:I47,Náklady!I51:I57,Náklady!I62:I63)*0.65+SUM(Náklady!I58,Náklady!I61,Náklady!I64)-H23</f>
        <v>5125973.5031788871</v>
      </c>
      <c r="I26" s="111">
        <f>SUM(Náklady!J44:J47,Náklady!J51:J57,Náklady!J62:J63)*0.65+SUM(Náklady!J58,Náklady!J61,Náklady!J64)-I23</f>
        <v>5223026.2985014552</v>
      </c>
      <c r="J26" s="111">
        <f>SUM(Náklady!K44:K47,Náklady!K51:K57,Náklady!K62:K63)*0.65+SUM(Náklady!K58,Náklady!K61,Náklady!K64)-J23</f>
        <v>5360274.3656836981</v>
      </c>
      <c r="K26" s="111">
        <f>SUM(Náklady!L44:L47,Náklady!L51:L57,Náklady!L62:L63)*0.65+SUM(Náklady!L58,Náklady!L61,Náklady!L64)-K23</f>
        <v>5384889.7868814096</v>
      </c>
      <c r="L26" s="112">
        <f t="shared" si="17"/>
        <v>26197610.860023785</v>
      </c>
    </row>
    <row r="27" spans="1:13" ht="12" customHeight="1">
      <c r="A27" s="116" t="s">
        <v>488</v>
      </c>
      <c r="B27" s="117">
        <f>SUM(Náklady!C66:C66)+500000</f>
        <v>500000</v>
      </c>
      <c r="C27" s="117">
        <f>SUM(Náklady!D66:D66)+500000</f>
        <v>753000</v>
      </c>
      <c r="D27" s="117">
        <f>SUM(Náklady!E66:E66)</f>
        <v>455000</v>
      </c>
      <c r="E27" s="117">
        <f>SUM(Náklady!F66:F66)</f>
        <v>750000</v>
      </c>
      <c r="F27" s="117">
        <f>SUM(Náklady!G66:G66)</f>
        <v>990000</v>
      </c>
      <c r="G27" s="117">
        <f>SUM(Náklady!H66:H66)</f>
        <v>990000</v>
      </c>
      <c r="H27" s="117">
        <f>SUM(Náklady!I66:I66)</f>
        <v>990000</v>
      </c>
      <c r="I27" s="117">
        <f>SUM(Náklady!J66:J66)</f>
        <v>990000</v>
      </c>
      <c r="J27" s="117">
        <f>SUM(Náklady!K66:K66)</f>
        <v>990000</v>
      </c>
      <c r="K27" s="117">
        <f>SUM(Náklady!L66:L66)</f>
        <v>990000</v>
      </c>
      <c r="L27" s="118">
        <f t="shared" si="17"/>
        <v>8398000</v>
      </c>
    </row>
    <row r="28" spans="1:13" ht="12" customHeight="1">
      <c r="A28" s="33" t="s">
        <v>196</v>
      </c>
      <c r="B28" s="36">
        <f>SUM(B29:B30)-B31-SUM(B32:B35)</f>
        <v>0</v>
      </c>
      <c r="C28" s="36">
        <f t="shared" ref="C28:K28" si="18">SUM(C29:C30)-C31-SUM(C32:C35)</f>
        <v>0</v>
      </c>
      <c r="D28" s="36" t="e">
        <f t="shared" si="18"/>
        <v>#REF!</v>
      </c>
      <c r="E28" s="36" t="e">
        <f t="shared" si="18"/>
        <v>#REF!</v>
      </c>
      <c r="F28" s="36">
        <f t="shared" si="18"/>
        <v>56130000.000000015</v>
      </c>
      <c r="G28" s="36">
        <f t="shared" si="18"/>
        <v>0</v>
      </c>
      <c r="H28" s="36">
        <f t="shared" si="18"/>
        <v>0</v>
      </c>
      <c r="I28" s="36">
        <f t="shared" si="18"/>
        <v>0</v>
      </c>
      <c r="J28" s="36">
        <f t="shared" si="18"/>
        <v>0</v>
      </c>
      <c r="K28" s="36">
        <f t="shared" si="18"/>
        <v>0</v>
      </c>
      <c r="L28" s="37" t="e">
        <f>SUM(L29:L30)-L31-SUM(L32:L35)</f>
        <v>#REF!</v>
      </c>
    </row>
    <row r="29" spans="1:13" ht="12" customHeight="1">
      <c r="A29" s="5" t="s">
        <v>489</v>
      </c>
      <c r="B29" s="25">
        <f>SUM(Náklady!C71,Náklady!C72,Náklady!C82,Náklady!C84)</f>
        <v>0</v>
      </c>
      <c r="C29" s="25">
        <f>SUM(Náklady!D71,Náklady!D72,Náklady!D82,Náklady!D84)</f>
        <v>0</v>
      </c>
      <c r="D29" s="25" t="e">
        <f>SUM(Náklady!#REF!,Náklady!#REF!,Náklady!E82,Náklady!F84)</f>
        <v>#REF!</v>
      </c>
      <c r="E29" s="25" t="e">
        <f>SUM(Náklady!E71,Náklady!E72,Náklady!#REF!,Náklady!#REF!)</f>
        <v>#REF!</v>
      </c>
      <c r="F29" s="25">
        <f>SUM(Náklady!F71,Náklady!F72,Náklady!G82,Náklady!G84)</f>
        <v>56130000</v>
      </c>
      <c r="G29" s="25">
        <f>SUM(Náklady!H71,Náklady!H72,Náklady!H82,Náklady!H84)</f>
        <v>0</v>
      </c>
      <c r="H29" s="25">
        <f>SUM(Náklady!I71,Náklady!I72,Náklady!I82,Náklady!I84)</f>
        <v>0</v>
      </c>
      <c r="I29" s="25">
        <f>SUM(Náklady!J71,Náklady!J72,Náklady!J82,Náklady!J84)</f>
        <v>0</v>
      </c>
      <c r="J29" s="25">
        <f>SUM(Náklady!K71,Náklady!K72,Náklady!K82,Náklady!K84)</f>
        <v>0</v>
      </c>
      <c r="K29" s="25">
        <f>SUM(Náklady!L71,Náklady!L72,Náklady!L82,Náklady!L84)</f>
        <v>0</v>
      </c>
      <c r="L29" s="35" t="e">
        <f t="shared" ref="L29:L35" si="19">SUM(B29:K29)</f>
        <v>#REF!</v>
      </c>
    </row>
    <row r="30" spans="1:13" ht="12" customHeight="1">
      <c r="A30" s="5" t="s">
        <v>486</v>
      </c>
      <c r="B30" s="25">
        <f>SUM(Náklady!C73:C74,Náklady!C78,Náklady!C83,Náklady!C85,Náklady!C88:C91,Náklady!C93:C93)</f>
        <v>378073.20000000007</v>
      </c>
      <c r="C30" s="25">
        <f>SUM(Náklady!D73:D74,Náklady!D78,Náklady!D83,Náklady!D85,Náklady!D88:D91,Náklady!D93:D93)</f>
        <v>1950182.2000000002</v>
      </c>
      <c r="D30" s="25">
        <f>SUM(Náklady!E73:E74,Náklady!E78,Náklady!E83,Náklady!E85,Náklady!E88:E91,Náklady!E93:E93)</f>
        <v>3655339.1648000004</v>
      </c>
      <c r="E30" s="25">
        <f>SUM(Náklady!F73:F74,Náklady!F78,Náklady!F83,Náklady!F85,Náklady!F88:F91,Náklady!F93:F93)</f>
        <v>13226802.719112001</v>
      </c>
      <c r="F30" s="25">
        <f>SUM(Náklady!G73:G74,Náklady!G78,Náklady!G83,Náklady!G85,Náklady!G88:G91,Náklady!G93:G93)</f>
        <v>23994965.709648602</v>
      </c>
      <c r="G30" s="25">
        <f>SUM(Náklady!H73:H74,Náklady!H78,Náklady!H83,Náklady!H85,Náklady!H88:H91,Náklady!H93:H93)</f>
        <v>24135161.112938061</v>
      </c>
      <c r="H30" s="25">
        <f>SUM(Náklady!I73:I74,Náklady!I78,Náklady!I83,Náklady!I85,Náklady!I88:I91,Náklady!I93:I93)</f>
        <v>24279562.378326204</v>
      </c>
      <c r="I30" s="25">
        <f>SUM(Náklady!J73:J74,Náklady!J78,Náklady!J83,Náklady!J85,Náklady!J88:J91,Náklady!J93:J93)</f>
        <v>24428295.681675989</v>
      </c>
      <c r="J30" s="25">
        <f>SUM(Náklady!K73:K74,Náklady!K78,Náklady!K83,Náklady!K85,Náklady!K88:K91,Náklady!K93:K93)</f>
        <v>24773730.984126266</v>
      </c>
      <c r="K30" s="25">
        <f>SUM(Náklady!L73:L74,Náklady!L78,Náklady!L83,Náklady!L85,Náklady!L88:L91,Náklady!L93:L93)</f>
        <v>26611282.145650055</v>
      </c>
      <c r="L30" s="35">
        <f t="shared" si="19"/>
        <v>167433395.29627717</v>
      </c>
    </row>
    <row r="31" spans="1:13" ht="12" customHeight="1">
      <c r="A31" s="5" t="s">
        <v>487</v>
      </c>
      <c r="B31" s="25">
        <f>Výnosy!B30</f>
        <v>0</v>
      </c>
      <c r="C31" s="25">
        <f>Výnosy!C30</f>
        <v>0</v>
      </c>
      <c r="D31" s="25">
        <f>Výnosy!D30</f>
        <v>0</v>
      </c>
      <c r="E31" s="25">
        <f>Výnosy!E30</f>
        <v>0</v>
      </c>
      <c r="F31" s="25">
        <f>Výnosy!F30</f>
        <v>191552.08319999996</v>
      </c>
      <c r="G31" s="25">
        <f>Výnosy!G30</f>
        <v>3084286.2911999999</v>
      </c>
      <c r="H31" s="25">
        <f>Výnosy!H30</f>
        <v>3084286.2911999999</v>
      </c>
      <c r="I31" s="25">
        <f>Výnosy!I30</f>
        <v>3084286.2911999999</v>
      </c>
      <c r="J31" s="25">
        <f>Výnosy!J30</f>
        <v>3084286.2911999999</v>
      </c>
      <c r="K31" s="25">
        <f>Výnosy!K30</f>
        <v>3084286.2911999999</v>
      </c>
      <c r="L31" s="35">
        <f>SUM(B31:K31)</f>
        <v>15612983.5392</v>
      </c>
    </row>
    <row r="32" spans="1:13" ht="12" customHeight="1">
      <c r="A32" s="107" t="s">
        <v>94</v>
      </c>
      <c r="B32" s="108">
        <f>SUM(Náklady!C71:C74,Náklady!C78:C85,Náklady!C88:C91)-B31-500000</f>
        <v>-121926.79999999993</v>
      </c>
      <c r="C32" s="108">
        <f>SUM(Náklady!D71:D74,Náklady!D78:D85,Náklady!D88:D91)-C31-500000</f>
        <v>1197182.2000000002</v>
      </c>
      <c r="D32" s="108">
        <f>SUM(Náklady!E71:E74,Náklady!E78:E85,Náklady!E88:E91)-D31</f>
        <v>9746339.1648000013</v>
      </c>
      <c r="E32" s="108">
        <f>SUM(Náklady!F71:F74,Náklady!F78:F85,Náklady!F88:F91)-E31</f>
        <v>68606802.719112009</v>
      </c>
      <c r="F32" s="108">
        <f>SUM(Náklady!G71:G74)*0.65+SUM(Náklady!G78:G85,Náklady!G88:G91)-F31</f>
        <v>22803753.626448601</v>
      </c>
      <c r="G32" s="108"/>
      <c r="H32" s="108"/>
      <c r="I32" s="108"/>
      <c r="J32" s="108"/>
      <c r="K32" s="108"/>
      <c r="L32" s="109">
        <f t="shared" si="19"/>
        <v>102232150.9103606</v>
      </c>
      <c r="M32" s="134">
        <f>70000000-L32</f>
        <v>-32232150.910360605</v>
      </c>
    </row>
    <row r="33" spans="1:13" ht="12" customHeight="1">
      <c r="A33" s="113" t="s">
        <v>95</v>
      </c>
      <c r="B33" s="114"/>
      <c r="C33" s="114"/>
      <c r="D33" s="114"/>
      <c r="E33" s="114"/>
      <c r="F33" s="114">
        <f>SUM(Náklady!G71:G74)*0.35</f>
        <v>9660</v>
      </c>
      <c r="G33" s="114">
        <f>SUM(Náklady!H71:H74,Náklady!H78:H84,Náklady!H89:H90)*0.35</f>
        <v>8060486.3895283211</v>
      </c>
      <c r="H33" s="114">
        <f>SUM(Náklady!I71:I74,Náklady!I78:I84,Náklady!I89:I90)*0.35</f>
        <v>8111026.8324141707</v>
      </c>
      <c r="I33" s="114">
        <f>SUM(Náklady!J71:J74,Náklady!J78:J84,Náklady!J89:J90)*0.35</f>
        <v>8163083.4885865953</v>
      </c>
      <c r="J33" s="114">
        <f>SUM(Náklady!K71:K74,Náklady!K78:K84,Náklady!K89:K90)*0.35</f>
        <v>8283985.8444441929</v>
      </c>
      <c r="K33" s="114">
        <f>SUM(Náklady!L71:L74,Náklady!L78:L84,Náklady!L89:L90)*0.35</f>
        <v>8927128.750977518</v>
      </c>
      <c r="L33" s="115">
        <f t="shared" si="19"/>
        <v>41555371.305950798</v>
      </c>
    </row>
    <row r="34" spans="1:13" ht="12" customHeight="1">
      <c r="A34" s="110" t="s">
        <v>96</v>
      </c>
      <c r="B34" s="111"/>
      <c r="C34" s="111"/>
      <c r="D34" s="111"/>
      <c r="E34" s="111"/>
      <c r="F34" s="111"/>
      <c r="G34" s="111">
        <f>SUM(Náklady!H71:H74,Náklady!H78:H84,Náklady!H89:H90)*0.65+SUM(Náklady!H85,Náklady!H88,Náklady!H91)-G31</f>
        <v>12000388.432209741</v>
      </c>
      <c r="H34" s="111">
        <f>SUM(Náklady!I71:I74,Náklady!I78:I84,Náklady!I89:I90)*0.65+SUM(Náklady!I85,Náklady!I88,Náklady!I91)-H31</f>
        <v>12094249.254712034</v>
      </c>
      <c r="I34" s="111">
        <f>SUM(Náklady!J71:J74,Náklady!J78:J84,Náklady!J89:J90)*0.65+SUM(Náklady!J85,Náklady!J88,Náklady!J91)-I31</f>
        <v>12190925.901889395</v>
      </c>
      <c r="J34" s="111">
        <f>SUM(Náklady!K71:K74,Náklady!K78:K84,Náklady!K89:K90)*0.65+SUM(Náklady!K85,Náklady!K88,Náklady!K91)-J31</f>
        <v>12415458.848482072</v>
      </c>
      <c r="K34" s="111">
        <f>SUM(Náklady!L71:L74,Náklady!L78:L84,Náklady!L89:L90)*0.65+SUM(Náklady!L85,Náklady!L88,Náklady!L91)-K31</f>
        <v>13609867.103472538</v>
      </c>
      <c r="L34" s="112">
        <f t="shared" si="19"/>
        <v>62310889.540765785</v>
      </c>
    </row>
    <row r="35" spans="1:13" ht="12" customHeight="1">
      <c r="A35" s="116" t="s">
        <v>488</v>
      </c>
      <c r="B35" s="117">
        <f>SUM(Náklady!C93:C93)+500000</f>
        <v>500000</v>
      </c>
      <c r="C35" s="117">
        <f>SUM(Náklady!D93:D93)+500000</f>
        <v>753000</v>
      </c>
      <c r="D35" s="117">
        <f>SUM(Náklady!E93:E93)</f>
        <v>455000</v>
      </c>
      <c r="E35" s="117">
        <f>SUM(Náklady!F93:F93)</f>
        <v>750000</v>
      </c>
      <c r="F35" s="117">
        <f>SUM(Náklady!G93:G93)</f>
        <v>990000</v>
      </c>
      <c r="G35" s="117">
        <f>SUM(Náklady!H93:H93)</f>
        <v>990000</v>
      </c>
      <c r="H35" s="117">
        <f>SUM(Náklady!I93:I93)</f>
        <v>990000</v>
      </c>
      <c r="I35" s="117">
        <f>SUM(Náklady!J93:J93)</f>
        <v>990000</v>
      </c>
      <c r="J35" s="117">
        <f>SUM(Náklady!K93:K93)</f>
        <v>990000</v>
      </c>
      <c r="K35" s="117">
        <f>SUM(Náklady!L93:L93)</f>
        <v>990000</v>
      </c>
      <c r="L35" s="118">
        <f t="shared" si="19"/>
        <v>8398000</v>
      </c>
    </row>
    <row r="36" spans="1:13" ht="12" customHeight="1">
      <c r="A36" s="33" t="s">
        <v>201</v>
      </c>
      <c r="B36" s="36">
        <f>SUM(B37:B38)-B39-SUM(B40:B43)</f>
        <v>0</v>
      </c>
      <c r="C36" s="36">
        <f t="shared" ref="C36:K36" si="20">SUM(C37:C38)-C39-SUM(C40:C43)</f>
        <v>0</v>
      </c>
      <c r="D36" s="36" t="e">
        <f t="shared" si="20"/>
        <v>#REF!</v>
      </c>
      <c r="E36" s="36" t="e">
        <f t="shared" si="20"/>
        <v>#REF!</v>
      </c>
      <c r="F36" s="36">
        <f t="shared" si="20"/>
        <v>34750800</v>
      </c>
      <c r="G36" s="36">
        <f t="shared" si="20"/>
        <v>0</v>
      </c>
      <c r="H36" s="36">
        <f t="shared" si="20"/>
        <v>0</v>
      </c>
      <c r="I36" s="36">
        <f t="shared" si="20"/>
        <v>0</v>
      </c>
      <c r="J36" s="36">
        <f t="shared" si="20"/>
        <v>0</v>
      </c>
      <c r="K36" s="36">
        <f t="shared" si="20"/>
        <v>0</v>
      </c>
      <c r="L36" s="37" t="e">
        <f>SUM(L37:L38)-L39-SUM(L40:L43)</f>
        <v>#REF!</v>
      </c>
    </row>
    <row r="37" spans="1:13" ht="12" customHeight="1">
      <c r="A37" s="5" t="s">
        <v>489</v>
      </c>
      <c r="B37" s="25">
        <f>SUM(Náklady!C98,Náklady!C99,Náklady!C109,Náklady!C111)</f>
        <v>0</v>
      </c>
      <c r="C37" s="25">
        <f>SUM(Náklady!D98,Náklady!D99,Náklady!D109,Náklady!D111)</f>
        <v>0</v>
      </c>
      <c r="D37" s="25" t="e">
        <f>SUM(Náklady!#REF!,Náklady!#REF!,Náklady!F109,Náklady!F111)</f>
        <v>#REF!</v>
      </c>
      <c r="E37" s="25" t="e">
        <f>SUM(Náklady!E98,Náklady!E99,Náklady!#REF!,Náklady!#REF!)</f>
        <v>#REF!</v>
      </c>
      <c r="F37" s="25">
        <f>SUM(Náklady!F98,Náklady!F99,Náklady!G109,Náklady!G111)</f>
        <v>34750800</v>
      </c>
      <c r="G37" s="25">
        <f>SUM(Náklady!H98,Náklady!H99,Náklady!H109,Náklady!H111)</f>
        <v>0</v>
      </c>
      <c r="H37" s="25">
        <f>SUM(Náklady!I98,Náklady!I99,Náklady!I109,Náklady!I111)</f>
        <v>0</v>
      </c>
      <c r="I37" s="25">
        <f>SUM(Náklady!J98,Náklady!J99,Náklady!J109,Náklady!J111)</f>
        <v>0</v>
      </c>
      <c r="J37" s="25">
        <f>SUM(Náklady!K98,Náklady!K99,Náklady!K109,Náklady!K111)</f>
        <v>0</v>
      </c>
      <c r="K37" s="25">
        <f>SUM(Náklady!L98,Náklady!L99,Náklady!L109,Náklady!L111)</f>
        <v>0</v>
      </c>
      <c r="L37" s="35" t="e">
        <f t="shared" ref="L37:L43" si="21">SUM(B37:K37)</f>
        <v>#REF!</v>
      </c>
    </row>
    <row r="38" spans="1:13" ht="12" customHeight="1">
      <c r="A38" s="5" t="s">
        <v>486</v>
      </c>
      <c r="B38" s="25">
        <f>SUM(Náklady!C100:C101,Náklady!C105,Náklady!C110,Náklady!C112,Náklady!C115:C118,Náklady!C120:C120)</f>
        <v>378073.20000000007</v>
      </c>
      <c r="C38" s="25">
        <f>SUM(Náklady!D100:D101,Náklady!D105,Náklady!D110,Náklady!D112,Náklady!D115:D118,Náklady!D120:D120)</f>
        <v>1950182.2000000002</v>
      </c>
      <c r="D38" s="25">
        <f>SUM(Náklady!E100:E101,Náklady!E105,Náklady!E110,Náklady!E112,Náklady!E115:E118,Náklady!E120:E120)</f>
        <v>3665367.6128000002</v>
      </c>
      <c r="E38" s="25">
        <f>SUM(Náklady!F100:F101,Náklady!F105,Náklady!F110,Náklady!F112,Náklady!F115:F118,Náklady!F120:F120)</f>
        <v>14570255.176128</v>
      </c>
      <c r="F38" s="25">
        <f>SUM(Náklady!G100:G101,Náklady!G105,Náklady!G110,Náklady!G112,Náklady!G115:G118,Náklady!G120:G120)</f>
        <v>26678883.054677784</v>
      </c>
      <c r="G38" s="25">
        <f>SUM(Náklady!H100:H101,Náklady!H105,Náklady!H110,Náklady!H112,Náklady!H115:H118,Náklady!H120:H120)</f>
        <v>26834032.634318117</v>
      </c>
      <c r="H38" s="25">
        <f>SUM(Náklady!I100:I101,Náklady!I105,Náklady!I110,Náklady!I112,Náklady!I115:I118,Náklady!I120:I120)</f>
        <v>26993836.701347664</v>
      </c>
      <c r="I38" s="25">
        <f>SUM(Náklady!J100:J101,Náklady!J105,Náklady!J110,Náklady!J112,Náklady!J115:J118,Náklady!J120:J120)</f>
        <v>27272050.89038809</v>
      </c>
      <c r="J38" s="25">
        <f>SUM(Náklady!K100:K101,Náklady!K105,Náklady!K110,Náklady!K112,Náklady!K115:K118,Náklady!K120:K120)</f>
        <v>28479971.025099732</v>
      </c>
      <c r="K38" s="25">
        <f>SUM(Náklady!L100:L101,Náklady!L105,Náklady!L110,Náklady!L112,Náklady!L115:L118,Náklady!L120:L120)</f>
        <v>28654593.243852727</v>
      </c>
      <c r="L38" s="35">
        <f t="shared" si="21"/>
        <v>185477245.73861212</v>
      </c>
    </row>
    <row r="39" spans="1:13" ht="12" customHeight="1">
      <c r="A39" s="5" t="s">
        <v>487</v>
      </c>
      <c r="B39" s="25">
        <f>Výnosy!B39</f>
        <v>0</v>
      </c>
      <c r="C39" s="25">
        <f>Výnosy!C39</f>
        <v>0</v>
      </c>
      <c r="D39" s="25">
        <f>Výnosy!D39</f>
        <v>0</v>
      </c>
      <c r="E39" s="25">
        <f>Výnosy!E39</f>
        <v>0</v>
      </c>
      <c r="F39" s="25">
        <f>Výnosy!F39</f>
        <v>145750.45823999998</v>
      </c>
      <c r="G39" s="25">
        <f>Výnosy!G39</f>
        <v>3199192.1222400004</v>
      </c>
      <c r="H39" s="25">
        <f>Výnosy!H39</f>
        <v>3199192.1222400004</v>
      </c>
      <c r="I39" s="25">
        <f>Výnosy!I39</f>
        <v>3199192.1222400004</v>
      </c>
      <c r="J39" s="25">
        <f>Výnosy!J39</f>
        <v>3199192.1222400004</v>
      </c>
      <c r="K39" s="25">
        <f>Výnosy!K39</f>
        <v>3199192.1222400004</v>
      </c>
      <c r="L39" s="35">
        <f>SUM(B39:K39)</f>
        <v>16141711.06944</v>
      </c>
    </row>
    <row r="40" spans="1:13" ht="12" customHeight="1">
      <c r="A40" s="107" t="s">
        <v>94</v>
      </c>
      <c r="B40" s="108">
        <f>SUM(Náklady!C98:C101,Náklady!C105:C112,Náklady!C115:C118)-B39-500000</f>
        <v>-121926.79999999993</v>
      </c>
      <c r="C40" s="108">
        <f>SUM(Náklady!D98:D101,Náklady!D105:D112,Náklady!D115:D118)-C39-500000</f>
        <v>1197182.2000000002</v>
      </c>
      <c r="D40" s="108">
        <f>SUM(Náklady!E98:E101,Náklady!E105:E112,Náklady!E115:E118)-D39</f>
        <v>7135567.6128000002</v>
      </c>
      <c r="E40" s="108">
        <f>SUM(Náklady!F98:F101,Náklady!F105:F112,Náklady!F115:F118)-E39</f>
        <v>48571055.176128</v>
      </c>
      <c r="F40" s="108">
        <f>SUM(Náklady!G98:G101)*0.65+SUM(Náklady!G105:G112,Náklady!G115:G118)-F39</f>
        <v>25533472.596437786</v>
      </c>
      <c r="G40" s="108"/>
      <c r="H40" s="108"/>
      <c r="I40" s="108"/>
      <c r="J40" s="108"/>
      <c r="K40" s="108"/>
      <c r="L40" s="109">
        <f t="shared" si="21"/>
        <v>82315350.78536579</v>
      </c>
      <c r="M40" s="134">
        <f>70000000-L40</f>
        <v>-12315350.78536579</v>
      </c>
    </row>
    <row r="41" spans="1:13" ht="12" customHeight="1">
      <c r="A41" s="113" t="s">
        <v>95</v>
      </c>
      <c r="B41" s="114"/>
      <c r="C41" s="114"/>
      <c r="D41" s="114"/>
      <c r="E41" s="114"/>
      <c r="F41" s="114">
        <f>SUM(Náklady!G98:G101)*0.35</f>
        <v>9660</v>
      </c>
      <c r="G41" s="114">
        <f>SUM(Náklady!H98:H101,Náklady!H105:H111,Náklady!H116:H117)*0.35</f>
        <v>9005091.42201134</v>
      </c>
      <c r="H41" s="114">
        <f>SUM(Náklady!I98:I101,Náklady!I105:I111,Náklady!I116:I117)*0.35</f>
        <v>9061022.845471682</v>
      </c>
      <c r="I41" s="114">
        <f>SUM(Náklady!J98:J101,Náklady!J105:J111,Náklady!J116:J117)*0.35</f>
        <v>9158397.8116358314</v>
      </c>
      <c r="J41" s="114">
        <f>SUM(Náklady!K98:K101,Náklady!K105:K111,Náklady!K116:K117)*0.35</f>
        <v>9581169.8587849047</v>
      </c>
      <c r="K41" s="114">
        <f>SUM(Náklady!L98:L101,Náklady!L105:L111,Náklady!L116:L117)*0.35</f>
        <v>9642287.6353484541</v>
      </c>
      <c r="L41" s="115">
        <f t="shared" si="21"/>
        <v>46457629.573252216</v>
      </c>
    </row>
    <row r="42" spans="1:13" ht="12" customHeight="1">
      <c r="A42" s="110" t="s">
        <v>96</v>
      </c>
      <c r="B42" s="111"/>
      <c r="C42" s="111"/>
      <c r="D42" s="111"/>
      <c r="E42" s="111"/>
      <c r="F42" s="111"/>
      <c r="G42" s="111">
        <f>SUM(Náklady!H98:H101,Náklady!H105:H111,Náklady!H116:H117)*0.65+SUM(Náklady!H112,Náklady!H115,Náklady!H118)-G39</f>
        <v>13639749.090066776</v>
      </c>
      <c r="H42" s="111">
        <f>SUM(Náklady!I98:I101,Náklady!I105:I111,Náklady!I116:I117)*0.65+SUM(Náklady!I112,Náklady!I115,Náklady!I118)-H39</f>
        <v>13743621.733635984</v>
      </c>
      <c r="I42" s="111">
        <f>SUM(Náklady!J98:J101,Náklady!J105:J111,Náklady!J116:J117)*0.65+SUM(Náklady!J112,Náklady!J115,Náklady!J118)-I39</f>
        <v>13924460.956512261</v>
      </c>
      <c r="J42" s="111">
        <f>SUM(Náklady!K98:K101,Náklady!K105:K111,Náklady!K116:K117)*0.65+SUM(Náklady!K112,Náklady!K115,Náklady!K118)-J39</f>
        <v>14709609.044074826</v>
      </c>
      <c r="K42" s="111">
        <f>SUM(Náklady!L98:L101,Náklady!L105:L111,Náklady!L116:L117)*0.65+SUM(Náklady!L112,Náklady!L115,Náklady!L118)-K39</f>
        <v>14823113.486264274</v>
      </c>
      <c r="L42" s="112">
        <f t="shared" si="21"/>
        <v>70840554.310554117</v>
      </c>
    </row>
    <row r="43" spans="1:13" ht="12" customHeight="1">
      <c r="A43" s="116" t="s">
        <v>488</v>
      </c>
      <c r="B43" s="117">
        <f>SUM(Náklady!C120:C120)+500000</f>
        <v>500000</v>
      </c>
      <c r="C43" s="117">
        <f>SUM(Náklady!D120:D120)+500000</f>
        <v>753000</v>
      </c>
      <c r="D43" s="117">
        <f>SUM(Náklady!E120:E120)</f>
        <v>455000</v>
      </c>
      <c r="E43" s="117">
        <f>SUM(Náklady!F120:F120)</f>
        <v>750000</v>
      </c>
      <c r="F43" s="117">
        <f>SUM(Náklady!G120:G120)</f>
        <v>990000</v>
      </c>
      <c r="G43" s="117">
        <f>SUM(Náklady!H120:H120)</f>
        <v>990000</v>
      </c>
      <c r="H43" s="117">
        <f>SUM(Náklady!I120:I120)</f>
        <v>990000</v>
      </c>
      <c r="I43" s="117">
        <f>SUM(Náklady!J120:J120)</f>
        <v>990000</v>
      </c>
      <c r="J43" s="117">
        <f>SUM(Náklady!K120:K120)</f>
        <v>990000</v>
      </c>
      <c r="K43" s="117">
        <f>SUM(Náklady!L120:L120)</f>
        <v>990000</v>
      </c>
      <c r="L43" s="118">
        <f t="shared" si="21"/>
        <v>8398000</v>
      </c>
    </row>
    <row r="44" spans="1:13" ht="12" customHeight="1">
      <c r="A44" s="33" t="s">
        <v>206</v>
      </c>
      <c r="B44" s="36">
        <f>SUM(B45:B46)-B47-SUM(B48:B51)</f>
        <v>0</v>
      </c>
      <c r="C44" s="36">
        <f t="shared" ref="C44:K44" si="22">SUM(C45:C46)-C47-SUM(C48:C51)</f>
        <v>0</v>
      </c>
      <c r="D44" s="36" t="e">
        <f t="shared" si="22"/>
        <v>#REF!</v>
      </c>
      <c r="E44" s="36" t="e">
        <f t="shared" si="22"/>
        <v>#REF!</v>
      </c>
      <c r="F44" s="36" t="e">
        <f t="shared" si="22"/>
        <v>#REF!</v>
      </c>
      <c r="G44" s="36">
        <f t="shared" si="22"/>
        <v>0</v>
      </c>
      <c r="H44" s="36">
        <f t="shared" si="22"/>
        <v>0</v>
      </c>
      <c r="I44" s="36">
        <f t="shared" si="22"/>
        <v>0</v>
      </c>
      <c r="J44" s="36">
        <f t="shared" si="22"/>
        <v>0</v>
      </c>
      <c r="K44" s="36">
        <f t="shared" si="22"/>
        <v>0</v>
      </c>
      <c r="L44" s="37" t="e">
        <f>SUM(L45:L46)-L47-SUM(L48:L51)</f>
        <v>#REF!</v>
      </c>
    </row>
    <row r="45" spans="1:13" ht="12" customHeight="1">
      <c r="A45" s="5" t="s">
        <v>489</v>
      </c>
      <c r="B45" s="25">
        <f>SUM(Náklady!C125:C126,Náklady!C133:C136,Náklady!C138)</f>
        <v>0</v>
      </c>
      <c r="C45" s="25">
        <f>SUM(Náklady!D125,Náklady!D126,Náklady!E133,Náklady!D136,Náklady!D138)</f>
        <v>0</v>
      </c>
      <c r="D45" s="25" t="e">
        <f>SUM(Náklady!#REF!,Náklady!#REF!,Náklady!F133,Náklady!E136,Náklady!F138)</f>
        <v>#REF!</v>
      </c>
      <c r="E45" s="25" t="e">
        <f>SUM(Náklady!E125,Náklady!E126,Náklady!#REF!,Náklady!#REF!,Náklady!#REF!)</f>
        <v>#REF!</v>
      </c>
      <c r="F45" s="25" t="e">
        <f>SUM(Náklady!F125,Náklady!F126,Náklady!#REF!,Náklady!F136,Náklady!G138)</f>
        <v>#REF!</v>
      </c>
      <c r="G45" s="25">
        <f>SUM(Náklady!H125,Náklady!H126,Náklady!H133,Náklady!H136,Náklady!H138)</f>
        <v>0</v>
      </c>
      <c r="H45" s="25">
        <f>SUM(Náklady!I125,Náklady!I126,Náklady!I133,Náklady!I136,Náklady!I138)</f>
        <v>0</v>
      </c>
      <c r="I45" s="25">
        <f>SUM(Náklady!J125,Náklady!J126,Náklady!J133,Náklady!J136,Náklady!J138)</f>
        <v>0</v>
      </c>
      <c r="J45" s="25">
        <f>SUM(Náklady!K125,Náklady!K126,Náklady!K133,Náklady!K136,Náklady!K138)</f>
        <v>0</v>
      </c>
      <c r="K45" s="25">
        <f>SUM(Náklady!L125,Náklady!L126,Náklady!L133,Náklady!L136,Náklady!L138)</f>
        <v>0</v>
      </c>
      <c r="L45" s="35" t="e">
        <f t="shared" ref="L45:L51" si="23">SUM(B45:K45)</f>
        <v>#REF!</v>
      </c>
    </row>
    <row r="46" spans="1:13" ht="12" customHeight="1">
      <c r="A46" s="5" t="s">
        <v>486</v>
      </c>
      <c r="B46" s="25">
        <f>SUM(Náklady!C127:C128,Náklady!C137,Náklady!C139:C140,Náklady!C142:C145,Náklady!C147:C147)</f>
        <v>267351.60000000003</v>
      </c>
      <c r="C46" s="25">
        <f>SUM(Náklady!D127:D128,Náklady!D137,Náklady!D139:D140,Náklady!D142:D145,Náklady!D147:D147)</f>
        <v>1435830.8320000002</v>
      </c>
      <c r="D46" s="25">
        <f>SUM(Náklady!E127:E128,Náklady!E137,Náklady!E139:E140,Náklady!E142:E145,Náklady!E147:E147)</f>
        <v>1512180.9089600001</v>
      </c>
      <c r="E46" s="25">
        <f>SUM(Náklady!F127:F128,Náklady!F137,Náklady!F139:F140,Náklady!F142:F145,Náklady!F147:F147)</f>
        <v>2597095.3602288002</v>
      </c>
      <c r="F46" s="25">
        <f>SUM(Náklady!G127:G128,Náklady!G137,Náklady!G139:G140,Náklady!G142:G145,Náklady!G147:G147)</f>
        <v>4423933.2137876647</v>
      </c>
      <c r="G46" s="25">
        <f>SUM(Náklady!H127:H128,Náklady!H137,Náklady!H139:H140,Náklady!H142:H145,Náklady!H147:H147)</f>
        <v>4457580.1105771344</v>
      </c>
      <c r="H46" s="25">
        <f>SUM(Náklady!I127:I128,Náklady!I137,Náklady!I139:I140,Náklady!I142:I145,Náklady!I147:I147)</f>
        <v>4492236.4142702883</v>
      </c>
      <c r="I46" s="25">
        <f>SUM(Náklady!J127:J128,Náklady!J137,Náklady!J139:J140,Náklady!J142:J145,Náklady!J147:J147)</f>
        <v>4527932.4070742372</v>
      </c>
      <c r="J46" s="25">
        <f>SUM(Náklady!K127:K128,Náklady!K137,Náklady!K139:K140,Náklady!K142:K145,Náklady!K147:K147)</f>
        <v>5406199.2796623036</v>
      </c>
      <c r="K46" s="25">
        <f>SUM(Náklady!L127:L128,Náklady!L137,Náklady!L139:L140,Náklady!L142:L145,Náklady!L147:L147)</f>
        <v>5444069.1584280133</v>
      </c>
      <c r="L46" s="35">
        <f t="shared" si="23"/>
        <v>34564409.284988441</v>
      </c>
    </row>
    <row r="47" spans="1:13" ht="12" customHeight="1">
      <c r="A47" s="5" t="s">
        <v>487</v>
      </c>
      <c r="B47" s="25">
        <f>Výnosy!B12</f>
        <v>0</v>
      </c>
      <c r="C47" s="25">
        <f>Výnosy!C12</f>
        <v>0</v>
      </c>
      <c r="D47" s="25">
        <f>Výnosy!D12</f>
        <v>0</v>
      </c>
      <c r="E47" s="25">
        <f>Výnosy!E12</f>
        <v>0</v>
      </c>
      <c r="F47" s="25">
        <f>Výnosy!F12</f>
        <v>862505.71200000006</v>
      </c>
      <c r="G47" s="25">
        <f>Výnosy!G12</f>
        <v>862505.71200000006</v>
      </c>
      <c r="H47" s="25">
        <f>Výnosy!H12</f>
        <v>862505.71200000006</v>
      </c>
      <c r="I47" s="25">
        <f>Výnosy!I12</f>
        <v>862505.71200000006</v>
      </c>
      <c r="J47" s="25">
        <f>Výnosy!J12</f>
        <v>862505.71200000006</v>
      </c>
      <c r="K47" s="25">
        <f>Výnosy!K12</f>
        <v>862505.71200000006</v>
      </c>
      <c r="L47" s="35">
        <f>SUM(B47:K47)</f>
        <v>5175034.2720000008</v>
      </c>
    </row>
    <row r="48" spans="1:13" ht="12" customHeight="1">
      <c r="A48" s="107" t="s">
        <v>94</v>
      </c>
      <c r="B48" s="108">
        <f>SUM(Náklady!C125:C128,Náklady!C133:C140,Náklady!C142:C145)-B47-500000</f>
        <v>-232648.39999999997</v>
      </c>
      <c r="C48" s="108">
        <f>SUM(Náklady!D125:D128,Náklady!D133:D140,Náklady!D142:D145)-C47-500000</f>
        <v>682830.83200000017</v>
      </c>
      <c r="D48" s="108">
        <f>SUM(Náklady!E125:E128,Náklady!E133:E140,Náklady!E142:E145)-D47</f>
        <v>1057180.9089600001</v>
      </c>
      <c r="E48" s="108">
        <f>SUM(Náklady!F125:F128,Náklady!F133:F140,Náklady!F142:F145)-E47</f>
        <v>38496647.307228789</v>
      </c>
      <c r="F48" s="108">
        <f>SUM(Náklady!G125:G128)*0.65+SUM(Náklady!G133:G140,Náklady!G142:G145)-F47</f>
        <v>2656297.5017876644</v>
      </c>
      <c r="G48" s="108"/>
      <c r="H48" s="108"/>
      <c r="I48" s="108"/>
      <c r="J48" s="108"/>
      <c r="K48" s="108"/>
      <c r="L48" s="109">
        <f t="shared" si="23"/>
        <v>42660308.149976455</v>
      </c>
      <c r="M48" s="134">
        <f>70000000-L48</f>
        <v>27339691.850023545</v>
      </c>
    </row>
    <row r="49" spans="1:13" ht="12" customHeight="1">
      <c r="A49" s="113" t="s">
        <v>95</v>
      </c>
      <c r="B49" s="114"/>
      <c r="C49" s="114"/>
      <c r="D49" s="114"/>
      <c r="E49" s="114"/>
      <c r="F49" s="114">
        <f>SUM(Náklady!G125:G128)*0.35</f>
        <v>53130</v>
      </c>
      <c r="G49" s="114">
        <f>SUM(Náklady!H125:H128,Náklady!H137,Náklady!H140,Náklady!H143:H144)*0.35</f>
        <v>1273512.518286797</v>
      </c>
      <c r="H49" s="114">
        <f>SUM(Náklady!I125:I128,Náklady!I137,Náklady!I140,Náklady!I143:I144)*0.35</f>
        <v>1285642.2245794008</v>
      </c>
      <c r="I49" s="114">
        <f>SUM(Náklady!J125:J128,Náklady!J137,Náklady!J140,Náklady!J143:J144)*0.35</f>
        <v>1298135.8220607829</v>
      </c>
      <c r="J49" s="114">
        <f>SUM(Náklady!K125:K128,Náklady!K137,Náklady!K140,Náklady!K143:K144)*0.35</f>
        <v>1605529.2274666063</v>
      </c>
      <c r="K49" s="114">
        <f>SUM(Náklady!L125:L128,Náklady!L137,Náklady!L140,Náklady!L143:L144)*0.35</f>
        <v>1618783.6850346045</v>
      </c>
      <c r="L49" s="115">
        <f t="shared" si="23"/>
        <v>7134733.4774281913</v>
      </c>
    </row>
    <row r="50" spans="1:13" ht="12" customHeight="1">
      <c r="A50" s="110" t="s">
        <v>96</v>
      </c>
      <c r="B50" s="111"/>
      <c r="C50" s="111"/>
      <c r="D50" s="111"/>
      <c r="E50" s="111"/>
      <c r="F50" s="111"/>
      <c r="G50" s="111">
        <f>SUM(Náklady!H125:H128,Náklady!H137,Náklady!H140,Náklady!H143:H144)*0.65+SUM(Náklady!H133:H136,Náklady!H138:H139,Náklady!H142,Náklady!H145)-G47</f>
        <v>1331561.8802903371</v>
      </c>
      <c r="H50" s="111">
        <f>SUM(Náklady!I125:I128,Náklady!I137,Náklady!I140,Náklady!I143:I144)*0.65+SUM(Náklady!I133:I136,Náklady!I138:I139,Náklady!I142,Náklady!I145)-H47</f>
        <v>1354088.4776908874</v>
      </c>
      <c r="I50" s="111">
        <f>SUM(Náklady!J125:J128,Náklady!J137,Náklady!J140,Náklady!J143:J144)*0.65+SUM(Náklady!J133:J136,Náklady!J138:J139,Náklady!J142,Náklady!J145)-I47</f>
        <v>1377290.8730134543</v>
      </c>
      <c r="J50" s="111">
        <f>SUM(Náklady!K125:K128,Náklady!K137,Náklady!K140,Náklady!K143:K144)*0.65+SUM(Náklady!K133:K136,Náklady!K138:K139,Náklady!K142,Náklady!K145)-J47</f>
        <v>1948164.3401956975</v>
      </c>
      <c r="K50" s="111">
        <f>SUM(Náklady!L125:L128,Náklady!L137,Náklady!L140,Náklady!L143:L144)*0.65+SUM(Náklady!L133:L136,Náklady!L138:L139,Náklady!L142,Náklady!L145)-K47</f>
        <v>1972779.7613934085</v>
      </c>
      <c r="L50" s="112">
        <f t="shared" si="23"/>
        <v>7983885.3325837851</v>
      </c>
    </row>
    <row r="51" spans="1:13" ht="12" customHeight="1">
      <c r="A51" s="116" t="s">
        <v>488</v>
      </c>
      <c r="B51" s="117">
        <f>SUM(Náklady!C147:C147)+500000</f>
        <v>500000</v>
      </c>
      <c r="C51" s="117">
        <f>SUM(Náklady!D147:D147)+500000</f>
        <v>753000</v>
      </c>
      <c r="D51" s="117">
        <f>SUM(Náklady!E147:E147)</f>
        <v>455000</v>
      </c>
      <c r="E51" s="117">
        <f>SUM(Náklady!F147:F147)</f>
        <v>750000</v>
      </c>
      <c r="F51" s="117">
        <f>SUM(Náklady!G147:G147)</f>
        <v>990000</v>
      </c>
      <c r="G51" s="117">
        <f>SUM(Náklady!H147:H147)</f>
        <v>990000</v>
      </c>
      <c r="H51" s="117">
        <f>SUM(Náklady!I147:I147)</f>
        <v>990000</v>
      </c>
      <c r="I51" s="117">
        <f>SUM(Náklady!J147:J147)</f>
        <v>990000</v>
      </c>
      <c r="J51" s="117">
        <f>SUM(Náklady!K147:K147)</f>
        <v>990000</v>
      </c>
      <c r="K51" s="117">
        <f>SUM(Náklady!L147:L147)</f>
        <v>990000</v>
      </c>
      <c r="L51" s="118">
        <f t="shared" si="23"/>
        <v>8398000</v>
      </c>
    </row>
    <row r="52" spans="1:13" ht="12" customHeight="1">
      <c r="A52" s="33" t="s">
        <v>491</v>
      </c>
      <c r="B52" s="36">
        <f>SUM(B53:B54)-B55-SUM(B56:B59)</f>
        <v>0</v>
      </c>
      <c r="C52" s="36">
        <f t="shared" ref="C52" si="24">SUM(C53:C54)-C55-SUM(C56:C59)</f>
        <v>0</v>
      </c>
      <c r="D52" s="36" t="e">
        <f t="shared" ref="D52" si="25">SUM(D53:D54)-D55-SUM(D56:D59)</f>
        <v>#REF!</v>
      </c>
      <c r="E52" s="36" t="e">
        <f t="shared" ref="E52" si="26">SUM(E53:E54)-E55-SUM(E56:E59)</f>
        <v>#REF!</v>
      </c>
      <c r="F52" s="36">
        <f t="shared" ref="F52" si="27">SUM(F53:F54)-F55-SUM(F56:F59)</f>
        <v>11470800.000000002</v>
      </c>
      <c r="G52" s="36">
        <f t="shared" ref="G52" si="28">SUM(G53:G54)-G55-SUM(G56:G59)</f>
        <v>0</v>
      </c>
      <c r="H52" s="36">
        <f t="shared" ref="H52" si="29">SUM(H53:H54)-H55-SUM(H56:H59)</f>
        <v>0</v>
      </c>
      <c r="I52" s="36">
        <f t="shared" ref="I52" si="30">SUM(I53:I54)-I55-SUM(I56:I59)</f>
        <v>0</v>
      </c>
      <c r="J52" s="36">
        <f t="shared" ref="J52" si="31">SUM(J53:J54)-J55-SUM(J56:J59)</f>
        <v>0</v>
      </c>
      <c r="K52" s="36">
        <f t="shared" ref="K52" si="32">SUM(K53:K54)-K55-SUM(K56:K59)</f>
        <v>0</v>
      </c>
      <c r="L52" s="37" t="e">
        <f>SUM(L53:L54)-L55-SUM(L56:L59)</f>
        <v>#REF!</v>
      </c>
    </row>
    <row r="53" spans="1:13" ht="12" customHeight="1">
      <c r="A53" s="5" t="s">
        <v>489</v>
      </c>
      <c r="B53" s="25">
        <f>SUM(Náklady!C152:C153,Náklady!C160:C163,Náklady!C165)</f>
        <v>0</v>
      </c>
      <c r="C53" s="25">
        <f>SUM(Náklady!D152,Náklady!D153,Náklady!D160:D163,Náklady!D165)</f>
        <v>0</v>
      </c>
      <c r="D53" s="25" t="e">
        <f>SUM(Náklady!E152,Náklady!E153,Náklady!#REF!,Náklady!F165)</f>
        <v>#REF!</v>
      </c>
      <c r="E53" s="25" t="e">
        <f>SUM(Náklady!#REF!,Náklady!#REF!,Náklady!E160:E163,Náklady!#REF!)</f>
        <v>#REF!</v>
      </c>
      <c r="F53" s="25">
        <f>SUM(Náklady!F152,Náklady!F153,Náklady!F160:F163,Náklady!G165)</f>
        <v>11470800</v>
      </c>
      <c r="G53" s="25">
        <f>SUM(Náklady!H152,Náklady!H153,Náklady!H160:H163,Náklady!H165)</f>
        <v>0</v>
      </c>
      <c r="H53" s="25">
        <f>SUM(Náklady!I152,Náklady!I153,Náklady!I160:I163,Náklady!I165)</f>
        <v>0</v>
      </c>
      <c r="I53" s="25">
        <f>SUM(Náklady!J152,Náklady!J153,Náklady!J160:J163,Náklady!J165)</f>
        <v>0</v>
      </c>
      <c r="J53" s="25">
        <f>SUM(Náklady!K152,Náklady!K153,Náklady!K160:K163,Náklady!K165)</f>
        <v>0</v>
      </c>
      <c r="K53" s="25">
        <f>SUM(Náklady!L152,Náklady!L153,Náklady!L160:L163,Náklady!L165)</f>
        <v>0</v>
      </c>
      <c r="L53" s="35" t="e">
        <f t="shared" ref="L53:L59" si="33">SUM(B53:K53)</f>
        <v>#REF!</v>
      </c>
    </row>
    <row r="54" spans="1:13" ht="12" customHeight="1">
      <c r="A54" s="5" t="s">
        <v>486</v>
      </c>
      <c r="B54" s="25">
        <f>SUM(Náklady!C154:C155,Náklady!C164,Náklady!C166:C167,Náklady!C169:C172,Náklady!C174:C174)</f>
        <v>267351.60000000003</v>
      </c>
      <c r="C54" s="25">
        <f>SUM(Náklady!D154:D155,Náklady!D164,Náklady!D166:D167,Náklady!D169:D172,Náklady!D174:D174)</f>
        <v>1551030.8320000004</v>
      </c>
      <c r="D54" s="25">
        <f>SUM(Náklady!E154:E155,Náklady!E164,Náklady!E166:E167,Náklady!E169:E172,Náklady!E174:E174)</f>
        <v>2751257.6129600001</v>
      </c>
      <c r="E54" s="25">
        <f>SUM(Náklady!F154:F155,Náklady!F164,Náklady!F166:F167,Náklady!F169:F172,Náklady!F174:F174)</f>
        <v>4363725.0402287999</v>
      </c>
      <c r="F54" s="25">
        <f>SUM(Náklady!G154:G155,Náklady!G164,Náklady!G166:G167,Náklady!G169:G172,Náklady!G174:G174)</f>
        <v>6260137.2325623846</v>
      </c>
      <c r="G54" s="25">
        <f>SUM(Náklady!H154:H155,Náklady!H164,Náklady!H166:H167,Náklady!H169:H172,Náklady!H174:H174)</f>
        <v>6293784.1293518543</v>
      </c>
      <c r="H54" s="25">
        <f>SUM(Náklady!I154:I155,Náklady!I164,Náklady!I166:I167,Náklady!I169:I172,Náklady!I174:I174)</f>
        <v>6328440.4330450073</v>
      </c>
      <c r="I54" s="25">
        <f>SUM(Náklady!J154:J155,Náklady!J164,Náklady!J166:J167,Náklady!J169:J172,Náklady!J174:J174)</f>
        <v>6477752.4258489562</v>
      </c>
      <c r="J54" s="25">
        <f>SUM(Náklady!K154:K155,Náklady!K164,Náklady!K166:K167,Náklady!K169:K172,Náklady!K174:K174)</f>
        <v>6688903.2984370235</v>
      </c>
      <c r="K54" s="25">
        <f>SUM(Náklady!L154:L155,Náklady!L164,Náklady!L166:L167,Náklady!L169:L172,Náklady!L174:L174)</f>
        <v>6726773.1772027332</v>
      </c>
      <c r="L54" s="35">
        <f t="shared" si="33"/>
        <v>47709155.781636752</v>
      </c>
    </row>
    <row r="55" spans="1:13" ht="12" customHeight="1">
      <c r="A55" s="5" t="s">
        <v>487</v>
      </c>
      <c r="B55" s="25">
        <f>Výnosy!B21</f>
        <v>0</v>
      </c>
      <c r="C55" s="25">
        <f>Výnosy!C21</f>
        <v>0</v>
      </c>
      <c r="D55" s="25">
        <f>Výnosy!D21</f>
        <v>0</v>
      </c>
      <c r="E55" s="25">
        <f>Výnosy!E21</f>
        <v>0</v>
      </c>
      <c r="F55" s="25">
        <f>Výnosy!F21</f>
        <v>145750.45823999998</v>
      </c>
      <c r="G55" s="25">
        <f>Výnosy!G21</f>
        <v>909110.87424000003</v>
      </c>
      <c r="H55" s="25">
        <f>Výnosy!H21</f>
        <v>909110.87424000003</v>
      </c>
      <c r="I55" s="25">
        <f>Výnosy!I21</f>
        <v>909110.87424000003</v>
      </c>
      <c r="J55" s="25">
        <f>Výnosy!J21</f>
        <v>909110.87424000003</v>
      </c>
      <c r="K55" s="25">
        <f>Výnosy!K21</f>
        <v>909110.87424000003</v>
      </c>
      <c r="L55" s="35">
        <f>SUM(B55:K55)</f>
        <v>4691304.8294399995</v>
      </c>
    </row>
    <row r="56" spans="1:13" ht="12" customHeight="1">
      <c r="A56" s="107" t="s">
        <v>94</v>
      </c>
      <c r="B56" s="108">
        <f>SUM(Náklady!C152:C155,Náklady!C160:C167,Náklady!C169:C172)-B55-500000</f>
        <v>-232648.39999999997</v>
      </c>
      <c r="C56" s="108">
        <f>SUM(Náklady!D152:D155,Náklady!D160:D167,Náklady!D169:D172)-C55-500000</f>
        <v>798030.8320000004</v>
      </c>
      <c r="D56" s="108">
        <f>SUM(Náklady!E152:E155,Náklady!E160:E167,Náklady!E169:E172)-D55</f>
        <v>12821457.61296</v>
      </c>
      <c r="E56" s="108">
        <f>SUM(Náklady!F152:F155,Náklady!F160:F167,Náklady!F169:F172)-E55</f>
        <v>15963808.720448799</v>
      </c>
      <c r="F56" s="108">
        <f>SUM(Náklady!G152:G155)*0.65+SUM(Náklady!G160:G167,Náklady!G169:G172)-F55</f>
        <v>5114726.774322385</v>
      </c>
      <c r="G56" s="108"/>
      <c r="H56" s="108"/>
      <c r="I56" s="108"/>
      <c r="J56" s="108"/>
      <c r="K56" s="108"/>
      <c r="L56" s="109">
        <f t="shared" si="33"/>
        <v>34465375.539731182</v>
      </c>
      <c r="M56" s="134">
        <f>70000000-L56</f>
        <v>35534624.460268818</v>
      </c>
    </row>
    <row r="57" spans="1:13" ht="12" customHeight="1">
      <c r="A57" s="113" t="s">
        <v>95</v>
      </c>
      <c r="B57" s="114"/>
      <c r="C57" s="114"/>
      <c r="D57" s="114"/>
      <c r="E57" s="114"/>
      <c r="F57" s="114">
        <f>SUM(Náklady!G152:G155)*0.35</f>
        <v>9660</v>
      </c>
      <c r="G57" s="114">
        <f>SUM(Náklady!H152:H155,Náklady!H164,Náklady!H167,Náklady!H170:H171)*0.35</f>
        <v>1881833.1430867966</v>
      </c>
      <c r="H57" s="114">
        <f>SUM(Náklady!I152:I155,Náklady!I164,Náklady!I167,Náklady!I170:I171)*0.35</f>
        <v>1893962.8493794005</v>
      </c>
      <c r="I57" s="114">
        <f>SUM(Náklady!J152:J155,Náklady!J164,Náklady!J167,Náklady!J170:J171)*0.35</f>
        <v>1946222.0468607827</v>
      </c>
      <c r="J57" s="114">
        <f>SUM(Náklady!K152:K155,Náklady!K164,Náklady!K167,Náklady!K170:K171)*0.35</f>
        <v>2020124.8522666062</v>
      </c>
      <c r="K57" s="114">
        <f>SUM(Náklady!L152:L155,Náklady!L164,Náklady!L167,Náklady!L170:L171)*0.35</f>
        <v>2033379.3098346046</v>
      </c>
      <c r="L57" s="115">
        <f t="shared" si="33"/>
        <v>9785182.2014281899</v>
      </c>
    </row>
    <row r="58" spans="1:13" ht="12" customHeight="1">
      <c r="A58" s="110" t="s">
        <v>96</v>
      </c>
      <c r="B58" s="111"/>
      <c r="C58" s="111"/>
      <c r="D58" s="111"/>
      <c r="E58" s="111"/>
      <c r="F58" s="111"/>
      <c r="G58" s="111">
        <f>SUM(Náklady!H152:H155,Náklady!H164,Náklady!H167,Náklady!H170:H171)*0.65+SUM(Náklady!H160:H163,Náklady!H165:H166,Náklady!H169,Náklady!H172)-G55</f>
        <v>2512840.112025057</v>
      </c>
      <c r="H58" s="111">
        <f>SUM(Náklady!I152:I155,Náklady!I164,Náklady!I167,Náklady!I170:I171)*0.65+SUM(Náklady!I160:I163,Náklady!I165:I166,Náklady!I169,Náklady!I172)-H55</f>
        <v>2535366.7094256068</v>
      </c>
      <c r="I58" s="111">
        <f>SUM(Náklady!J152:J155,Náklady!J164,Náklady!J167,Náklady!J170:J171)*0.65+SUM(Náklady!J160:J163,Náklady!J165:J166,Náklady!J169,Náklady!J172)-I55</f>
        <v>2632419.504748174</v>
      </c>
      <c r="J58" s="111">
        <f>SUM(Náklady!K152:K155,Náklady!K164,Náklady!K167,Náklady!K170:K171)*0.65+SUM(Náklady!K160:K163,Náklady!K165:K166,Náklady!K169,Náklady!K172)-J55</f>
        <v>2769667.5719304178</v>
      </c>
      <c r="K58" s="111">
        <f>SUM(Náklady!L152:L155,Náklady!L164,Náklady!L167,Náklady!L170:L171)*0.65+SUM(Náklady!L160:L163,Náklady!L165:L166,Náklady!L169,Náklady!L172)-K55</f>
        <v>2794282.9931281293</v>
      </c>
      <c r="L58" s="112">
        <f t="shared" si="33"/>
        <v>13244576.891257383</v>
      </c>
    </row>
    <row r="59" spans="1:13" ht="12" customHeight="1">
      <c r="A59" s="116" t="s">
        <v>488</v>
      </c>
      <c r="B59" s="117">
        <f>SUM(Náklady!C174:C174)+500000</f>
        <v>500000</v>
      </c>
      <c r="C59" s="117">
        <f>SUM(Náklady!D174:D174)+500000</f>
        <v>753000</v>
      </c>
      <c r="D59" s="117">
        <f>SUM(Náklady!E174:E174)</f>
        <v>455000</v>
      </c>
      <c r="E59" s="117">
        <f>SUM(Náklady!F174:F174)</f>
        <v>750000</v>
      </c>
      <c r="F59" s="117">
        <f>SUM(Náklady!G174:G174)</f>
        <v>990000</v>
      </c>
      <c r="G59" s="117">
        <f>SUM(Náklady!H174:H174)</f>
        <v>990000</v>
      </c>
      <c r="H59" s="117">
        <f>SUM(Náklady!I174:I174)</f>
        <v>990000</v>
      </c>
      <c r="I59" s="117">
        <f>SUM(Náklady!J174:J174)</f>
        <v>990000</v>
      </c>
      <c r="J59" s="117">
        <f>SUM(Náklady!K174:K174)</f>
        <v>990000</v>
      </c>
      <c r="K59" s="117">
        <f>SUM(Náklady!L174:L174)</f>
        <v>990000</v>
      </c>
      <c r="L59" s="118">
        <f t="shared" si="33"/>
        <v>8398000</v>
      </c>
    </row>
    <row r="60" spans="1:13" ht="12" customHeight="1">
      <c r="A60" s="33" t="s">
        <v>210</v>
      </c>
      <c r="B60" s="36">
        <f>SUM(B61:B62)-B63-SUM(B64:B67)</f>
        <v>0</v>
      </c>
      <c r="C60" s="36">
        <f t="shared" ref="C60" si="34">SUM(C61:C62)-C63-SUM(C64:C67)</f>
        <v>0</v>
      </c>
      <c r="D60" s="36">
        <f t="shared" ref="D60" si="35">SUM(D61:D62)-D63-SUM(D64:D67)</f>
        <v>879283.68022000045</v>
      </c>
      <c r="E60" s="36" t="e">
        <f t="shared" ref="E60" si="36">SUM(E61:E62)-E63-SUM(E64:E67)</f>
        <v>#REF!</v>
      </c>
      <c r="F60" s="36">
        <f t="shared" ref="F60" si="37">SUM(F61:F62)-F63-SUM(F64:F67)</f>
        <v>56130000</v>
      </c>
      <c r="G60" s="36">
        <f t="shared" ref="G60" si="38">SUM(G61:G62)-G63-SUM(G64:G67)</f>
        <v>0</v>
      </c>
      <c r="H60" s="36">
        <f t="shared" ref="H60" si="39">SUM(H61:H62)-H63-SUM(H64:H67)</f>
        <v>0</v>
      </c>
      <c r="I60" s="36">
        <f t="shared" ref="I60" si="40">SUM(I61:I62)-I63-SUM(I64:I67)</f>
        <v>0</v>
      </c>
      <c r="J60" s="36">
        <f t="shared" ref="J60" si="41">SUM(J61:J62)-J63-SUM(J64:J67)</f>
        <v>0</v>
      </c>
      <c r="K60" s="36">
        <f t="shared" ref="K60" si="42">SUM(K61:K62)-K63-SUM(K64:K67)</f>
        <v>0</v>
      </c>
      <c r="L60" s="37" t="e">
        <f>SUM(L61:L62)-L63-SUM(L64:L67)</f>
        <v>#REF!</v>
      </c>
    </row>
    <row r="61" spans="1:13" ht="12" customHeight="1">
      <c r="A61" s="5" t="s">
        <v>489</v>
      </c>
      <c r="B61" s="25">
        <f>SUM(Náklady!C179:C180,Náklady!C187:C190,Náklady!C192)</f>
        <v>0</v>
      </c>
      <c r="C61" s="25">
        <f>SUM(Náklady!D179:D180,Náklady!D187:D190,Náklady!D192)</f>
        <v>0</v>
      </c>
      <c r="D61" s="25">
        <f>SUM(Náklady!E179:E180,Náklady!E187:E190,Náklady!F192)</f>
        <v>22065283.68022</v>
      </c>
      <c r="E61" s="25" t="e">
        <f>SUM(Náklady!#REF!,Náklady!F187:F190,Náklady!#REF!)</f>
        <v>#REF!</v>
      </c>
      <c r="F61" s="25">
        <f>SUM(Náklady!F179:F180,Náklady!G187:G190,Náklady!G192)</f>
        <v>56130000</v>
      </c>
      <c r="G61" s="25">
        <f>SUM(Náklady!H179:H180,Náklady!H187:H190,Náklady!H192)</f>
        <v>0</v>
      </c>
      <c r="H61" s="25">
        <f>SUM(Náklady!I179:I180,Náklady!I187:I190,Náklady!I192)</f>
        <v>0</v>
      </c>
      <c r="I61" s="25">
        <f>SUM(Náklady!J179:J180,Náklady!J187:J190,Náklady!J192)</f>
        <v>0</v>
      </c>
      <c r="J61" s="25">
        <f>SUM(Náklady!K179:K180,Náklady!K187:K190,Náklady!K192)</f>
        <v>0</v>
      </c>
      <c r="K61" s="25">
        <f>SUM(Náklady!L179:L180,Náklady!L187:L190,Náklady!L192)</f>
        <v>0</v>
      </c>
      <c r="L61" s="35" t="e">
        <f t="shared" ref="L61:L67" si="43">SUM(B61:K61)</f>
        <v>#REF!</v>
      </c>
    </row>
    <row r="62" spans="1:13" ht="12" customHeight="1">
      <c r="A62" s="5" t="s">
        <v>486</v>
      </c>
      <c r="B62" s="25">
        <f>SUM(Náklady!C181:C182,Náklady!C191,Náklady!C193:C194,Náklady!C196:C199,Náklady!C201:C201)</f>
        <v>378073.20000000007</v>
      </c>
      <c r="C62" s="25">
        <f>SUM(Náklady!D181:D182,Náklady!D191,Náklady!D193:D194,Náklady!D196:D199,Náklady!D201:D201)</f>
        <v>1950182.2000000002</v>
      </c>
      <c r="D62" s="25">
        <f>SUM(Náklady!E181:E182,Náklady!E191,Náklady!E193:E194,Náklady!E196:E199,Náklady!E201:E201)</f>
        <v>4546339.1648000004</v>
      </c>
      <c r="E62" s="25">
        <f>SUM(Náklady!F181:F182,Náklady!F191,Náklady!F193:F194,Náklady!F196:F199,Náklady!F201:F201)</f>
        <v>10174715.519112002</v>
      </c>
      <c r="F62" s="25">
        <f>SUM(Náklady!G181:G182,Náklady!G191,Náklady!G193:G194,Náklady!G196:G199,Náklady!G201:G201)</f>
        <v>16811709.315895323</v>
      </c>
      <c r="G62" s="25">
        <f>SUM(Náklady!H181:H182,Náklady!H191,Náklady!H193:H194,Náklady!H196:H199,Náklady!H201:H201)</f>
        <v>16951904.719184779</v>
      </c>
      <c r="H62" s="25">
        <f>SUM(Náklady!I181:I182,Náklady!I191,Náklady!I193:I194,Náklady!I196:I199,Náklady!I201:I201)</f>
        <v>17096305.984572921</v>
      </c>
      <c r="I62" s="25">
        <f>SUM(Náklady!J181:J182,Náklady!J191,Náklady!J193:J194,Náklady!J196:J199,Náklady!J201:J201)</f>
        <v>17437279.287922706</v>
      </c>
      <c r="J62" s="25">
        <f>SUM(Náklady!K181:K182,Náklady!K191,Náklady!K193:K194,Náklady!K196:K199,Náklady!K201:K201)</f>
        <v>19270234.590372987</v>
      </c>
      <c r="K62" s="25">
        <f>SUM(Náklady!L181:L182,Náklady!L191,Náklady!L193:L194,Náklady!L196:L199,Náklady!L201:L201)</f>
        <v>19428025.751896776</v>
      </c>
      <c r="L62" s="35">
        <f t="shared" si="43"/>
        <v>124044769.7337575</v>
      </c>
    </row>
    <row r="63" spans="1:13" ht="12" customHeight="1">
      <c r="A63" s="5" t="s">
        <v>487</v>
      </c>
      <c r="B63" s="25">
        <f>Výnosy!B30</f>
        <v>0</v>
      </c>
      <c r="C63" s="25">
        <f>Výnosy!C30</f>
        <v>0</v>
      </c>
      <c r="D63" s="25">
        <f>Výnosy!D30</f>
        <v>0</v>
      </c>
      <c r="E63" s="25">
        <f>Výnosy!E30</f>
        <v>0</v>
      </c>
      <c r="F63" s="25">
        <f>Výnosy!F30</f>
        <v>191552.08319999996</v>
      </c>
      <c r="G63" s="25">
        <f>Výnosy!G30</f>
        <v>3084286.2911999999</v>
      </c>
      <c r="H63" s="25">
        <f>Výnosy!H30</f>
        <v>3084286.2911999999</v>
      </c>
      <c r="I63" s="25">
        <f>Výnosy!I30</f>
        <v>3084286.2911999999</v>
      </c>
      <c r="J63" s="25">
        <f>Výnosy!J30</f>
        <v>3084286.2911999999</v>
      </c>
      <c r="K63" s="25">
        <f>Výnosy!K30</f>
        <v>3084286.2911999999</v>
      </c>
      <c r="L63" s="35">
        <f>SUM(B63:K63)</f>
        <v>15612983.5392</v>
      </c>
    </row>
    <row r="64" spans="1:13" ht="12" customHeight="1">
      <c r="A64" s="107" t="s">
        <v>94</v>
      </c>
      <c r="B64" s="108">
        <f>SUM(Náklady!C179:C182,Náklady!C187:C194,Náklady!C196:C199)-B63-500000</f>
        <v>-121926.79999999993</v>
      </c>
      <c r="C64" s="108">
        <f>SUM(Náklady!D179:D182,Náklady!D187:D194,Náklady!D196:D199)-C63-500000</f>
        <v>1197182.2000000002</v>
      </c>
      <c r="D64" s="108">
        <f>SUM(Náklady!E179:E182,Náklady!E187:E194,Náklady!E196:E199)-D63</f>
        <v>25277339.164799999</v>
      </c>
      <c r="E64" s="108">
        <f>SUM(Náklady!F179:F182,Náklady!F187:F194,Náklady!F196:F199)-E63</f>
        <v>87433999.199331999</v>
      </c>
      <c r="F64" s="108">
        <f>SUM(Náklady!G179:G182)*0.65+SUM(Náklady!G187:G194,Náklady!G196:G199)-F63</f>
        <v>15620497.232695322</v>
      </c>
      <c r="G64" s="108"/>
      <c r="H64" s="108"/>
      <c r="I64" s="108"/>
      <c r="J64" s="108"/>
      <c r="K64" s="108"/>
      <c r="L64" s="109">
        <f t="shared" si="43"/>
        <v>129407090.99682732</v>
      </c>
      <c r="M64" s="134">
        <f>70000000-L64</f>
        <v>-59407090.996827319</v>
      </c>
    </row>
    <row r="65" spans="1:13" ht="12" customHeight="1">
      <c r="A65" s="113" t="s">
        <v>95</v>
      </c>
      <c r="B65" s="114"/>
      <c r="C65" s="114"/>
      <c r="D65" s="114"/>
      <c r="E65" s="114"/>
      <c r="F65" s="114">
        <f>SUM(Náklady!G179:G182)*0.35</f>
        <v>9660</v>
      </c>
      <c r="G65" s="114">
        <f>SUM(Náklady!H179:H182,Náklady!H191,Náklady!H194,Náklady!H197:H198)*0.35</f>
        <v>5612175.3495283211</v>
      </c>
      <c r="H65" s="114">
        <f>SUM(Náklady!I179:I182,Náklady!I191,Náklady!I194,Náklady!I197:I198)*0.35</f>
        <v>5662715.7924141698</v>
      </c>
      <c r="I65" s="114">
        <f>SUM(Náklady!J179:J182,Náklady!J191,Náklady!J194,Náklady!J197:J198)*0.35</f>
        <v>5782056.4485865952</v>
      </c>
      <c r="J65" s="114">
        <f>SUM(Náklady!K179:K182,Náklady!K191,Náklady!K194,Náklady!K197:K198)*0.35</f>
        <v>6423590.8044441929</v>
      </c>
      <c r="K65" s="114">
        <f>SUM(Náklady!L179:L182,Náklady!L191,Náklady!L194,Náklady!L197:L198)*0.35</f>
        <v>6478817.7109775199</v>
      </c>
      <c r="L65" s="115">
        <f t="shared" si="43"/>
        <v>29969016.105950799</v>
      </c>
    </row>
    <row r="66" spans="1:13" ht="12" customHeight="1">
      <c r="A66" s="110" t="s">
        <v>96</v>
      </c>
      <c r="B66" s="111"/>
      <c r="C66" s="111"/>
      <c r="D66" s="111"/>
      <c r="E66" s="111"/>
      <c r="F66" s="111"/>
      <c r="G66" s="111">
        <f>SUM(Náklady!H179:H182,Náklady!H191,Náklady!H194,Náklady!H197:H198)*0.65+SUM(Náklady!H187:H190,Náklady!H192:H193,Náklady!H196,Náklady!H199)-G63</f>
        <v>7265443.0784564605</v>
      </c>
      <c r="H66" s="111">
        <f>SUM(Náklady!I179:I182,Náklady!I191,Náklady!I194,Náklady!I197:I198)*0.65+SUM(Náklady!I187:I190,Náklady!I192:I193,Náklady!I196,Náklady!I199)-H63</f>
        <v>7359303.9009587513</v>
      </c>
      <c r="I66" s="111">
        <f>SUM(Náklady!J179:J182,Náklady!J191,Náklady!J194,Náklady!J197:J198)*0.65+SUM(Náklady!J187:J190,Náklady!J192:J193,Náklady!J196,Náklady!J199)-I63</f>
        <v>7580936.5481361123</v>
      </c>
      <c r="J66" s="111">
        <f>SUM(Náklady!K179:K182,Náklady!K191,Náklady!K194,Náklady!K197:K198)*0.65+SUM(Náklady!K187:K190,Náklady!K192:K193,Náklady!K196,Náklady!K199)-J63</f>
        <v>8772357.4947287925</v>
      </c>
      <c r="K66" s="111">
        <f>SUM(Náklady!L179:L182,Náklady!L191,Náklady!L194,Náklady!L197:L198)*0.65+SUM(Náklady!L187:L190,Náklady!L192:L193,Náklady!L196,Náklady!L199)-K63</f>
        <v>8874921.7497192584</v>
      </c>
      <c r="L66" s="112">
        <f t="shared" si="43"/>
        <v>39852962.771999374</v>
      </c>
    </row>
    <row r="67" spans="1:13" ht="12" customHeight="1">
      <c r="A67" s="116" t="s">
        <v>488</v>
      </c>
      <c r="B67" s="117">
        <f>SUM(Náklady!C201:C201)+500000</f>
        <v>500000</v>
      </c>
      <c r="C67" s="117">
        <f>SUM(Náklady!D201:D201)+500000</f>
        <v>753000</v>
      </c>
      <c r="D67" s="117">
        <f>SUM(Náklady!E201:E201)</f>
        <v>455000</v>
      </c>
      <c r="E67" s="117">
        <f>SUM(Náklady!F201:F201)</f>
        <v>750000</v>
      </c>
      <c r="F67" s="117">
        <f>SUM(Náklady!G201:G201)</f>
        <v>990000</v>
      </c>
      <c r="G67" s="117">
        <f>SUM(Náklady!H201:H201)</f>
        <v>990000</v>
      </c>
      <c r="H67" s="117">
        <f>SUM(Náklady!I201:I201)</f>
        <v>990000</v>
      </c>
      <c r="I67" s="117">
        <f>SUM(Náklady!J201:J201)</f>
        <v>990000</v>
      </c>
      <c r="J67" s="117">
        <f>SUM(Náklady!K201:K201)</f>
        <v>990000</v>
      </c>
      <c r="K67" s="117">
        <f>SUM(Náklady!L201:L201)</f>
        <v>990000</v>
      </c>
      <c r="L67" s="118">
        <f t="shared" si="43"/>
        <v>8398000</v>
      </c>
    </row>
    <row r="68" spans="1:13" ht="12" customHeight="1">
      <c r="A68" s="33" t="s">
        <v>212</v>
      </c>
      <c r="B68" s="36">
        <f>SUM(B69:B70)-B71-SUM(B72:B75)</f>
        <v>0</v>
      </c>
      <c r="C68" s="36">
        <f t="shared" ref="C68" si="44">SUM(C69:C70)-C71-SUM(C72:C75)</f>
        <v>14040000</v>
      </c>
      <c r="D68" s="36">
        <f t="shared" ref="D68" si="45">SUM(D69:D70)-D71-SUM(D72:D75)</f>
        <v>14679283.680220002</v>
      </c>
      <c r="E68" s="36" t="e">
        <f t="shared" ref="E68:K68" si="46">SUM(E69:E70)-E71-SUM(E72:E75)</f>
        <v>#REF!</v>
      </c>
      <c r="F68" s="36" t="e">
        <f t="shared" si="46"/>
        <v>#REF!</v>
      </c>
      <c r="G68" s="36">
        <f t="shared" si="46"/>
        <v>0</v>
      </c>
      <c r="H68" s="36">
        <f t="shared" si="46"/>
        <v>0</v>
      </c>
      <c r="I68" s="36">
        <f t="shared" si="46"/>
        <v>0</v>
      </c>
      <c r="J68" s="36">
        <f t="shared" si="46"/>
        <v>0</v>
      </c>
      <c r="K68" s="36">
        <f t="shared" si="46"/>
        <v>0</v>
      </c>
      <c r="L68" s="37" t="e">
        <f>SUM(L69:L70)-L71-SUM(L72:L75)</f>
        <v>#REF!</v>
      </c>
    </row>
    <row r="69" spans="1:13" ht="12" customHeight="1">
      <c r="A69" s="5" t="s">
        <v>489</v>
      </c>
      <c r="B69" s="25">
        <f>SUM(Náklady!C206,Náklady!C207,Náklady!C214,Náklady!C217,Náklady!C219)</f>
        <v>0</v>
      </c>
      <c r="C69" s="25">
        <f>SUM(Náklady!D206,Náklady!D207,Náklady!E214,Náklady!D217,Náklady!D219)</f>
        <v>14040000</v>
      </c>
      <c r="D69" s="25">
        <f>SUM(Náklady!E206,Náklady!E207,Náklady!F214,Náklady!E217,Náklady!F219)</f>
        <v>18604483.68022</v>
      </c>
      <c r="E69" s="25" t="e">
        <f>SUM(Náklady!#REF!,Náklady!#REF!,Náklady!#REF!,Náklady!#REF!,Náklady!#REF!)</f>
        <v>#REF!</v>
      </c>
      <c r="F69" s="25" t="e">
        <f>SUM(Náklady!F206,Náklady!F207,Náklady!#REF!,Náklady!F217,Náklady!G219)</f>
        <v>#REF!</v>
      </c>
      <c r="G69" s="25">
        <f>SUM(Náklady!H206,Náklady!H207,Náklady!H214,Náklady!H217,Náklady!H219)</f>
        <v>0</v>
      </c>
      <c r="H69" s="25">
        <f>SUM(Náklady!I206,Náklady!I207,Náklady!I214,Náklady!I217,Náklady!I219)</f>
        <v>0</v>
      </c>
      <c r="I69" s="25">
        <f>SUM(Náklady!J206,Náklady!J207,Náklady!J214,Náklady!J217,Náklady!J219)</f>
        <v>0</v>
      </c>
      <c r="J69" s="25">
        <f>SUM(Náklady!K206,Náklady!K207,Náklady!K214,Náklady!K217,Náklady!K219)</f>
        <v>0</v>
      </c>
      <c r="K69" s="25">
        <f>SUM(Náklady!L206,Náklady!L207,Náklady!L214,Náklady!L217,Náklady!L219)</f>
        <v>0</v>
      </c>
      <c r="L69" s="35" t="e">
        <f t="shared" ref="L69:L75" si="47">SUM(B69:K69)</f>
        <v>#REF!</v>
      </c>
    </row>
    <row r="70" spans="1:13" ht="12" customHeight="1">
      <c r="A70" s="5" t="s">
        <v>486</v>
      </c>
      <c r="B70" s="25">
        <f>SUM(Náklady!C208:C209,Náklady!C218,Náklady!C220:C221,Náklady!C223:C226,Náklady!C228:C228)</f>
        <v>378073.20000000007</v>
      </c>
      <c r="C70" s="25">
        <f>SUM(Náklady!D208:D209,Náklady!D218,Náklady!D220:D221,Náklady!D223:D226,Náklady!D228:D228)</f>
        <v>1950182.2000000002</v>
      </c>
      <c r="D70" s="25">
        <f>SUM(Náklady!E208:E209,Náklady!E218,Náklady!E220:E221,Náklady!E223:E226,Náklady!E228:E228)</f>
        <v>4556367.6128000002</v>
      </c>
      <c r="E70" s="25">
        <f>SUM(Náklady!F208:F209,Náklady!F218,Náklady!F220:F221,Náklady!F223:F226,Náklady!F228:F228)</f>
        <v>11518167.976128001</v>
      </c>
      <c r="F70" s="25">
        <f>SUM(Náklady!G208:G209,Náklady!G218,Náklady!G220:G221,Náklady!G223:G226,Náklady!G228:G228)</f>
        <v>19495626.660924502</v>
      </c>
      <c r="G70" s="25">
        <f>SUM(Náklady!H208:H209,Náklady!H218,Náklady!H220:H221,Náklady!H223:H226,Náklady!H228:H228)</f>
        <v>19650776.240564838</v>
      </c>
      <c r="H70" s="25">
        <f>SUM(Náklady!I208:I209,Náklady!I218,Náklady!I220:I221,Náklady!I223:I226,Náklady!I228:I228)</f>
        <v>19810580.307594381</v>
      </c>
      <c r="I70" s="25">
        <f>SUM(Náklady!J208:J209,Náklady!J218,Náklady!J220:J221,Náklady!J223:J226,Náklady!J228:J228)</f>
        <v>20088794.496634811</v>
      </c>
      <c r="J70" s="25">
        <f>SUM(Náklady!K208:K209,Náklady!K218,Náklady!K220:K221,Náklady!K223:K226,Náklady!K228:K228)</f>
        <v>21296714.631346453</v>
      </c>
      <c r="K70" s="25">
        <f>SUM(Náklady!L208:L209,Náklady!L218,Náklady!L220:L221,Náklady!L223:L226,Náklady!L228:L228)</f>
        <v>21471336.850099444</v>
      </c>
      <c r="L70" s="35">
        <f t="shared" si="47"/>
        <v>140216620.17609245</v>
      </c>
    </row>
    <row r="71" spans="1:13" ht="12" customHeight="1">
      <c r="A71" s="5" t="s">
        <v>487</v>
      </c>
      <c r="B71" s="25">
        <f>Výnosy!B39</f>
        <v>0</v>
      </c>
      <c r="C71" s="25">
        <f>Výnosy!C39</f>
        <v>0</v>
      </c>
      <c r="D71" s="25">
        <f>Výnosy!D39</f>
        <v>0</v>
      </c>
      <c r="E71" s="25">
        <f>Výnosy!E39</f>
        <v>0</v>
      </c>
      <c r="F71" s="25">
        <f>Výnosy!F39</f>
        <v>145750.45823999998</v>
      </c>
      <c r="G71" s="25">
        <f>Výnosy!G39</f>
        <v>3199192.1222400004</v>
      </c>
      <c r="H71" s="25">
        <f>Výnosy!H39</f>
        <v>3199192.1222400004</v>
      </c>
      <c r="I71" s="25">
        <f>Výnosy!I39</f>
        <v>3199192.1222400004</v>
      </c>
      <c r="J71" s="25">
        <f>Výnosy!J39</f>
        <v>3199192.1222400004</v>
      </c>
      <c r="K71" s="25">
        <f>Výnosy!K39</f>
        <v>3199192.1222400004</v>
      </c>
      <c r="L71" s="35"/>
    </row>
    <row r="72" spans="1:13" ht="12" customHeight="1">
      <c r="A72" s="107" t="s">
        <v>94</v>
      </c>
      <c r="B72" s="108">
        <f>SUM(Náklady!C206:C209,Náklady!C214:C219,Náklady!C223:C226)-B71-500000</f>
        <v>-121926.79999999993</v>
      </c>
      <c r="C72" s="108">
        <f>SUM(Náklady!D206:D209,Náklady!D214:D219,Náklady!D223:D226)-C71-500000</f>
        <v>1197182.2000000002</v>
      </c>
      <c r="D72" s="108">
        <f>SUM(Náklady!E206:E209,Náklady!E218:E221,Náklady!E223:E226)-D71</f>
        <v>8026567.6128000002</v>
      </c>
      <c r="E72" s="108">
        <f>SUM(Náklady!F206:F209,Náklady!F214:F221,Náklady!F223:F226)-E71</f>
        <v>67398251.656348005</v>
      </c>
      <c r="F72" s="108">
        <f>SUM(Náklady!G206:G209)*0.65+SUM(Náklady!G214:G221,Náklady!G223:G226)-F71</f>
        <v>18350216.202684503</v>
      </c>
      <c r="G72" s="108"/>
      <c r="H72" s="108"/>
      <c r="I72" s="108"/>
      <c r="J72" s="108"/>
      <c r="K72" s="108"/>
      <c r="L72" s="109">
        <f t="shared" si="47"/>
        <v>94850290.871832505</v>
      </c>
      <c r="M72" s="134">
        <f>70000000-L72</f>
        <v>-24850290.871832505</v>
      </c>
    </row>
    <row r="73" spans="1:13" ht="12" customHeight="1">
      <c r="A73" s="113" t="s">
        <v>95</v>
      </c>
      <c r="B73" s="114"/>
      <c r="C73" s="114"/>
      <c r="D73" s="114"/>
      <c r="E73" s="114"/>
      <c r="F73" s="114">
        <f>SUM(Náklady!G206:G209)*0.35</f>
        <v>9660</v>
      </c>
      <c r="G73" s="114">
        <f>SUM(Náklady!H206:H209,Náklady!H218,Náklady!H221,Náklady!H224:H225)*0.35</f>
        <v>6556780.3820113409</v>
      </c>
      <c r="H73" s="114">
        <f>SUM(Náklady!I206:I209,Náklady!I218,Náklady!I221,Náklady!I224:I225)*0.35</f>
        <v>6612711.8054716801</v>
      </c>
      <c r="I73" s="114">
        <f>SUM(Náklady!J206:J209,Náklady!J218,Náklady!J221,Náklady!J224:J225)*0.35</f>
        <v>6710086.7716358313</v>
      </c>
      <c r="J73" s="114">
        <f>SUM(Náklady!K206:K209,Náklady!K218,Náklady!K221,Náklady!K224:K225)*0.35</f>
        <v>7132858.8187849065</v>
      </c>
      <c r="K73" s="114">
        <f>SUM(Náklady!L206:L209,Náklady!L218,Náklady!L221,Náklady!L224:L225)*0.35</f>
        <v>7193976.595348455</v>
      </c>
      <c r="L73" s="115">
        <f t="shared" si="47"/>
        <v>34216074.373252213</v>
      </c>
    </row>
    <row r="74" spans="1:13" ht="12" customHeight="1">
      <c r="A74" s="110" t="s">
        <v>96</v>
      </c>
      <c r="B74" s="111"/>
      <c r="C74" s="111"/>
      <c r="D74" s="111"/>
      <c r="E74" s="111"/>
      <c r="F74" s="111"/>
      <c r="G74" s="111">
        <f>SUM(Náklady!H206:H209,Náklady!H218,Náklady!H221,Náklady!H224:H225)*0.65+SUM(Náklady!H214:H217,Náklady!H219:H220,Náklady!H223,Náklady!H226)-G71</f>
        <v>8904803.7363134958</v>
      </c>
      <c r="H74" s="111">
        <f>SUM(Náklady!I206:I209,Náklady!I218,Náklady!I221,Náklady!I224:I225)*0.65+SUM(Náklady!I214:I217,Náklady!I219:I220,Náklady!I223,Náklady!I226)-H71</f>
        <v>9008676.379882697</v>
      </c>
      <c r="I74" s="111">
        <f>SUM(Náklady!J206:J209,Náklady!J218,Náklady!J221,Náklady!J224:J225)*0.65+SUM(Náklady!J214:J217,Náklady!J219:J220,Náklady!J223,Náklady!J226)-I71</f>
        <v>9189515.6027589776</v>
      </c>
      <c r="J74" s="111">
        <f>SUM(Náklady!K206:K209,Náklady!K218,Náklady!K221,Náklady!K224:K225)*0.65+SUM(Náklady!K214:K217,Náklady!K219:K220,Náklady!K223,Náklady!K226)-J71</f>
        <v>9974663.690321546</v>
      </c>
      <c r="K74" s="111">
        <f>SUM(Náklady!L206:L209,Náklady!L218,Náklady!L221,Náklady!L224:L225)*0.65+SUM(Náklady!L214:L217,Náklady!L219:L220,Náklady!L223,Náklady!L226)-K71</f>
        <v>10088168.132510994</v>
      </c>
      <c r="L74" s="112">
        <f t="shared" si="47"/>
        <v>47165827.541787714</v>
      </c>
    </row>
    <row r="75" spans="1:13" ht="12" customHeight="1">
      <c r="A75" s="116" t="s">
        <v>488</v>
      </c>
      <c r="B75" s="117">
        <f>SUM(Náklady!C228:C228)+500000</f>
        <v>500000</v>
      </c>
      <c r="C75" s="117">
        <f>SUM(Náklady!D228:D228)+500000</f>
        <v>753000</v>
      </c>
      <c r="D75" s="117">
        <f>SUM(Náklady!E228:E228)</f>
        <v>455000</v>
      </c>
      <c r="E75" s="117">
        <f>SUM(Náklady!F228:F228)</f>
        <v>750000</v>
      </c>
      <c r="F75" s="117">
        <f>SUM(Náklady!G228:G228)</f>
        <v>990000</v>
      </c>
      <c r="G75" s="117">
        <f>SUM(Náklady!H228:H228)</f>
        <v>990000</v>
      </c>
      <c r="H75" s="117">
        <f>SUM(Náklady!I228:I228)</f>
        <v>990000</v>
      </c>
      <c r="I75" s="117">
        <f>SUM(Náklady!J228:J228)</f>
        <v>990000</v>
      </c>
      <c r="J75" s="117">
        <f>SUM(Náklady!K228:K228)</f>
        <v>990000</v>
      </c>
      <c r="K75" s="117">
        <f>SUM(Náklady!L228:L228)</f>
        <v>990000</v>
      </c>
      <c r="L75" s="118">
        <f t="shared" si="47"/>
        <v>8398000</v>
      </c>
    </row>
    <row r="76" spans="1:13" ht="12" customHeight="1">
      <c r="A76" s="33" t="s">
        <v>213</v>
      </c>
      <c r="B76" s="36">
        <f>SUM(B77:B78)-B79-SUM(B80:B83)</f>
        <v>0</v>
      </c>
      <c r="C76" s="36">
        <f t="shared" ref="C76" si="48">SUM(C77:C78)-C79-SUM(C80:C83)</f>
        <v>0</v>
      </c>
      <c r="D76" s="36">
        <f t="shared" ref="D76" si="49">SUM(D77:D78)-D79-SUM(D80:D83)</f>
        <v>25335283.68022</v>
      </c>
      <c r="E76" s="36" t="e">
        <f t="shared" ref="E76:K76" si="50">SUM(E77:E78)-E79-SUM(E80:E83)</f>
        <v>#REF!</v>
      </c>
      <c r="F76" s="36" t="e">
        <f t="shared" si="50"/>
        <v>#REF!</v>
      </c>
      <c r="G76" s="36">
        <f t="shared" si="50"/>
        <v>0</v>
      </c>
      <c r="H76" s="36">
        <f t="shared" si="50"/>
        <v>0</v>
      </c>
      <c r="I76" s="36">
        <f t="shared" si="50"/>
        <v>0</v>
      </c>
      <c r="J76" s="36">
        <f t="shared" si="50"/>
        <v>0</v>
      </c>
      <c r="K76" s="36">
        <f t="shared" si="50"/>
        <v>0</v>
      </c>
      <c r="L76" s="37" t="e">
        <f>SUM(L77:L78)-L79-SUM(L80:L83)</f>
        <v>#REF!</v>
      </c>
    </row>
    <row r="77" spans="1:13" ht="12" customHeight="1">
      <c r="A77" s="5" t="s">
        <v>489</v>
      </c>
      <c r="B77" s="25">
        <f>SUM(Náklady!C233,Náklady!C234,Náklady!C242,Náklady!C243,Náklady!C244,Náklady!C246)</f>
        <v>0</v>
      </c>
      <c r="C77" s="25">
        <f>SUM(Náklady!D233,Náklady!D234,Náklady!D242,Náklady!D243,Náklady!D244,Náklady!D246)</f>
        <v>0</v>
      </c>
      <c r="D77" s="25">
        <f>SUM(Náklady!E233,Náklady!E234,Náklady!F242,Náklady!F243,Náklady!E244,Náklady!F246)</f>
        <v>25473283.68022</v>
      </c>
      <c r="E77" s="25" t="e">
        <f>SUM(Náklady!#REF!,Náklady!#REF!,Náklady!#REF!,Náklady!#REF!,Náklady!#REF!,Náklady!#REF!)</f>
        <v>#REF!</v>
      </c>
      <c r="F77" s="25" t="e">
        <f>SUM(Náklady!F233,Náklady!F234,Náklady!#REF!,Náklady!#REF!,Náklady!F244,Náklady!G246)</f>
        <v>#REF!</v>
      </c>
      <c r="G77" s="25">
        <f>SUM(Náklady!H233,Náklady!H234,Náklady!H242,Náklady!H243,Náklady!H244,Náklady!H246)</f>
        <v>0</v>
      </c>
      <c r="H77" s="25">
        <f>SUM(Náklady!I233,Náklady!I234,Náklady!I242,Náklady!I243,Náklady!I244,Náklady!I246)</f>
        <v>0</v>
      </c>
      <c r="I77" s="25">
        <f>SUM(Náklady!J233,Náklady!J234,Náklady!J242,Náklady!J243,Náklady!J244,Náklady!J246)</f>
        <v>0</v>
      </c>
      <c r="J77" s="25">
        <f>SUM(Náklady!K233,Náklady!K234,Náklady!K242,Náklady!K243,Náklady!K244,Náklady!K246)</f>
        <v>0</v>
      </c>
      <c r="K77" s="25">
        <f>SUM(Náklady!L233,Náklady!L234,Náklady!L242,Náklady!L243,Náklady!L244,Náklady!L246)</f>
        <v>0</v>
      </c>
      <c r="L77" s="35" t="e">
        <f t="shared" ref="L77:L83" si="51">SUM(B77:K77)</f>
        <v>#REF!</v>
      </c>
    </row>
    <row r="78" spans="1:13" ht="12" customHeight="1">
      <c r="A78" s="5" t="s">
        <v>486</v>
      </c>
      <c r="B78" s="25">
        <f>SUM(Náklady!C235:C236,Náklady!C245,Náklady!C247:C248,Náklady!C250:C253,Náklady!C255:C255)</f>
        <v>267351.60000000003</v>
      </c>
      <c r="C78" s="25">
        <f>SUM(Náklady!D235:D236,Náklady!D245,Náklady!D247:D248,Náklady!D250:D253,Náklady!D255:D255)</f>
        <v>1551030.8320000004</v>
      </c>
      <c r="D78" s="25">
        <f>SUM(Náklady!E235:E236,Náklady!E245,Náklady!E247:E248,Náklady!E250:E253,Náklady!E255:E255)</f>
        <v>2019180.9089600001</v>
      </c>
      <c r="E78" s="25">
        <f>SUM(Náklady!F235:F236,Náklady!F245,Náklady!F247:F248,Náklady!F250:F253,Náklady!F255:F255)</f>
        <v>3117895.3602288002</v>
      </c>
      <c r="F78" s="25">
        <f>SUM(Náklady!G235:G236,Náklady!G245,Náklady!G247:G248,Náklady!G250:G253,Náklady!G255:G255)</f>
        <v>4718878.3045623843</v>
      </c>
      <c r="G78" s="25">
        <f>SUM(Náklady!H235:H236,Náklady!H245,Náklady!H247:H248,Náklady!H250:H253,Náklady!H255:H255)</f>
        <v>4752525.201351854</v>
      </c>
      <c r="H78" s="25">
        <f>SUM(Náklady!I235:I236,Náklady!I245,Náklady!I247:I248,Náklady!I250:I253,Náklady!I255:I255)</f>
        <v>4787181.5050450079</v>
      </c>
      <c r="I78" s="25">
        <f>SUM(Náklady!J235:J236,Náklady!J245,Náklady!J247:J248,Náklady!J250:J253,Náklady!J255:J255)</f>
        <v>4822877.4978489568</v>
      </c>
      <c r="J78" s="25">
        <f>SUM(Náklady!K235:K236,Náklady!K245,Náklady!K247:K248,Náklady!K250:K253,Náklady!K255:K255)</f>
        <v>5701144.3704370242</v>
      </c>
      <c r="K78" s="25">
        <f>SUM(Náklady!L235:L236,Náklady!L245,Náklady!L247:L248,Náklady!L250:L253,Náklady!L255:L255)</f>
        <v>5739014.2492027329</v>
      </c>
      <c r="L78" s="35">
        <f t="shared" si="51"/>
        <v>37477079.829636768</v>
      </c>
    </row>
    <row r="79" spans="1:13" ht="12" customHeight="1">
      <c r="A79" s="5" t="s">
        <v>487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35"/>
    </row>
    <row r="80" spans="1:13" ht="12" customHeight="1">
      <c r="A80" s="107" t="s">
        <v>94</v>
      </c>
      <c r="B80" s="108">
        <f>SUM(Náklady!C233:C236,Náklady!C242:C248,Náklady!C250:C253)-500000-B79</f>
        <v>-232648.39999999997</v>
      </c>
      <c r="C80" s="108">
        <f>SUM(Náklady!D233:D236,Náklady!D242:D248,Náklady!D250:D253)-500000-C79</f>
        <v>798030.8320000004</v>
      </c>
      <c r="D80" s="108">
        <f>SUM(Náklady!E233:E236,Náklady!E245:E248,Náklady!E250:E253)-D79</f>
        <v>1702180.9089600001</v>
      </c>
      <c r="E80" s="108">
        <f>SUM(Náklady!F233:F236,Náklady!F242:F248,Náklady!F250:F253)-E79</f>
        <v>55891179.040448792</v>
      </c>
      <c r="F80" s="108">
        <f>SUM(Náklady!G233:G236,Náklady!G244:G246,Náklady!G248,Náklady!G250:G252)*0.65+SUM(Náklady!F242:F243,Náklady!G247,Náklady!G253)-F79</f>
        <v>26813942.200151902</v>
      </c>
      <c r="G80" s="108"/>
      <c r="H80" s="108"/>
      <c r="I80" s="108"/>
      <c r="J80" s="108"/>
      <c r="K80" s="108"/>
      <c r="L80" s="109">
        <f t="shared" si="51"/>
        <v>84972684.581560701</v>
      </c>
      <c r="M80" s="134">
        <f>70000000-L80</f>
        <v>-14972684.581560701</v>
      </c>
    </row>
    <row r="81" spans="1:13" ht="12" customHeight="1">
      <c r="A81" s="113" t="s">
        <v>95</v>
      </c>
      <c r="B81" s="114"/>
      <c r="C81" s="114"/>
      <c r="D81" s="114"/>
      <c r="E81" s="114"/>
      <c r="F81" s="114">
        <f>SUM(Náklady!G233:G236,Náklady!G244:G246,Náklady!G248,Náklady!G250:G252)*0.35</f>
        <v>1370936.1044104826</v>
      </c>
      <c r="G81" s="114">
        <f>SUM(Náklady!H233:H236,Náklady!H244:H246,Náklady!H248,Náklady!H250:H252)*0.35</f>
        <v>1382712.518286797</v>
      </c>
      <c r="H81" s="114">
        <f>SUM(Náklady!I233:I236,Náklady!I244:I246,Náklady!I248,Náklady!I250:I252)*0.35</f>
        <v>1394842.2245794008</v>
      </c>
      <c r="I81" s="114">
        <f>SUM(Náklady!J233:J236,Náklady!J244:J246,Náklady!J248,Náklady!J250:J252)*0.35</f>
        <v>1407335.8220607829</v>
      </c>
      <c r="J81" s="114">
        <f>SUM(Náklady!K233:K236,Náklady!K244:K246,Náklady!K248,Náklady!K250:K252)*0.35</f>
        <v>1714729.2274666063</v>
      </c>
      <c r="K81" s="114">
        <f>SUM(Náklady!L233:L236,Náklady!L244:L246,Náklady!L248,Náklady!L250:L252)*0.35</f>
        <v>1727983.6850346045</v>
      </c>
      <c r="L81" s="115">
        <f t="shared" si="51"/>
        <v>8998539.5818386748</v>
      </c>
    </row>
    <row r="82" spans="1:13" ht="12" customHeight="1">
      <c r="A82" s="110" t="s">
        <v>96</v>
      </c>
      <c r="B82" s="111"/>
      <c r="C82" s="111"/>
      <c r="D82" s="111"/>
      <c r="E82" s="111"/>
      <c r="F82" s="111"/>
      <c r="G82" s="111">
        <f>SUM(Náklady!H233:H236,Náklady!H244:H246,Náklady!H248,Náklady!H250:H252)*0.65+SUM(Náklady!H242:H243,Náklady!H246:H247,Náklady!H253)-G79</f>
        <v>2379812.6830650573</v>
      </c>
      <c r="H82" s="111">
        <f>SUM(Náklady!I233:I236,Náklady!I244:I246,Náklady!I248,Náklady!I250:I252)*0.65+SUM(Náklady!I242:I243,Náklady!I246:I247,Náklady!I253)-H79</f>
        <v>2402339.2804656075</v>
      </c>
      <c r="I82" s="111">
        <f>SUM(Náklady!J233:J236,Náklady!J244:J246,Náklady!J248,Náklady!J250:J252)*0.65+SUM(Náklady!J242:J243,Náklady!J246:J247,Náklady!J253)-I79</f>
        <v>2425541.6757881744</v>
      </c>
      <c r="J82" s="111">
        <f>SUM(Náklady!K233:K236,Náklady!K244:K246,Náklady!K248,Náklady!K250:K252)*0.65+SUM(Náklady!K242:K243,Náklady!K246:K247,Náklady!K253)-J79</f>
        <v>2996415.1429704176</v>
      </c>
      <c r="K82" s="111">
        <f>SUM(Náklady!L233:L236,Náklady!L244:L246,Náklady!L248,Náklady!L250:L252)*0.65+SUM(Náklady!L242:L243,Náklady!L246:L247,Náklady!L253)-K79</f>
        <v>3021030.5641681287</v>
      </c>
      <c r="L82" s="112">
        <f t="shared" si="51"/>
        <v>13225139.346457386</v>
      </c>
    </row>
    <row r="83" spans="1:13" ht="12" customHeight="1">
      <c r="A83" s="116" t="s">
        <v>488</v>
      </c>
      <c r="B83" s="117">
        <f>SUM(Náklady!C255:C255)+500000</f>
        <v>500000</v>
      </c>
      <c r="C83" s="117">
        <f>SUM(Náklady!D255:D255)+500000</f>
        <v>753000</v>
      </c>
      <c r="D83" s="117">
        <f>SUM(Náklady!E255:E255)</f>
        <v>455000</v>
      </c>
      <c r="E83" s="117">
        <f>SUM(Náklady!F255:F255)</f>
        <v>750000</v>
      </c>
      <c r="F83" s="117">
        <f>SUM(Náklady!G255:G255)</f>
        <v>990000</v>
      </c>
      <c r="G83" s="117">
        <f>SUM(Náklady!H255:H255)</f>
        <v>990000</v>
      </c>
      <c r="H83" s="117">
        <f>SUM(Náklady!I255:I255)</f>
        <v>990000</v>
      </c>
      <c r="I83" s="117">
        <f>SUM(Náklady!J255:J255)</f>
        <v>990000</v>
      </c>
      <c r="J83" s="117">
        <f>SUM(Náklady!K255:K255)</f>
        <v>990000</v>
      </c>
      <c r="K83" s="117">
        <f>SUM(Náklady!L255:L255)</f>
        <v>990000</v>
      </c>
      <c r="L83" s="118">
        <f t="shared" si="51"/>
        <v>8398000</v>
      </c>
    </row>
    <row r="84" spans="1:13" ht="12" customHeight="1">
      <c r="A84" s="33" t="s">
        <v>492</v>
      </c>
      <c r="B84" s="36">
        <f>SUM(B85:B86)-B87-SUM(B88:B91)</f>
        <v>0</v>
      </c>
      <c r="C84" s="36">
        <f t="shared" ref="C84" si="52">SUM(C85:C86)-C87-SUM(C88:C91)</f>
        <v>0</v>
      </c>
      <c r="D84" s="36">
        <f t="shared" ref="D84" si="53">SUM(D85:D86)-D87-SUM(D88:D91)</f>
        <v>879283.68021999858</v>
      </c>
      <c r="E84" s="36" t="e">
        <f t="shared" ref="E84:K84" si="54">SUM(E85:E86)-E87-SUM(E88:E91)</f>
        <v>#REF!</v>
      </c>
      <c r="F84" s="36">
        <f t="shared" si="54"/>
        <v>5207236.7736843377</v>
      </c>
      <c r="G84" s="36">
        <f t="shared" si="54"/>
        <v>-777210.12310513295</v>
      </c>
      <c r="H84" s="36">
        <f t="shared" si="54"/>
        <v>-811866.42679828778</v>
      </c>
      <c r="I84" s="36">
        <f t="shared" si="54"/>
        <v>-847562.41960223671</v>
      </c>
      <c r="J84" s="36">
        <f t="shared" si="54"/>
        <v>-884329.29219030589</v>
      </c>
      <c r="K84" s="36">
        <f t="shared" si="54"/>
        <v>-922199.17095601466</v>
      </c>
      <c r="L84" s="37" t="e">
        <f>SUM(L85:L86)-L87-SUM(L88:L91)</f>
        <v>#REF!</v>
      </c>
    </row>
    <row r="85" spans="1:13" ht="12" customHeight="1">
      <c r="A85" s="5" t="s">
        <v>489</v>
      </c>
      <c r="B85" s="25">
        <f>SUM(Náklady!C260:C261,Náklady!C269:C271,Náklady!C273)</f>
        <v>0</v>
      </c>
      <c r="C85" s="25">
        <f>SUM(Náklady!D260:D261,Náklady!D269:D271,Náklady!D273)</f>
        <v>0</v>
      </c>
      <c r="D85" s="25">
        <f>SUM(Náklady!E260:E261,Náklady!E269:E271,Náklady!F273)</f>
        <v>4804483.6802199986</v>
      </c>
      <c r="E85" s="25" t="e">
        <f>SUM(Náklady!#REF!,Náklady!F269:F271,Náklady!#REF!)</f>
        <v>#REF!</v>
      </c>
      <c r="F85" s="25">
        <f>SUM(Náklady!F260:F261,Náklady!G269:G271,Náklady!G273)</f>
        <v>5950800</v>
      </c>
      <c r="G85" s="25">
        <f>SUM(Náklady!H260:H261,Náklady!H269:H271,Náklady!H273)</f>
        <v>0</v>
      </c>
      <c r="H85" s="25">
        <f>SUM(Náklady!I260:I261,Náklady!I269:I271,Náklady!I273)</f>
        <v>0</v>
      </c>
      <c r="I85" s="25">
        <f>SUM(Náklady!J260:J261,Náklady!J269:J271,Náklady!J273)</f>
        <v>0</v>
      </c>
      <c r="J85" s="25">
        <f>SUM(Náklady!K260:K261,Náklady!K269:K271,Náklady!K273)</f>
        <v>0</v>
      </c>
      <c r="K85" s="25">
        <f>SUM(Náklady!L260:L261,Náklady!L269:L271,Náklady!L273)</f>
        <v>0</v>
      </c>
      <c r="L85" s="35" t="e">
        <f t="shared" ref="L85:L91" si="55">SUM(B85:K85)</f>
        <v>#REF!</v>
      </c>
    </row>
    <row r="86" spans="1:13" ht="12" customHeight="1">
      <c r="A86" s="5" t="s">
        <v>486</v>
      </c>
      <c r="B86" s="25">
        <f>SUM(Náklady!C262:C263,Náklady!C272,Náklady!C274:C275,Náklady!C277:C280,Náklady!C282:C282)</f>
        <v>267351.60000000003</v>
      </c>
      <c r="C86" s="25">
        <f>SUM(Náklady!D262:D263,Náklady!D272,Náklady!D274:D275,Náklady!D277:D280,Náklady!D282:D282)</f>
        <v>1551030.8320000004</v>
      </c>
      <c r="D86" s="25">
        <f>SUM(Náklady!E262:E263,Náklady!E272,Náklady!E274:E275,Náklady!E277:E280,Náklady!E282:E282)</f>
        <v>2751257.6129600001</v>
      </c>
      <c r="E86" s="25">
        <f>SUM(Náklady!F262:F263,Náklady!F272,Náklady!F274:F275,Náklady!F277:F280,Náklady!F282:F282)</f>
        <v>4363725.0402287999</v>
      </c>
      <c r="F86" s="25">
        <f>SUM(Náklady!G262:G263,Náklady!G272,Náklady!G274:G275,Náklady!G277:G280,Náklady!G282:G282)</f>
        <v>6260137.2325623846</v>
      </c>
      <c r="G86" s="25">
        <f>SUM(Náklady!H262:H263,Náklady!H272,Náklady!H274:H275,Náklady!H277:H280,Náklady!H282:H282)</f>
        <v>6293784.1293518543</v>
      </c>
      <c r="H86" s="25">
        <f>SUM(Náklady!I262:I263,Náklady!I272,Náklady!I274:I275,Náklady!I277:I280,Náklady!I282:I282)</f>
        <v>6328440.4330450073</v>
      </c>
      <c r="I86" s="25">
        <f>SUM(Náklady!J262:J263,Náklady!J272,Náklady!J274:J275,Náklady!J277:J280,Náklady!J282:J282)</f>
        <v>6477752.4258489562</v>
      </c>
      <c r="J86" s="25">
        <f>SUM(Náklady!K262:K263,Náklady!K272,Náklady!K274:K275,Náklady!K277:K280,Náklady!K282:K282)</f>
        <v>6688903.2984370235</v>
      </c>
      <c r="K86" s="25">
        <f>SUM(Náklady!L262:L263,Náklady!L272,Náklady!L274:L275,Náklady!L277:L280,Náklady!L282:L282)</f>
        <v>6726773.1772027332</v>
      </c>
      <c r="L86" s="35">
        <f t="shared" si="55"/>
        <v>47709155.781636752</v>
      </c>
    </row>
    <row r="87" spans="1:13" ht="12" customHeight="1">
      <c r="A87" s="5" t="s">
        <v>487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35"/>
    </row>
    <row r="88" spans="1:13" ht="12" customHeight="1">
      <c r="A88" s="107" t="s">
        <v>94</v>
      </c>
      <c r="B88" s="108">
        <f>SUM(Náklady!C260:C263,Náklady!C269:C275,Náklady!C277:C280)-500000-B87</f>
        <v>-232648.39999999997</v>
      </c>
      <c r="C88" s="108">
        <f>SUM(Náklady!D260:D263,Náklady!D269:D275,Náklady!D277:D280)-500000-C87</f>
        <v>798030.8320000004</v>
      </c>
      <c r="D88" s="108">
        <f>SUM(Náklady!E260:E263,Náklady!E269:E275,Náklady!E277:E280)-D87</f>
        <v>6221457.6129599996</v>
      </c>
      <c r="E88" s="108">
        <f>SUM(Náklady!F260:F263,Náklady!F269:F275,Náklady!F277:F280)-E87</f>
        <v>34899808.720448799</v>
      </c>
      <c r="F88" s="108">
        <f>SUM(Náklady!G260:G263,Náklady!G271:G273,Náklady!G276,Náklady!G278:G279)*0.65+SUM(Náklady!G269:G270,Náklady!G274,Náklady!G280)-F87</f>
        <v>3843076.6004570834</v>
      </c>
      <c r="G88" s="108"/>
      <c r="H88" s="108"/>
      <c r="I88" s="108"/>
      <c r="J88" s="108"/>
      <c r="K88" s="108"/>
      <c r="L88" s="109">
        <f t="shared" si="55"/>
        <v>45529725.365865886</v>
      </c>
      <c r="M88" s="134">
        <f>70000000-L88</f>
        <v>24470274.634134114</v>
      </c>
    </row>
    <row r="89" spans="1:13" ht="12" customHeight="1">
      <c r="A89" s="113" t="s">
        <v>95</v>
      </c>
      <c r="B89" s="114"/>
      <c r="C89" s="114"/>
      <c r="D89" s="114"/>
      <c r="E89" s="114"/>
      <c r="F89" s="114">
        <f>SUM(Náklady!G260:G263,Náklady!G271:G273,Náklady!G276,Náklady!G278:G279)*0.35</f>
        <v>2170623.8584209648</v>
      </c>
      <c r="G89" s="114">
        <f>SUM(Náklady!H260:H263,Náklady!H271:H273,Náklady!H276,Náklady!H278:H279)*0.35</f>
        <v>2194176.6861735936</v>
      </c>
      <c r="H89" s="114">
        <f>SUM(Náklady!I260:I263,Náklady!I271:I273,Náklady!I276,Náklady!I278:I279)*0.35</f>
        <v>2218436.0987588014</v>
      </c>
      <c r="I89" s="114">
        <f>SUM(Náklady!J260:J263,Náklady!J271:J273,Náklady!J276,Náklady!J278:J279)*0.35</f>
        <v>2283188.8937215656</v>
      </c>
      <c r="J89" s="114">
        <f>SUM(Náklady!K260:K263,Náklady!K271:K273,Náklady!K276,Náklady!K278:K279)*0.35</f>
        <v>2369960.1045332127</v>
      </c>
      <c r="K89" s="114">
        <f>SUM(Náklady!L260:L263,Náklady!L271:L273,Náklady!L276,Náklady!L278:L279)*0.35</f>
        <v>2396469.0196692096</v>
      </c>
      <c r="L89" s="115">
        <f t="shared" si="55"/>
        <v>13632854.661277346</v>
      </c>
    </row>
    <row r="90" spans="1:13" ht="12" customHeight="1">
      <c r="A90" s="110" t="s">
        <v>96</v>
      </c>
      <c r="B90" s="111"/>
      <c r="C90" s="111"/>
      <c r="D90" s="111"/>
      <c r="E90" s="111"/>
      <c r="F90" s="111"/>
      <c r="G90" s="111">
        <f>SUM(Náklady!H260:H263,Náklady!H271:H273,Náklady!H276,Náklady!H278:H279)*0.65+SUM(Náklady!H269:H270,Náklady!H274,Náklady!H280)-G87</f>
        <v>3886817.5662833941</v>
      </c>
      <c r="H90" s="111">
        <f>SUM(Náklady!I260:I263,Náklady!I271:I273,Náklady!I276,Náklady!I278:I279)*0.65+SUM(Náklady!I269:I270,Náklady!I274,Náklady!I280)-H87</f>
        <v>3931870.7610844942</v>
      </c>
      <c r="I90" s="111">
        <f>SUM(Náklady!J260:J263,Náklady!J271:J273,Náklady!J276,Náklady!J278:J279)*0.65+SUM(Náklady!J269:J270,Náklady!J274,Náklady!J280)-I87</f>
        <v>4052125.9517296278</v>
      </c>
      <c r="J90" s="111">
        <f>SUM(Náklady!K260:K263,Náklady!K271:K273,Náklady!K276,Náklady!K278:K279)*0.65+SUM(Náklady!K269:K270,Náklady!K274,Náklady!K280)-J87</f>
        <v>4213272.4860941162</v>
      </c>
      <c r="K90" s="111">
        <f>SUM(Náklady!L260:L263,Náklady!L271:L273,Náklady!L276,Náklady!L278:L279)*0.65+SUM(Náklady!L269:L270,Náklady!L274,Náklady!L280)-K87</f>
        <v>4262503.3284895383</v>
      </c>
      <c r="L90" s="112">
        <f t="shared" si="55"/>
        <v>20346590.093681172</v>
      </c>
    </row>
    <row r="91" spans="1:13" ht="12" customHeight="1">
      <c r="A91" s="116" t="s">
        <v>488</v>
      </c>
      <c r="B91" s="117">
        <f>SUM(Náklady!C282:C282)+500000</f>
        <v>500000</v>
      </c>
      <c r="C91" s="117">
        <f>SUM(Náklady!D282:D282)+500000</f>
        <v>753000</v>
      </c>
      <c r="D91" s="117">
        <f>SUM(Náklady!E282:E282)</f>
        <v>455000</v>
      </c>
      <c r="E91" s="117">
        <f>SUM(Náklady!F282:F282)</f>
        <v>750000</v>
      </c>
      <c r="F91" s="117">
        <f>SUM(Náklady!G282:G282)</f>
        <v>990000</v>
      </c>
      <c r="G91" s="117">
        <f>SUM(Náklady!H282:H282)</f>
        <v>990000</v>
      </c>
      <c r="H91" s="117">
        <f>SUM(Náklady!I282:I282)</f>
        <v>990000</v>
      </c>
      <c r="I91" s="117">
        <f>SUM(Náklady!J282:J282)</f>
        <v>990000</v>
      </c>
      <c r="J91" s="117">
        <f>SUM(Náklady!K282:K282)</f>
        <v>990000</v>
      </c>
      <c r="K91" s="117">
        <f>SUM(Náklady!L282:L282)</f>
        <v>990000</v>
      </c>
      <c r="L91" s="118">
        <f t="shared" si="55"/>
        <v>8398000</v>
      </c>
    </row>
    <row r="92" spans="1:13" ht="12" customHeight="1">
      <c r="A92" s="33" t="s">
        <v>218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7"/>
    </row>
    <row r="93" spans="1:13" ht="12" customHeight="1">
      <c r="A93" s="5" t="s">
        <v>489</v>
      </c>
      <c r="B93" s="25">
        <f>SUM(Náklady!C287,Náklady!C288,Náklady!C296,Náklady!C297,Náklady!C298,Náklady!C300)</f>
        <v>0</v>
      </c>
      <c r="C93" s="25">
        <f>SUM(Náklady!D287,Náklady!D288,Náklady!D296,Náklady!D297,Náklady!D298,Náklady!D300)</f>
        <v>0</v>
      </c>
      <c r="D93" s="25">
        <f>SUM(Náklady!E287,Náklady!E288,Náklady!F296,Náklady!F297,Náklady!E298,Náklady!F300)</f>
        <v>58557283.68022</v>
      </c>
      <c r="E93" s="25" t="e">
        <f>SUM(Náklady!#REF!,Náklady!#REF!,Náklady!#REF!,Náklady!#REF!,Náklady!#REF!,Náklady!#REF!)</f>
        <v>#REF!</v>
      </c>
      <c r="F93" s="25">
        <f>SUM(Náklady!F287,Náklady!F288,Náklady!G296,Náklady!G297,Náklady!F298,Náklady!G300)</f>
        <v>56130000</v>
      </c>
      <c r="G93" s="25">
        <f>SUM(Náklady!H287,Náklady!H288,Náklady!H296,Náklady!H297,Náklady!H298,Náklady!H300)</f>
        <v>0</v>
      </c>
      <c r="H93" s="25">
        <f>SUM(Náklady!I287,Náklady!I288,Náklady!I296,Náklady!I297,Náklady!I298,Náklady!I300)</f>
        <v>0</v>
      </c>
      <c r="I93" s="25">
        <f>SUM(Náklady!J287,Náklady!J288,Náklady!J296,Náklady!J297,Náklady!J298,Náklady!J300)</f>
        <v>0</v>
      </c>
      <c r="J93" s="25">
        <f>SUM(Náklady!K287,Náklady!K288,Náklady!K296,Náklady!K297,Náklady!K298,Náklady!K300)</f>
        <v>0</v>
      </c>
      <c r="K93" s="25">
        <f>SUM(Náklady!L287,Náklady!L288,Náklady!L296,Náklady!L297,Náklady!L298,Náklady!L300)</f>
        <v>0</v>
      </c>
      <c r="L93" s="35" t="e">
        <f t="shared" ref="L93:L99" si="56">SUM(B93:K93)</f>
        <v>#REF!</v>
      </c>
    </row>
    <row r="94" spans="1:13" ht="12" customHeight="1">
      <c r="A94" s="5" t="s">
        <v>486</v>
      </c>
      <c r="B94" s="25">
        <f>SUM(Náklady!C289,Náklady!C290,Náklady!C299,Náklady!C301,Náklady!C302,Náklady!C304:C307,Náklady!C309:C309)</f>
        <v>378073.20000000007</v>
      </c>
      <c r="C94" s="25">
        <f>SUM(Náklady!D289,Náklady!D290,Náklady!D299,Náklady!D301,Náklady!D302,Náklady!D304:D307,Náklady!D309:D309)</f>
        <v>1950182.2000000002</v>
      </c>
      <c r="D94" s="25">
        <f>SUM(Náklady!E289,Náklady!E290,Náklady!E299,Náklady!E301,Náklady!E302,Náklady!E304:E307,Náklady!E309:E309)</f>
        <v>4546339.1648000004</v>
      </c>
      <c r="E94" s="25">
        <f>SUM(Náklady!F289,Náklady!F290,Náklady!F299,Náklady!F301,Náklady!F302,Náklady!F304:F307,Náklady!F309:F309)</f>
        <v>10174715.519112002</v>
      </c>
      <c r="F94" s="25">
        <f>SUM(Náklady!G289,Náklady!G290,Náklady!G299,Náklady!G301,Náklady!G302,Náklady!G304:G307,Náklady!G309:G309)</f>
        <v>16811709.315895323</v>
      </c>
      <c r="G94" s="25">
        <f>SUM(Náklady!H289,Náklady!H290,Náklady!H299,Náklady!H301,Náklady!H302,Náklady!H304:H307,Náklady!H309:H309)</f>
        <v>16951904.719184779</v>
      </c>
      <c r="H94" s="25">
        <f>SUM(Náklady!I289,Náklady!I290,Náklady!I299,Náklady!I301,Náklady!I302,Náklady!I304:I307,Náklady!I309:I309)</f>
        <v>17096305.984572921</v>
      </c>
      <c r="I94" s="25">
        <f>SUM(Náklady!J289,Náklady!J290,Náklady!J299,Náklady!J301,Náklady!J302,Náklady!J304:J307,Náklady!J309:J309)</f>
        <v>17437279.287922706</v>
      </c>
      <c r="J94" s="25">
        <f>SUM(Náklady!K289,Náklady!K290,Náklady!K299,Náklady!K301,Náklady!K302,Náklady!K304:K307,Náklady!K309:K309)</f>
        <v>19270234.590372987</v>
      </c>
      <c r="K94" s="25">
        <f>SUM(Náklady!L289,Náklady!L290,Náklady!L299,Náklady!L301,Náklady!L302,Náklady!L304:L307,Náklady!L309:L309)</f>
        <v>19428025.751896776</v>
      </c>
      <c r="L94" s="35">
        <f t="shared" si="56"/>
        <v>124044769.7337575</v>
      </c>
    </row>
    <row r="95" spans="1:13" ht="12" customHeight="1">
      <c r="A95" s="5" t="s">
        <v>487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35"/>
    </row>
    <row r="96" spans="1:13" ht="12" customHeight="1">
      <c r="A96" s="107" t="s">
        <v>94</v>
      </c>
      <c r="B96" s="108">
        <f>SUM(B93:B94)</f>
        <v>378073.20000000007</v>
      </c>
      <c r="C96" s="108">
        <f t="shared" ref="C96:E96" si="57">SUM(C93:C94)</f>
        <v>1950182.2000000002</v>
      </c>
      <c r="D96" s="108">
        <f t="shared" si="57"/>
        <v>63103622.845020004</v>
      </c>
      <c r="E96" s="108" t="e">
        <f t="shared" si="57"/>
        <v>#REF!</v>
      </c>
      <c r="F96" s="108">
        <f>SUM(F93:F94)-F97</f>
        <v>53344509.315895319</v>
      </c>
      <c r="G96" s="108"/>
      <c r="H96" s="108"/>
      <c r="I96" s="108"/>
      <c r="J96" s="108"/>
      <c r="K96" s="108"/>
      <c r="L96" s="109" t="e">
        <f t="shared" si="56"/>
        <v>#REF!</v>
      </c>
      <c r="M96" s="134" t="e">
        <f>70000000-L96</f>
        <v>#REF!</v>
      </c>
    </row>
    <row r="97" spans="1:13" ht="12" customHeight="1">
      <c r="A97" s="113" t="s">
        <v>95</v>
      </c>
      <c r="B97" s="114"/>
      <c r="C97" s="114"/>
      <c r="D97" s="114"/>
      <c r="E97" s="114"/>
      <c r="F97" s="114">
        <f>Náklady!F287*0.35</f>
        <v>19597200</v>
      </c>
      <c r="G97" s="114"/>
      <c r="H97" s="114"/>
      <c r="I97" s="114"/>
      <c r="J97" s="114"/>
      <c r="K97" s="114"/>
      <c r="L97" s="115">
        <f t="shared" si="56"/>
        <v>19597200</v>
      </c>
    </row>
    <row r="98" spans="1:13" ht="12" customHeight="1">
      <c r="A98" s="110" t="s">
        <v>96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2">
        <f t="shared" si="56"/>
        <v>0</v>
      </c>
    </row>
    <row r="99" spans="1:13" ht="12" customHeight="1">
      <c r="A99" s="116" t="s">
        <v>488</v>
      </c>
      <c r="B99" s="117">
        <v>1500000</v>
      </c>
      <c r="C99" s="117">
        <v>1500000</v>
      </c>
      <c r="D99" s="117">
        <v>1000000</v>
      </c>
      <c r="E99" s="117">
        <v>1000000</v>
      </c>
      <c r="F99" s="117">
        <v>1000000</v>
      </c>
      <c r="G99" s="117">
        <v>1000000</v>
      </c>
      <c r="H99" s="117">
        <v>1000000</v>
      </c>
      <c r="I99" s="117">
        <v>1000000</v>
      </c>
      <c r="J99" s="117">
        <v>1000000</v>
      </c>
      <c r="K99" s="117">
        <v>1000000</v>
      </c>
      <c r="L99" s="118">
        <f t="shared" si="56"/>
        <v>11000000</v>
      </c>
    </row>
    <row r="100" spans="1:13" ht="12" customHeight="1">
      <c r="A100" s="33" t="s">
        <v>220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7"/>
    </row>
    <row r="101" spans="1:13" ht="12" customHeight="1">
      <c r="A101" s="5" t="s">
        <v>489</v>
      </c>
      <c r="B101" s="25">
        <f>SUM(Náklady!C314,Náklady!C315,Náklady!C323,Náklady!C324,Náklady!C325,Náklady!C327)</f>
        <v>0</v>
      </c>
      <c r="C101" s="25">
        <f>SUM(Náklady!D314,Náklady!D315,Náklady!D323,Náklady!D324,Náklady!D325,Náklady!D327)</f>
        <v>0</v>
      </c>
      <c r="D101" s="25">
        <f>SUM(Náklady!E314,Náklady!E315,Náklady!F323,Náklady!F324,Náklady!E325,Náklady!F327)</f>
        <v>55936483.68022</v>
      </c>
      <c r="E101" s="25" t="e">
        <f>SUM(Náklady!#REF!,Náklady!#REF!,Náklady!#REF!,Náklady!#REF!,Náklady!#REF!,Náklady!#REF!)</f>
        <v>#REF!</v>
      </c>
      <c r="F101" s="25">
        <f>SUM(Náklady!F314,Náklady!F315,Náklady!G323,Náklady!G324,Náklady!F325,Náklady!G327)</f>
        <v>34750800</v>
      </c>
      <c r="G101" s="25">
        <f>SUM(Náklady!H314,Náklady!H315,Náklady!H323,Náklady!H324,Náklady!H325,Náklady!H327)</f>
        <v>0</v>
      </c>
      <c r="H101" s="25">
        <f>SUM(Náklady!I314,Náklady!I315,Náklady!I323,Náklady!I324,Náklady!I325,Náklady!I327)</f>
        <v>0</v>
      </c>
      <c r="I101" s="25">
        <f>SUM(Náklady!J314,Náklady!J315,Náklady!J323,Náklady!J324,Náklady!J325,Náklady!J327)</f>
        <v>0</v>
      </c>
      <c r="J101" s="25">
        <f>SUM(Náklady!K314,Náklady!K315,Náklady!K323,Náklady!K324,Náklady!K325,Náklady!K327)</f>
        <v>0</v>
      </c>
      <c r="K101" s="25">
        <f>SUM(Náklady!L314,Náklady!L315,Náklady!L323,Náklady!L324,Náklady!L325,Náklady!L327)</f>
        <v>0</v>
      </c>
      <c r="L101" s="35" t="e">
        <f t="shared" ref="L101:L107" si="58">SUM(B101:K101)</f>
        <v>#REF!</v>
      </c>
    </row>
    <row r="102" spans="1:13" ht="12" customHeight="1">
      <c r="A102" s="5" t="s">
        <v>486</v>
      </c>
      <c r="B102" s="25">
        <f>SUM(Náklady!C316:C317,Náklady!C326,Náklady!C328:C329,Náklady!C331:C334,Náklady!C336:C337)</f>
        <v>378073.20000000007</v>
      </c>
      <c r="C102" s="25">
        <f>SUM(Náklady!D316:D317,Náklady!D326,Náklady!D328:D329,Náklady!D331:D334,Náklady!D336:D337)</f>
        <v>1950182.2000000002</v>
      </c>
      <c r="D102" s="25">
        <f>SUM(Náklady!E316:E317,Náklady!E326,Náklady!E328:E329,Náklady!E331:E334,Náklady!E336:E337)</f>
        <v>4556367.6128000002</v>
      </c>
      <c r="E102" s="25">
        <f>SUM(Náklady!F316:F317,Náklady!F326,Náklady!F328:F329,Náklady!F331:F334,Náklady!F336:F337)</f>
        <v>11518167.976128001</v>
      </c>
      <c r="F102" s="25">
        <f>SUM(Náklady!G316:G317,Náklady!G326,Náklady!G328:G329,Náklady!G331:G334,Náklady!G336:G337)</f>
        <v>19495626.660924502</v>
      </c>
      <c r="G102" s="25">
        <f>SUM(Náklady!H316:H317,Náklady!H326,Náklady!H328:H329,Náklady!H331:H334,Náklady!H336:H337)</f>
        <v>19650776.240564838</v>
      </c>
      <c r="H102" s="25">
        <f>SUM(Náklady!I316:I317,Náklady!I326,Náklady!I328:I329,Náklady!I331:I334,Náklady!I336:I337)</f>
        <v>19810580.307594381</v>
      </c>
      <c r="I102" s="25">
        <f>SUM(Náklady!J316:J317,Náklady!J326,Náklady!J328:J329,Náklady!J331:J334,Náklady!J336:J337)</f>
        <v>20088794.496634811</v>
      </c>
      <c r="J102" s="25">
        <f>SUM(Náklady!K316:K317,Náklady!K326,Náklady!K328:K329,Náklady!K331:K334,Náklady!K336:K337)</f>
        <v>21296714.631346453</v>
      </c>
      <c r="K102" s="25">
        <f>SUM(Náklady!L316:L317,Náklady!L326,Náklady!L328:L329,Náklady!L331:L334,Náklady!L336:L337)</f>
        <v>21471336.850099444</v>
      </c>
      <c r="L102" s="35">
        <f t="shared" si="58"/>
        <v>140216620.17609245</v>
      </c>
    </row>
    <row r="103" spans="1:13" ht="12" customHeight="1">
      <c r="A103" s="5" t="s">
        <v>487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35"/>
    </row>
    <row r="104" spans="1:13" ht="12" customHeight="1">
      <c r="A104" s="107" t="s">
        <v>94</v>
      </c>
      <c r="B104" s="108">
        <f>SUM(B101:B102)</f>
        <v>378073.20000000007</v>
      </c>
      <c r="C104" s="108">
        <f t="shared" ref="C104:E104" si="59">SUM(C101:C102)</f>
        <v>1950182.2000000002</v>
      </c>
      <c r="D104" s="108">
        <f t="shared" si="59"/>
        <v>60492851.293020003</v>
      </c>
      <c r="E104" s="108" t="e">
        <f t="shared" si="59"/>
        <v>#REF!</v>
      </c>
      <c r="F104" s="108">
        <f>SUM(F101:F102)-F105</f>
        <v>42131946.660924502</v>
      </c>
      <c r="G104" s="108"/>
      <c r="H104" s="108"/>
      <c r="I104" s="108"/>
      <c r="J104" s="108"/>
      <c r="K104" s="108"/>
      <c r="L104" s="109" t="e">
        <f t="shared" si="58"/>
        <v>#REF!</v>
      </c>
      <c r="M104" s="134" t="e">
        <f>70000000-L104</f>
        <v>#REF!</v>
      </c>
    </row>
    <row r="105" spans="1:13" ht="12" customHeight="1">
      <c r="A105" s="113" t="s">
        <v>95</v>
      </c>
      <c r="B105" s="114"/>
      <c r="C105" s="114"/>
      <c r="D105" s="114"/>
      <c r="E105" s="114"/>
      <c r="F105" s="114">
        <f>Náklady!F314*0.35</f>
        <v>12114480</v>
      </c>
      <c r="G105" s="114"/>
      <c r="H105" s="114"/>
      <c r="I105" s="114"/>
      <c r="J105" s="114"/>
      <c r="K105" s="114"/>
      <c r="L105" s="115">
        <f t="shared" si="58"/>
        <v>12114480</v>
      </c>
    </row>
    <row r="106" spans="1:13" ht="12" customHeight="1">
      <c r="A106" s="110" t="s">
        <v>96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2">
        <f t="shared" si="58"/>
        <v>0</v>
      </c>
    </row>
    <row r="107" spans="1:13" ht="12" customHeight="1" thickBot="1">
      <c r="A107" s="119" t="s">
        <v>488</v>
      </c>
      <c r="B107" s="120">
        <v>1500000</v>
      </c>
      <c r="C107" s="120">
        <v>1500000</v>
      </c>
      <c r="D107" s="120">
        <v>1000000</v>
      </c>
      <c r="E107" s="120">
        <v>1000000</v>
      </c>
      <c r="F107" s="120">
        <v>1000000</v>
      </c>
      <c r="G107" s="120">
        <v>1000000</v>
      </c>
      <c r="H107" s="120">
        <v>1000000</v>
      </c>
      <c r="I107" s="120">
        <v>1000000</v>
      </c>
      <c r="J107" s="120">
        <v>1000000</v>
      </c>
      <c r="K107" s="120">
        <v>1000000</v>
      </c>
      <c r="L107" s="121">
        <f t="shared" si="58"/>
        <v>11000000</v>
      </c>
    </row>
  </sheetData>
  <phoneticPr fontId="26" type="noConversion"/>
  <conditionalFormatting sqref="M1:M14 M16:M1048576">
    <cfRule type="cellIs" dxfId="4" priority="5" operator="greaterThan">
      <formula>0</formula>
    </cfRule>
    <cfRule type="cellIs" dxfId="3" priority="6" operator="lessThan">
      <formula>0</formula>
    </cfRule>
  </conditionalFormatting>
  <conditionalFormatting sqref="M7 M16 M24 M32 M40 M48 M56 M64 M72 M80 M88 M96 M104">
    <cfRule type="cellIs" dxfId="2" priority="3" stopIfTrue="1" operator="equal">
      <formula>0</formula>
    </cfRule>
  </conditionalFormatting>
  <conditionalFormatting sqref="M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4CB3B-DF39-4249-9437-CE5164AA4F8F}">
  <dimension ref="A1:N184"/>
  <sheetViews>
    <sheetView zoomScaleNormal="100" workbookViewId="0">
      <selection activeCell="C2" sqref="C2"/>
    </sheetView>
  </sheetViews>
  <sheetFormatPr defaultRowHeight="14.4"/>
  <cols>
    <col min="1" max="1" width="31.109375" customWidth="1"/>
    <col min="2" max="4" width="13.44140625" customWidth="1"/>
    <col min="5" max="6" width="13.44140625" hidden="1" customWidth="1"/>
    <col min="7" max="7" width="14" hidden="1" customWidth="1"/>
    <col min="8" max="9" width="13.44140625" hidden="1" customWidth="1"/>
    <col min="10" max="10" width="14" hidden="1" customWidth="1"/>
    <col min="11" max="11" width="13.44140625" bestFit="1" customWidth="1"/>
    <col min="14" max="14" width="14.88671875" bestFit="1" customWidth="1"/>
  </cols>
  <sheetData>
    <row r="1" spans="1:14" ht="30.6">
      <c r="A1" s="194" t="s">
        <v>9</v>
      </c>
      <c r="B1" s="208" t="s">
        <v>10</v>
      </c>
      <c r="C1" s="208" t="s">
        <v>517</v>
      </c>
      <c r="D1" s="208" t="s">
        <v>11</v>
      </c>
      <c r="E1" s="125" t="s">
        <v>10</v>
      </c>
      <c r="F1" s="208" t="s">
        <v>12</v>
      </c>
      <c r="G1" s="208" t="s">
        <v>11</v>
      </c>
      <c r="H1" s="125" t="s">
        <v>10</v>
      </c>
      <c r="I1" s="208" t="s">
        <v>13</v>
      </c>
      <c r="J1" s="208" t="s">
        <v>11</v>
      </c>
    </row>
    <row r="2" spans="1:14">
      <c r="A2" s="196" t="s">
        <v>14</v>
      </c>
      <c r="B2" s="25">
        <f>Náklady!M3-Náklady!M9-Náklady!M11</f>
        <v>379477008.44893235</v>
      </c>
      <c r="C2" s="25">
        <f>SUM('Súhrn CBA'!M15,'Súhrn CBA'!M59)</f>
        <v>700012728.00000012</v>
      </c>
      <c r="D2" s="202">
        <f>C2-B2</f>
        <v>320535719.55106777</v>
      </c>
      <c r="E2" s="25">
        <f>Náklady!M3</f>
        <v>412375381.28025579</v>
      </c>
      <c r="F2" s="25">
        <f>SUM('Súhrn CBA'!M29,'Súhrn CBA'!M73)</f>
        <v>700012728.00000012</v>
      </c>
      <c r="G2" s="202">
        <f>F2-E2</f>
        <v>287637346.71974432</v>
      </c>
      <c r="H2" s="25">
        <f>Náklady!M3</f>
        <v>412375381.28025579</v>
      </c>
      <c r="I2" s="25">
        <f>SUM('Súhrn CBA'!M43,'Súhrn CBA'!M87)</f>
        <v>1651671470.4000001</v>
      </c>
      <c r="J2" s="202">
        <f t="shared" ref="J2:J14" si="0">I2-H2</f>
        <v>1239296089.1197443</v>
      </c>
    </row>
    <row r="3" spans="1:14" hidden="1">
      <c r="A3" s="196" t="s">
        <v>15</v>
      </c>
      <c r="B3" s="25">
        <f>Náklady!M14-Náklady!M36-Náklady!M38</f>
        <v>78780682.494291767</v>
      </c>
      <c r="C3" s="25">
        <f>SUM(F31:G31)</f>
        <v>295580707.50239998</v>
      </c>
      <c r="D3" s="202">
        <f t="shared" ref="D3:D14" si="1">C3-B3</f>
        <v>216800025.0081082</v>
      </c>
      <c r="E3" s="25">
        <f>Náklady!M14</f>
        <v>91971569.792156458</v>
      </c>
      <c r="F3" s="25">
        <f>SUM('Súhrn CBA'!$I$29,'Súhrn CBA'!$I$73)</f>
        <v>183831170.89824003</v>
      </c>
      <c r="G3" s="202">
        <f t="shared" ref="G3:G14" si="2">F3-E3</f>
        <v>91859601.106083572</v>
      </c>
      <c r="H3" s="25">
        <f>Náklady!M14</f>
        <v>91971569.792156458</v>
      </c>
      <c r="I3" s="25">
        <f>SUM('Súhrn CBA'!$I$43,'Súhrn CBA'!$I$87)</f>
        <v>474537020.20128</v>
      </c>
      <c r="J3" s="202">
        <f t="shared" si="0"/>
        <v>382565450.40912354</v>
      </c>
    </row>
    <row r="4" spans="1:14" hidden="1">
      <c r="A4" s="196" t="s">
        <v>16</v>
      </c>
      <c r="B4" s="25">
        <f>Náklady!M41-Náklady!M63-Náklady!M65</f>
        <v>69935944.446291745</v>
      </c>
      <c r="C4" s="25">
        <f>SUM(F44:G44)</f>
        <v>207979555.35916799</v>
      </c>
      <c r="D4" s="202">
        <f t="shared" si="1"/>
        <v>138043610.91287625</v>
      </c>
      <c r="E4" s="25">
        <f>Náklady!M41</f>
        <v>83126831.744156435</v>
      </c>
      <c r="F4" s="25">
        <f>SUM('Súhrn CBA'!$K$29,'Súhrn CBA'!$K$73)</f>
        <v>207979555.35916799</v>
      </c>
      <c r="G4" s="202">
        <f t="shared" si="2"/>
        <v>124852723.61501156</v>
      </c>
      <c r="H4" s="25">
        <f>Náklady!M41</f>
        <v>83126831.744156435</v>
      </c>
      <c r="I4" s="25">
        <f>SUM('Súhrn CBA'!$K$43,'Súhrn CBA'!$K$87)</f>
        <v>530960449.11505926</v>
      </c>
      <c r="J4" s="202">
        <f t="shared" si="0"/>
        <v>447833617.37090284</v>
      </c>
    </row>
    <row r="5" spans="1:14" hidden="1">
      <c r="A5" s="196" t="s">
        <v>17</v>
      </c>
      <c r="B5" s="25">
        <f>Náklady!M68-Náklady!M90-Náklady!M92</f>
        <v>200027062.46495372</v>
      </c>
      <c r="C5" s="25">
        <f>SUM(F57:G57)</f>
        <v>664498734.65279984</v>
      </c>
      <c r="D5" s="202">
        <f t="shared" si="1"/>
        <v>464471672.18784612</v>
      </c>
      <c r="E5" s="25">
        <f>Náklady!M68</f>
        <v>232925435.29627717</v>
      </c>
      <c r="F5" s="25">
        <f>SUM('Súhrn CBA'!$J$29,'Súhrn CBA'!$J$73)</f>
        <v>664498734.65279984</v>
      </c>
      <c r="G5" s="202">
        <f t="shared" si="2"/>
        <v>431573299.35652268</v>
      </c>
      <c r="H5" s="25">
        <f>Náklady!M68</f>
        <v>232925435.29627717</v>
      </c>
      <c r="I5" s="25">
        <f>SUM('Súhrn CBA'!$J$43,'Súhrn CBA'!$J$87)</f>
        <v>1712355960.254976</v>
      </c>
      <c r="J5" s="202">
        <f t="shared" si="0"/>
        <v>1479430524.9586987</v>
      </c>
    </row>
    <row r="6" spans="1:14" hidden="1">
      <c r="A6" s="196" t="s">
        <v>18</v>
      </c>
      <c r="B6" s="25">
        <f>Náklady!M95-Náklady!M117-Náklady!M119</f>
        <v>190900134.74195632</v>
      </c>
      <c r="C6" s="25">
        <f>SUM(F70:G70)</f>
        <v>682072175.32012808</v>
      </c>
      <c r="D6" s="202">
        <f t="shared" si="1"/>
        <v>491172040.57817173</v>
      </c>
      <c r="E6" s="25">
        <f>Náklady!M95</f>
        <v>226116181.73861212</v>
      </c>
      <c r="F6" s="25">
        <f>SUM('Súhrn CBA'!$L$29,'Súhrn CBA'!$L$73)</f>
        <v>682072175.32012808</v>
      </c>
      <c r="G6" s="202">
        <f t="shared" si="2"/>
        <v>455955993.58151597</v>
      </c>
      <c r="H6" s="25">
        <f>Náklady!M95</f>
        <v>226116181.73861212</v>
      </c>
      <c r="I6" s="25">
        <f>SUM('Súhrn CBA'!$L$43,'Súhrn CBA'!$L$87)</f>
        <v>1760596674.4161797</v>
      </c>
      <c r="J6" s="202">
        <f t="shared" si="0"/>
        <v>1534480492.6775675</v>
      </c>
    </row>
    <row r="7" spans="1:14">
      <c r="A7" s="196" t="s">
        <v>19</v>
      </c>
      <c r="B7" s="294">
        <f>Náklady!M122</f>
        <v>72333711.23198846</v>
      </c>
      <c r="C7" s="294">
        <f>SUM(F83:G83)</f>
        <v>295580707.50239998</v>
      </c>
      <c r="D7" s="305">
        <f t="shared" si="1"/>
        <v>223246996.27041152</v>
      </c>
      <c r="E7" s="294">
        <f>Náklady!M122</f>
        <v>72333711.23198846</v>
      </c>
      <c r="F7" s="294">
        <f>SUM('Súhrn CBA'!$I$29,'Súhrn CBA'!$I$73)</f>
        <v>183831170.89824003</v>
      </c>
      <c r="G7" s="305">
        <f t="shared" si="2"/>
        <v>111497459.66625157</v>
      </c>
      <c r="H7" s="294">
        <f>Náklady!M122</f>
        <v>72333711.23198846</v>
      </c>
      <c r="I7" s="294">
        <f>SUM('Súhrn CBA'!$I$43,'Súhrn CBA'!$I$87)</f>
        <v>474537020.20128</v>
      </c>
      <c r="J7" s="305">
        <f t="shared" si="0"/>
        <v>402203308.96929157</v>
      </c>
    </row>
    <row r="8" spans="1:14" hidden="1">
      <c r="A8" s="196" t="s">
        <v>20</v>
      </c>
      <c r="B8" s="25">
        <f>Náklady!M149-Náklady!M171-Náklady!M173</f>
        <v>58348488.163992062</v>
      </c>
      <c r="C8" s="25">
        <f>SUM(F96:G96)</f>
        <v>207979555.35916799</v>
      </c>
      <c r="D8" s="202">
        <f t="shared" si="1"/>
        <v>149631067.19517595</v>
      </c>
      <c r="E8" s="25">
        <f>Náklady!M149</f>
        <v>71539375.461856753</v>
      </c>
      <c r="F8" s="25">
        <f>SUM('Súhrn CBA'!$K$29,'Súhrn CBA'!$K$73)</f>
        <v>207979555.35916799</v>
      </c>
      <c r="G8" s="202">
        <f t="shared" si="2"/>
        <v>136440179.89731124</v>
      </c>
      <c r="H8" s="25">
        <f>Náklady!M149</f>
        <v>71539375.461856753</v>
      </c>
      <c r="I8" s="25">
        <f>SUM('Súhrn CBA'!$K$43,'Súhrn CBA'!$K$87)</f>
        <v>530960449.11505926</v>
      </c>
      <c r="J8" s="202">
        <f t="shared" si="0"/>
        <v>459421073.65320253</v>
      </c>
    </row>
    <row r="9" spans="1:14" hidden="1">
      <c r="A9" s="196" t="s">
        <v>21</v>
      </c>
      <c r="B9" s="25">
        <f>Náklady!M176-Náklady!M198-Náklady!M200</f>
        <v>193157720.58265403</v>
      </c>
      <c r="C9" s="25">
        <f>SUM(F109:G109)</f>
        <v>664498734.65279984</v>
      </c>
      <c r="D9" s="202">
        <f t="shared" si="1"/>
        <v>471341014.07014585</v>
      </c>
      <c r="E9" s="25">
        <f>Náklady!M176</f>
        <v>226056093.41397747</v>
      </c>
      <c r="F9" s="25">
        <f>SUM('Súhrn CBA'!$J$29,'Súhrn CBA'!$J$73)</f>
        <v>664498734.65279984</v>
      </c>
      <c r="G9" s="202">
        <f t="shared" si="2"/>
        <v>438442641.23882234</v>
      </c>
      <c r="H9" s="25">
        <f>Náklady!M176</f>
        <v>226056093.41397747</v>
      </c>
      <c r="I9" s="25">
        <f>SUM('Súhrn CBA'!$J$43,'Súhrn CBA'!$J$87)</f>
        <v>1712355960.254976</v>
      </c>
      <c r="J9" s="202">
        <f t="shared" si="0"/>
        <v>1486299866.8409986</v>
      </c>
    </row>
    <row r="10" spans="1:14" hidden="1">
      <c r="A10" s="196" t="s">
        <v>22</v>
      </c>
      <c r="B10" s="25">
        <f>Náklady!M203-Náklady!M225-Náklady!M227</f>
        <v>182158792.85965663</v>
      </c>
      <c r="C10" s="25">
        <f>SUM(F122:G122)</f>
        <v>682072175.32012808</v>
      </c>
      <c r="D10" s="202">
        <f t="shared" si="1"/>
        <v>499913382.46047145</v>
      </c>
      <c r="E10" s="25">
        <f>Náklady!M203</f>
        <v>217374839.85631242</v>
      </c>
      <c r="F10" s="25">
        <f>SUM('Súhrn CBA'!$L$29,'Súhrn CBA'!$L$73)</f>
        <v>682072175.32012808</v>
      </c>
      <c r="G10" s="202">
        <f t="shared" si="2"/>
        <v>464697335.46381569</v>
      </c>
      <c r="H10" s="25">
        <f>Náklady!M203</f>
        <v>217374839.85631242</v>
      </c>
      <c r="I10" s="25">
        <f>SUM('Súhrn CBA'!$L$43,'Súhrn CBA'!$L$87)</f>
        <v>1760596674.4161797</v>
      </c>
      <c r="J10" s="202">
        <f t="shared" si="0"/>
        <v>1543221834.5598671</v>
      </c>
    </row>
    <row r="11" spans="1:14" hidden="1">
      <c r="A11" s="196" t="s">
        <v>23</v>
      </c>
      <c r="B11" s="25">
        <f>Náklady!M230-Náklady!M252-Náklady!M254</f>
        <v>79529226.21199207</v>
      </c>
      <c r="C11" s="25">
        <f>SUM(F135:G135)</f>
        <v>295580707.50239998</v>
      </c>
      <c r="D11" s="202">
        <f t="shared" si="1"/>
        <v>216051481.2904079</v>
      </c>
      <c r="E11" s="25">
        <f>Náklady!M230</f>
        <v>92720113.509856761</v>
      </c>
      <c r="F11" s="25">
        <f>SUM('Súhrn CBA'!$I$29,'Súhrn CBA'!$I$73)</f>
        <v>183831170.89824003</v>
      </c>
      <c r="G11" s="202">
        <f t="shared" si="2"/>
        <v>91111057.388383269</v>
      </c>
      <c r="H11" s="25">
        <f>Náklady!M230</f>
        <v>92720113.509856761</v>
      </c>
      <c r="I11" s="25">
        <f>SUM('Súhrn CBA'!$I$43,'Súhrn CBA'!$I$87)</f>
        <v>474537020.20128</v>
      </c>
      <c r="J11" s="202">
        <f t="shared" si="0"/>
        <v>381816906.69142324</v>
      </c>
    </row>
    <row r="12" spans="1:14" hidden="1">
      <c r="A12" s="196" t="s">
        <v>24</v>
      </c>
      <c r="B12" s="25">
        <f>Náklady!M257-Náklady!M279-Náklady!M281</f>
        <v>70684488.163992077</v>
      </c>
      <c r="C12" s="25">
        <f>SUM(F148:G148)</f>
        <v>207979555.35916799</v>
      </c>
      <c r="D12" s="202">
        <f t="shared" si="1"/>
        <v>137295067.19517592</v>
      </c>
      <c r="E12" s="25">
        <f>Náklady!M257</f>
        <v>83875375.461856768</v>
      </c>
      <c r="F12" s="25">
        <f>SUM('Súhrn CBA'!$K$29,'Súhrn CBA'!$K$73)</f>
        <v>207979555.35916799</v>
      </c>
      <c r="G12" s="202">
        <f t="shared" si="2"/>
        <v>124104179.89731123</v>
      </c>
      <c r="H12" s="25">
        <f>Náklady!M257</f>
        <v>83875375.461856768</v>
      </c>
      <c r="I12" s="25">
        <f>SUM('Súhrn CBA'!$K$43,'Súhrn CBA'!$K$87)</f>
        <v>530960449.11505926</v>
      </c>
      <c r="J12" s="202">
        <f t="shared" si="0"/>
        <v>447085073.65320247</v>
      </c>
    </row>
    <row r="13" spans="1:14" hidden="1">
      <c r="A13" s="196" t="s">
        <v>25</v>
      </c>
      <c r="B13" s="25">
        <f>Náklady!M284-Náklady!M306-Náklady!M308</f>
        <v>208649720.58265403</v>
      </c>
      <c r="C13" s="25">
        <f>SUM(F161:G161)</f>
        <v>664498734.65279984</v>
      </c>
      <c r="D13" s="202">
        <f t="shared" si="1"/>
        <v>455849014.07014585</v>
      </c>
      <c r="E13" s="25">
        <f>Náklady!M284</f>
        <v>241548093.41397747</v>
      </c>
      <c r="F13" s="25">
        <f>SUM('Súhrn CBA'!$J$29,'Súhrn CBA'!$J$73)</f>
        <v>664498734.65279984</v>
      </c>
      <c r="G13" s="202">
        <f t="shared" si="2"/>
        <v>422950641.23882234</v>
      </c>
      <c r="H13" s="25">
        <f>Náklady!M284</f>
        <v>241548093.41397747</v>
      </c>
      <c r="I13" s="25">
        <f>SUM('Súhrn CBA'!$J$43,'Súhrn CBA'!$J$87)</f>
        <v>1712355960.254976</v>
      </c>
      <c r="J13" s="202">
        <f t="shared" si="0"/>
        <v>1470807866.8409986</v>
      </c>
    </row>
    <row r="14" spans="1:14" hidden="1">
      <c r="A14" s="198" t="s">
        <v>26</v>
      </c>
      <c r="B14" s="199">
        <f>Náklady!M311-Náklady!M333-Náklady!M335</f>
        <v>197650792.85965666</v>
      </c>
      <c r="C14" s="199">
        <f>SUM(F174:G174)</f>
        <v>682072175.32012808</v>
      </c>
      <c r="D14" s="203">
        <f t="shared" si="1"/>
        <v>484421382.46047139</v>
      </c>
      <c r="E14" s="199">
        <f>Náklady!M311</f>
        <v>232866839.85631245</v>
      </c>
      <c r="F14" s="199">
        <f>SUM('Súhrn CBA'!$L$29,'Súhrn CBA'!$L$73)</f>
        <v>682072175.32012808</v>
      </c>
      <c r="G14" s="203">
        <f t="shared" si="2"/>
        <v>449205335.46381563</v>
      </c>
      <c r="H14" s="199">
        <f>Náklady!M311</f>
        <v>232866839.85631245</v>
      </c>
      <c r="I14" s="199">
        <f>SUM('Súhrn CBA'!$L$43,'Súhrn CBA'!$L$87)</f>
        <v>1760596674.4161797</v>
      </c>
      <c r="J14" s="203">
        <f t="shared" si="0"/>
        <v>1527729834.5598671</v>
      </c>
    </row>
    <row r="15" spans="1:14" hidden="1"/>
    <row r="16" spans="1:14" hidden="1">
      <c r="A16" s="190" t="s">
        <v>27</v>
      </c>
      <c r="B16" s="4" t="s">
        <v>28</v>
      </c>
      <c r="C16" s="4" t="s">
        <v>29</v>
      </c>
      <c r="D16" s="4" t="s">
        <v>30</v>
      </c>
      <c r="E16" s="200" t="s">
        <v>31</v>
      </c>
      <c r="F16" s="4" t="s">
        <v>32</v>
      </c>
      <c r="G16" s="28" t="s">
        <v>33</v>
      </c>
      <c r="H16" s="4" t="s">
        <v>34</v>
      </c>
      <c r="I16" s="4" t="s">
        <v>35</v>
      </c>
      <c r="J16" s="28" t="s">
        <v>36</v>
      </c>
      <c r="K16" s="4" t="s">
        <v>37</v>
      </c>
      <c r="N16" s="67" t="s">
        <v>38</v>
      </c>
    </row>
    <row r="17" spans="1:14" hidden="1">
      <c r="A17" s="194" t="s">
        <v>39</v>
      </c>
      <c r="B17" s="2"/>
      <c r="C17" s="125"/>
      <c r="D17" s="125"/>
      <c r="E17" s="126"/>
      <c r="F17" s="125"/>
      <c r="G17" s="166"/>
      <c r="I17" s="125"/>
      <c r="J17" s="166"/>
      <c r="L17" t="s">
        <v>40</v>
      </c>
      <c r="M17" t="s">
        <v>41</v>
      </c>
    </row>
    <row r="18" spans="1:14" hidden="1">
      <c r="A18" s="195" t="s">
        <v>11</v>
      </c>
      <c r="B18" s="165">
        <f>SUM(B19:B28)</f>
        <v>0</v>
      </c>
      <c r="C18" s="165">
        <f>SUM(C19:C28)</f>
        <v>0</v>
      </c>
      <c r="D18" s="165">
        <f>SUM(D19:D28)</f>
        <v>379477008.44893241</v>
      </c>
      <c r="E18" s="201">
        <f t="shared" ref="E18:G18" si="3">SUM(E19:E28)</f>
        <v>32898372.831323449</v>
      </c>
      <c r="F18" s="165">
        <f t="shared" si="3"/>
        <v>12255840</v>
      </c>
      <c r="G18" s="201">
        <f t="shared" si="3"/>
        <v>687756888.00000012</v>
      </c>
      <c r="H18" s="165">
        <f t="shared" ref="H18:H28" si="4">SUM(F18:G18)-SUM(B18:E18)</f>
        <v>287637346.71974427</v>
      </c>
      <c r="I18" s="165">
        <f t="shared" ref="I18:J18" si="5">SUM(I19:I28)</f>
        <v>12255840</v>
      </c>
      <c r="J18" s="201">
        <f t="shared" si="5"/>
        <v>687756888.00000012</v>
      </c>
      <c r="K18" s="165">
        <f t="shared" ref="K18:K28" si="6">SUM(I18:J18)-SUM(B18:E18)</f>
        <v>287637346.71974427</v>
      </c>
      <c r="N18" s="206">
        <f>Náklady!M3-SUM(Súhrn!B18:E18)</f>
        <v>0</v>
      </c>
    </row>
    <row r="19" spans="1:14" hidden="1">
      <c r="A19" s="196" t="s">
        <v>42</v>
      </c>
      <c r="B19" s="25">
        <f>'Súhrn CBA'!F5</f>
        <v>0</v>
      </c>
      <c r="C19" s="25">
        <f>'Súhrn CBA'!F33</f>
        <v>0</v>
      </c>
      <c r="D19" s="25">
        <f>'Súhrn CBA'!F63</f>
        <v>378073.20000000007</v>
      </c>
      <c r="E19" s="202">
        <f>'Súhrn CBA'!F93</f>
        <v>0</v>
      </c>
      <c r="F19" s="25">
        <f>'Súhrn CBA'!M5</f>
        <v>0</v>
      </c>
      <c r="G19" s="202">
        <f>'Súhrn CBA'!M49</f>
        <v>0</v>
      </c>
      <c r="H19" s="25">
        <f t="shared" si="4"/>
        <v>-378073.20000000007</v>
      </c>
      <c r="I19" s="25">
        <f>'Súhrn CBA'!M19</f>
        <v>0</v>
      </c>
      <c r="J19" s="202">
        <f>'Súhrn CBA'!M63</f>
        <v>0</v>
      </c>
      <c r="K19" s="25">
        <f t="shared" si="6"/>
        <v>-378073.20000000007</v>
      </c>
    </row>
    <row r="20" spans="1:14" hidden="1">
      <c r="A20" s="196" t="s">
        <v>43</v>
      </c>
      <c r="B20" s="25">
        <f>'Súhrn CBA'!F6</f>
        <v>0</v>
      </c>
      <c r="C20" s="25">
        <f>'Súhrn CBA'!F34</f>
        <v>0</v>
      </c>
      <c r="D20" s="25">
        <f>'Súhrn CBA'!F64</f>
        <v>15167499.719999999</v>
      </c>
      <c r="E20" s="202">
        <f>'Súhrn CBA'!F94</f>
        <v>1108324.3600000001</v>
      </c>
      <c r="F20" s="25">
        <f>'Súhrn CBA'!M6</f>
        <v>0</v>
      </c>
      <c r="G20" s="202">
        <f>'Súhrn CBA'!M50</f>
        <v>0</v>
      </c>
      <c r="H20" s="25">
        <f t="shared" si="4"/>
        <v>-16275824.079999998</v>
      </c>
      <c r="I20" s="25">
        <f>'Súhrn CBA'!M20</f>
        <v>0</v>
      </c>
      <c r="J20" s="202">
        <f>'Súhrn CBA'!M64</f>
        <v>0</v>
      </c>
      <c r="K20" s="25">
        <f t="shared" si="6"/>
        <v>-16275824.079999998</v>
      </c>
    </row>
    <row r="21" spans="1:14" hidden="1">
      <c r="A21" s="196" t="s">
        <v>44</v>
      </c>
      <c r="B21" s="25">
        <f>'Súhrn CBA'!F7</f>
        <v>0</v>
      </c>
      <c r="C21" s="25">
        <f>'Súhrn CBA'!F35</f>
        <v>0</v>
      </c>
      <c r="D21" s="25">
        <f>'Súhrn CBA'!F65</f>
        <v>29630361.363600001</v>
      </c>
      <c r="E21" s="202">
        <f>'Súhrn CBA'!F95</f>
        <v>1923306.8180000002</v>
      </c>
      <c r="F21" s="25">
        <f>'Súhrn CBA'!M7</f>
        <v>0</v>
      </c>
      <c r="G21" s="202">
        <f>'Súhrn CBA'!M51</f>
        <v>0</v>
      </c>
      <c r="H21" s="25">
        <f t="shared" si="4"/>
        <v>-31553668.181600001</v>
      </c>
      <c r="I21" s="25">
        <f>'Súhrn CBA'!M21</f>
        <v>0</v>
      </c>
      <c r="J21" s="202">
        <f>'Súhrn CBA'!M65</f>
        <v>0</v>
      </c>
      <c r="K21" s="25">
        <f t="shared" si="6"/>
        <v>-31553668.181600001</v>
      </c>
    </row>
    <row r="22" spans="1:14" hidden="1">
      <c r="A22" s="196" t="s">
        <v>45</v>
      </c>
      <c r="B22" s="25">
        <f>'Súhrn CBA'!F8</f>
        <v>0</v>
      </c>
      <c r="C22" s="25">
        <f>'Súhrn CBA'!F36</f>
        <v>0</v>
      </c>
      <c r="D22" s="25">
        <f>'Súhrn CBA'!F66</f>
        <v>39379671.204507999</v>
      </c>
      <c r="E22" s="202">
        <f>'Súhrn CBA'!F96</f>
        <v>3774712.0450800005</v>
      </c>
      <c r="F22" s="25">
        <f>'Súhrn CBA'!M8</f>
        <v>0</v>
      </c>
      <c r="G22" s="202">
        <f>'Súhrn CBA'!M52</f>
        <v>0</v>
      </c>
      <c r="H22" s="25">
        <f t="shared" si="4"/>
        <v>-43154383.249587998</v>
      </c>
      <c r="I22" s="25">
        <f>'Súhrn CBA'!M22</f>
        <v>0</v>
      </c>
      <c r="J22" s="202">
        <f>'Súhrn CBA'!M66</f>
        <v>0</v>
      </c>
      <c r="K22" s="25">
        <f t="shared" si="6"/>
        <v>-43154383.249587998</v>
      </c>
    </row>
    <row r="23" spans="1:14" hidden="1">
      <c r="A23" s="196" t="s">
        <v>46</v>
      </c>
      <c r="B23" s="25">
        <f>'Súhrn CBA'!F9</f>
        <v>0</v>
      </c>
      <c r="C23" s="25">
        <f>'Súhrn CBA'!F37</f>
        <v>0</v>
      </c>
      <c r="D23" s="25">
        <f>'Súhrn CBA'!F67</f>
        <v>49129245.340643242</v>
      </c>
      <c r="E23" s="202">
        <f>'Súhrn CBA'!F97</f>
        <v>4105453.4064324009</v>
      </c>
      <c r="F23" s="25">
        <f>'Súhrn CBA'!M9</f>
        <v>2042640</v>
      </c>
      <c r="G23" s="202">
        <f>'Súhrn CBA'!M53</f>
        <v>0</v>
      </c>
      <c r="H23" s="25">
        <f t="shared" si="4"/>
        <v>-51192058.74707564</v>
      </c>
      <c r="I23" s="25">
        <f>'Súhrn CBA'!M23</f>
        <v>2042640</v>
      </c>
      <c r="J23" s="202">
        <f>'Súhrn CBA'!M67</f>
        <v>0</v>
      </c>
      <c r="K23" s="25">
        <f t="shared" si="6"/>
        <v>-51192058.74707564</v>
      </c>
    </row>
    <row r="24" spans="1:14" hidden="1">
      <c r="A24" s="196" t="s">
        <v>47</v>
      </c>
      <c r="B24" s="25">
        <f>'Súhrn CBA'!F10</f>
        <v>0</v>
      </c>
      <c r="C24" s="25">
        <f>'Súhrn CBA'!F38</f>
        <v>0</v>
      </c>
      <c r="D24" s="25">
        <f>'Súhrn CBA'!F68</f>
        <v>49138591.700862534</v>
      </c>
      <c r="E24" s="202">
        <f>'Súhrn CBA'!F98</f>
        <v>4198917.0086253732</v>
      </c>
      <c r="F24" s="25">
        <f>'Súhrn CBA'!M10</f>
        <v>2042640</v>
      </c>
      <c r="G24" s="202">
        <f>'Súhrn CBA'!M54</f>
        <v>0</v>
      </c>
      <c r="H24" s="25">
        <f t="shared" si="4"/>
        <v>-51294868.709487908</v>
      </c>
      <c r="I24" s="25">
        <f>'Súhrn CBA'!M24</f>
        <v>2042640</v>
      </c>
      <c r="J24" s="202">
        <f>'Súhrn CBA'!M68</f>
        <v>0</v>
      </c>
      <c r="K24" s="25">
        <f t="shared" si="6"/>
        <v>-51294868.709487908</v>
      </c>
    </row>
    <row r="25" spans="1:14" hidden="1">
      <c r="A25" s="196" t="s">
        <v>48</v>
      </c>
      <c r="B25" s="25">
        <f>'Súhrn CBA'!F11</f>
        <v>0</v>
      </c>
      <c r="C25" s="25">
        <f>'Súhrn CBA'!F39</f>
        <v>0</v>
      </c>
      <c r="D25" s="25">
        <f>'Súhrn CBA'!F69</f>
        <v>49148218.451888412</v>
      </c>
      <c r="E25" s="202">
        <f>'Súhrn CBA'!F99</f>
        <v>4295184.5188841335</v>
      </c>
      <c r="F25" s="25">
        <f>'Súhrn CBA'!M11</f>
        <v>2042640</v>
      </c>
      <c r="G25" s="202">
        <f>'Súhrn CBA'!M55</f>
        <v>68775688.800000012</v>
      </c>
      <c r="H25" s="25">
        <f t="shared" si="4"/>
        <v>17374925.829227462</v>
      </c>
      <c r="I25" s="25">
        <f>'Súhrn CBA'!M25</f>
        <v>2042640</v>
      </c>
      <c r="J25" s="202">
        <f>'Súhrn CBA'!M69</f>
        <v>68775688.800000012</v>
      </c>
      <c r="K25" s="25">
        <f t="shared" si="6"/>
        <v>17374925.829227462</v>
      </c>
    </row>
    <row r="26" spans="1:14" hidden="1">
      <c r="A26" s="196" t="s">
        <v>49</v>
      </c>
      <c r="B26" s="25">
        <f>'Súhrn CBA'!F12</f>
        <v>0</v>
      </c>
      <c r="C26" s="25">
        <f>'Súhrn CBA'!F40</f>
        <v>0</v>
      </c>
      <c r="D26" s="25">
        <f>'Súhrn CBA'!F70</f>
        <v>49158134.005445063</v>
      </c>
      <c r="E26" s="202">
        <f>'Súhrn CBA'!F100</f>
        <v>4394340.0544506572</v>
      </c>
      <c r="F26" s="25">
        <f>'Súhrn CBA'!M12</f>
        <v>2042640</v>
      </c>
      <c r="G26" s="202">
        <f>'Súhrn CBA'!M56</f>
        <v>137551377.60000002</v>
      </c>
      <c r="H26" s="25">
        <f t="shared" si="4"/>
        <v>86041543.5401043</v>
      </c>
      <c r="I26" s="25">
        <f>'Súhrn CBA'!M26</f>
        <v>2042640</v>
      </c>
      <c r="J26" s="202">
        <f>'Súhrn CBA'!M70</f>
        <v>137551377.60000002</v>
      </c>
      <c r="K26" s="25">
        <f t="shared" si="6"/>
        <v>86041543.5401043</v>
      </c>
    </row>
    <row r="27" spans="1:14" hidden="1">
      <c r="A27" s="196" t="s">
        <v>50</v>
      </c>
      <c r="B27" s="25">
        <f>'Súhrn CBA'!F13</f>
        <v>0</v>
      </c>
      <c r="C27" s="25">
        <f>'Súhrn CBA'!F41</f>
        <v>0</v>
      </c>
      <c r="D27" s="25">
        <f>'Súhrn CBA'!F71</f>
        <v>49168347.02560842</v>
      </c>
      <c r="E27" s="202">
        <f>'Súhrn CBA'!F101</f>
        <v>4496470.2560841776</v>
      </c>
      <c r="F27" s="25">
        <f>'Súhrn CBA'!M13</f>
        <v>2042640</v>
      </c>
      <c r="G27" s="202">
        <f>'Súhrn CBA'!M57</f>
        <v>206327066.40000001</v>
      </c>
      <c r="H27" s="25">
        <f t="shared" si="4"/>
        <v>154704889.11830741</v>
      </c>
      <c r="I27" s="25">
        <f>'Súhrn CBA'!M27</f>
        <v>2042640</v>
      </c>
      <c r="J27" s="202">
        <f>'Súhrn CBA'!M71</f>
        <v>206327066.40000001</v>
      </c>
      <c r="K27" s="25">
        <f t="shared" si="6"/>
        <v>154704889.11830741</v>
      </c>
    </row>
    <row r="28" spans="1:14" hidden="1">
      <c r="A28" s="198" t="s">
        <v>51</v>
      </c>
      <c r="B28" s="199">
        <f>'Súhrn CBA'!F14</f>
        <v>0</v>
      </c>
      <c r="C28" s="199">
        <f>'Súhrn CBA'!F42</f>
        <v>0</v>
      </c>
      <c r="D28" s="199">
        <f>'Súhrn CBA'!F72</f>
        <v>49178866.436376669</v>
      </c>
      <c r="E28" s="203">
        <f>'Súhrn CBA'!F102</f>
        <v>4601664.3637667028</v>
      </c>
      <c r="F28" s="199">
        <f>'Súhrn CBA'!M14</f>
        <v>2042640</v>
      </c>
      <c r="G28" s="203">
        <f>'Súhrn CBA'!M58</f>
        <v>275102755.20000005</v>
      </c>
      <c r="H28" s="25">
        <f t="shared" si="4"/>
        <v>223364864.39985669</v>
      </c>
      <c r="I28" s="25">
        <f>'Súhrn CBA'!M28</f>
        <v>2042640</v>
      </c>
      <c r="J28" s="202">
        <f>'Súhrn CBA'!M72</f>
        <v>275102755.20000005</v>
      </c>
      <c r="K28" s="25">
        <f t="shared" si="6"/>
        <v>223364864.39985669</v>
      </c>
    </row>
    <row r="29" spans="1:14" hidden="1"/>
    <row r="30" spans="1:14" hidden="1">
      <c r="A30" s="194" t="s">
        <v>15</v>
      </c>
      <c r="B30" s="2"/>
      <c r="C30" s="125"/>
      <c r="D30" s="125"/>
      <c r="E30" s="125"/>
      <c r="F30" s="125"/>
      <c r="G30" s="166"/>
      <c r="I30" s="125"/>
      <c r="J30" s="166"/>
    </row>
    <row r="31" spans="1:14" hidden="1">
      <c r="A31" s="195" t="s">
        <v>11</v>
      </c>
      <c r="B31" s="165">
        <f>SUM(B32:B41)</f>
        <v>28326000</v>
      </c>
      <c r="C31" s="165">
        <f>SUM(C32:C41)</f>
        <v>600000</v>
      </c>
      <c r="D31" s="165">
        <f>SUM(D32:D41)</f>
        <v>49854682.49429176</v>
      </c>
      <c r="E31" s="201">
        <f t="shared" ref="E31:F31" si="7">SUM(E32:E41)</f>
        <v>13190887.297864689</v>
      </c>
      <c r="F31" s="165">
        <f t="shared" si="7"/>
        <v>5175034.2720000008</v>
      </c>
      <c r="G31" s="167">
        <f>SUM(G32:G41)</f>
        <v>290405673.23039997</v>
      </c>
      <c r="H31" s="165">
        <f t="shared" ref="H31:H41" si="8">SUM(F31:G31)-SUM(B31:E31)</f>
        <v>203609137.71024352</v>
      </c>
      <c r="I31" s="165">
        <f t="shared" ref="I31" si="9">SUM(I32:I41)</f>
        <v>4351408.5600000005</v>
      </c>
      <c r="J31" s="167">
        <f>SUM(J32:J41)</f>
        <v>179479762.33824003</v>
      </c>
      <c r="K31" s="165">
        <f t="shared" ref="K31:K41" si="10">SUM(I31:J31)-SUM(B31:E31)</f>
        <v>91859601.106083587</v>
      </c>
      <c r="N31" s="206">
        <f>Náklady!M14-SUM(B31:E31)</f>
        <v>0</v>
      </c>
    </row>
    <row r="32" spans="1:14" hidden="1">
      <c r="A32" s="196" t="s">
        <v>42</v>
      </c>
      <c r="B32" s="25">
        <f>'Súhrn CBA'!B5</f>
        <v>0</v>
      </c>
      <c r="C32" s="25">
        <f>'Súhrn CBA'!B19</f>
        <v>0</v>
      </c>
      <c r="D32" s="25">
        <f>'Súhrn CBA'!B77</f>
        <v>267351.60000000003</v>
      </c>
      <c r="E32" s="202">
        <f>'Súhrn CBA'!B93</f>
        <v>0</v>
      </c>
      <c r="F32" s="25">
        <f>'Súhrn CBA'!I5</f>
        <v>0</v>
      </c>
      <c r="G32" s="35">
        <f>'Súhrn CBA'!I49</f>
        <v>0</v>
      </c>
      <c r="H32" s="25">
        <f t="shared" si="8"/>
        <v>-267351.60000000003</v>
      </c>
      <c r="I32" s="25">
        <f>'Súhrn CBA'!I19</f>
        <v>0</v>
      </c>
      <c r="J32" s="35">
        <f>'Súhrn CBA'!I63</f>
        <v>0</v>
      </c>
      <c r="K32" s="25">
        <f t="shared" si="10"/>
        <v>-267351.60000000003</v>
      </c>
    </row>
    <row r="33" spans="1:14" hidden="1">
      <c r="A33" s="196" t="s">
        <v>43</v>
      </c>
      <c r="B33" s="25">
        <f>'Súhrn CBA'!B6</f>
        <v>0</v>
      </c>
      <c r="C33" s="25">
        <f>'Súhrn CBA'!B20</f>
        <v>0</v>
      </c>
      <c r="D33" s="25">
        <f>'Súhrn CBA'!B78</f>
        <v>727814.59200000006</v>
      </c>
      <c r="E33" s="202">
        <f>'Súhrn CBA'!B94</f>
        <v>823216.24000000011</v>
      </c>
      <c r="F33" s="25">
        <f>'Súhrn CBA'!I6</f>
        <v>0</v>
      </c>
      <c r="G33" s="35">
        <f>'Súhrn CBA'!I50</f>
        <v>0</v>
      </c>
      <c r="H33" s="25">
        <f t="shared" si="8"/>
        <v>-1551030.8320000002</v>
      </c>
      <c r="I33" s="25">
        <f>'Súhrn CBA'!I20</f>
        <v>0</v>
      </c>
      <c r="J33" s="35">
        <f>'Súhrn CBA'!I64</f>
        <v>0</v>
      </c>
      <c r="K33" s="25">
        <f t="shared" si="10"/>
        <v>-1551030.8320000002</v>
      </c>
    </row>
    <row r="34" spans="1:14" hidden="1">
      <c r="A34" s="196" t="s">
        <v>44</v>
      </c>
      <c r="B34" s="25">
        <f>'Súhrn CBA'!B7</f>
        <v>138000</v>
      </c>
      <c r="C34" s="25">
        <f>'Súhrn CBA'!B21</f>
        <v>600000</v>
      </c>
      <c r="D34" s="25">
        <f>'Súhrn CBA'!B79</f>
        <v>598858.18176000006</v>
      </c>
      <c r="E34" s="202">
        <f>'Súhrn CBA'!B95</f>
        <v>1042322.7272</v>
      </c>
      <c r="F34" s="25">
        <f>'Súhrn CBA'!I7</f>
        <v>0</v>
      </c>
      <c r="G34" s="35">
        <f>'Súhrn CBA'!I51</f>
        <v>0</v>
      </c>
      <c r="H34" s="25">
        <f t="shared" si="8"/>
        <v>-2379180.9089600001</v>
      </c>
      <c r="I34" s="25">
        <f>'Súhrn CBA'!I21</f>
        <v>0</v>
      </c>
      <c r="J34" s="35">
        <f>'Súhrn CBA'!I65</f>
        <v>0</v>
      </c>
      <c r="K34" s="25">
        <f t="shared" si="10"/>
        <v>-2379180.9089600001</v>
      </c>
    </row>
    <row r="35" spans="1:14" hidden="1">
      <c r="A35" s="196" t="s">
        <v>45</v>
      </c>
      <c r="B35" s="25">
        <f>'Súhrn CBA'!B8</f>
        <v>28188000</v>
      </c>
      <c r="C35" s="25">
        <f>'Súhrn CBA'!B22</f>
        <v>0</v>
      </c>
      <c r="D35" s="25">
        <f>'Súhrn CBA'!B80</f>
        <v>3562298.9512128001</v>
      </c>
      <c r="E35" s="202">
        <f>'Súhrn CBA'!B96</f>
        <v>1354942.4090160001</v>
      </c>
      <c r="F35" s="25">
        <f>'Súhrn CBA'!I8</f>
        <v>0</v>
      </c>
      <c r="G35" s="35">
        <f>'Súhrn CBA'!I52</f>
        <v>0</v>
      </c>
      <c r="H35" s="25">
        <f t="shared" si="8"/>
        <v>-33105241.360228799</v>
      </c>
      <c r="I35" s="25">
        <f>'Súhrn CBA'!I22</f>
        <v>0</v>
      </c>
      <c r="J35" s="35">
        <f>'Súhrn CBA'!I66</f>
        <v>0</v>
      </c>
      <c r="K35" s="25">
        <f t="shared" si="10"/>
        <v>-33105241.360228799</v>
      </c>
    </row>
    <row r="36" spans="1:14" hidden="1">
      <c r="A36" s="196" t="s">
        <v>46</v>
      </c>
      <c r="B36" s="25">
        <f>'Súhrn CBA'!B9</f>
        <v>0</v>
      </c>
      <c r="C36" s="25">
        <f>'Súhrn CBA'!B23</f>
        <v>0</v>
      </c>
      <c r="D36" s="25">
        <f>'Súhrn CBA'!B81</f>
        <v>7130311.6170291845</v>
      </c>
      <c r="E36" s="202">
        <f>'Súhrn CBA'!B97</f>
        <v>1613090.68128648</v>
      </c>
      <c r="F36" s="25">
        <f>'Súhrn CBA'!I9</f>
        <v>862505.71200000006</v>
      </c>
      <c r="G36" s="35">
        <f>'Súhrn CBA'!I53</f>
        <v>0</v>
      </c>
      <c r="H36" s="25">
        <f t="shared" si="8"/>
        <v>-7880896.5863156645</v>
      </c>
      <c r="I36" s="25">
        <f>'Súhrn CBA'!I23</f>
        <v>38880</v>
      </c>
      <c r="J36" s="35">
        <f>'Súhrn CBA'!I67</f>
        <v>0</v>
      </c>
      <c r="K36" s="25">
        <f t="shared" si="10"/>
        <v>-8704522.2983156648</v>
      </c>
    </row>
    <row r="37" spans="1:14" hidden="1">
      <c r="A37" s="196" t="s">
        <v>47</v>
      </c>
      <c r="B37" s="25">
        <f>'Súhrn CBA'!B10</f>
        <v>0</v>
      </c>
      <c r="C37" s="25">
        <f>'Súhrn CBA'!B24</f>
        <v>0</v>
      </c>
      <c r="D37" s="25">
        <f>'Súhrn CBA'!B82</f>
        <v>7145265.7933800602</v>
      </c>
      <c r="E37" s="202">
        <f>'Súhrn CBA'!B98</f>
        <v>1631783.4017250745</v>
      </c>
      <c r="F37" s="25">
        <f>'Súhrn CBA'!I10</f>
        <v>862505.71200000006</v>
      </c>
      <c r="G37" s="35">
        <f>'Súhrn CBA'!I54</f>
        <v>0</v>
      </c>
      <c r="H37" s="25">
        <f t="shared" si="8"/>
        <v>-7914543.4831051352</v>
      </c>
      <c r="I37" s="25">
        <f>'Súhrn CBA'!I24</f>
        <v>862505.71200000006</v>
      </c>
      <c r="J37" s="35">
        <f>'Súhrn CBA'!I68</f>
        <v>0</v>
      </c>
      <c r="K37" s="25">
        <f t="shared" si="10"/>
        <v>-7914543.4831051352</v>
      </c>
    </row>
    <row r="38" spans="1:14" hidden="1">
      <c r="A38" s="196" t="s">
        <v>48</v>
      </c>
      <c r="B38" s="25">
        <f>'Súhrn CBA'!B11</f>
        <v>0</v>
      </c>
      <c r="C38" s="25">
        <f>'Súhrn CBA'!B25</f>
        <v>0</v>
      </c>
      <c r="D38" s="25">
        <f>'Súhrn CBA'!B83</f>
        <v>7160668.5950214621</v>
      </c>
      <c r="E38" s="202">
        <f>'Súhrn CBA'!B99</f>
        <v>1651036.9037768268</v>
      </c>
      <c r="F38" s="25">
        <f>'Súhrn CBA'!I11</f>
        <v>862505.71200000006</v>
      </c>
      <c r="G38" s="35">
        <f>'Súhrn CBA'!I55</f>
        <v>29040567.323040001</v>
      </c>
      <c r="H38" s="25">
        <f t="shared" si="8"/>
        <v>21091367.536241714</v>
      </c>
      <c r="I38" s="25">
        <f>'Súhrn CBA'!I25</f>
        <v>862505.71200000006</v>
      </c>
      <c r="J38" s="35">
        <f>'Súhrn CBA'!I69</f>
        <v>1309089.6000000001</v>
      </c>
      <c r="K38" s="25">
        <f t="shared" si="10"/>
        <v>-6640110.1867982885</v>
      </c>
    </row>
    <row r="39" spans="1:14" hidden="1">
      <c r="A39" s="196" t="s">
        <v>49</v>
      </c>
      <c r="B39" s="25">
        <f>'Súhrn CBA'!B12</f>
        <v>0</v>
      </c>
      <c r="C39" s="25">
        <f>'Súhrn CBA'!B26</f>
        <v>0</v>
      </c>
      <c r="D39" s="25">
        <f>'Súhrn CBA'!B84</f>
        <v>7176533.4807121055</v>
      </c>
      <c r="E39" s="202">
        <f>'Súhrn CBA'!B100</f>
        <v>1670868.0108901316</v>
      </c>
      <c r="F39" s="25">
        <f>'Súhrn CBA'!I12</f>
        <v>862505.71200000006</v>
      </c>
      <c r="G39" s="35">
        <f>'Súhrn CBA'!I56</f>
        <v>58081134.646080002</v>
      </c>
      <c r="H39" s="25">
        <f t="shared" si="8"/>
        <v>50096238.866477765</v>
      </c>
      <c r="I39" s="25">
        <f>'Súhrn CBA'!I26</f>
        <v>862505.71200000006</v>
      </c>
      <c r="J39" s="35">
        <f>'Súhrn CBA'!I70</f>
        <v>30349656.923040003</v>
      </c>
      <c r="K39" s="25">
        <f t="shared" si="10"/>
        <v>22364761.143437766</v>
      </c>
    </row>
    <row r="40" spans="1:14" hidden="1">
      <c r="A40" s="196" t="s">
        <v>50</v>
      </c>
      <c r="B40" s="25">
        <f>'Súhrn CBA'!B13</f>
        <v>0</v>
      </c>
      <c r="C40" s="25">
        <f>'Súhrn CBA'!B27</f>
        <v>0</v>
      </c>
      <c r="D40" s="25">
        <f>'Súhrn CBA'!B85</f>
        <v>8034374.3129734695</v>
      </c>
      <c r="E40" s="202">
        <f>'Súhrn CBA'!B101</f>
        <v>1691294.0512168356</v>
      </c>
      <c r="F40" s="25">
        <f>'Súhrn CBA'!I13</f>
        <v>862505.71200000006</v>
      </c>
      <c r="G40" s="35">
        <f>'Súhrn CBA'!I57</f>
        <v>87121701.969120011</v>
      </c>
      <c r="H40" s="25">
        <f t="shared" si="8"/>
        <v>78258539.316929698</v>
      </c>
      <c r="I40" s="25">
        <f>'Súhrn CBA'!I27</f>
        <v>862505.71200000006</v>
      </c>
      <c r="J40" s="35">
        <f>'Súhrn CBA'!I71</f>
        <v>59390224.246080011</v>
      </c>
      <c r="K40" s="25">
        <f t="shared" si="10"/>
        <v>50527061.593889706</v>
      </c>
    </row>
    <row r="41" spans="1:14" hidden="1">
      <c r="A41" s="197" t="s">
        <v>51</v>
      </c>
      <c r="B41" s="192">
        <f>'Súhrn CBA'!B14</f>
        <v>0</v>
      </c>
      <c r="C41" s="192">
        <f>'Súhrn CBA'!B28</f>
        <v>0</v>
      </c>
      <c r="D41" s="192">
        <f>'Súhrn CBA'!B86</f>
        <v>8051205.3702026736</v>
      </c>
      <c r="E41" s="204">
        <f>'Súhrn CBA'!B102</f>
        <v>1712332.8727533408</v>
      </c>
      <c r="F41" s="192">
        <f>'Súhrn CBA'!I14</f>
        <v>862505.71200000006</v>
      </c>
      <c r="G41" s="193">
        <f>'Súhrn CBA'!I58</f>
        <v>116162269.29216</v>
      </c>
      <c r="H41" s="25">
        <f t="shared" si="8"/>
        <v>107261236.76120399</v>
      </c>
      <c r="I41" s="25">
        <f>'Súhrn CBA'!I28</f>
        <v>862505.71200000006</v>
      </c>
      <c r="J41" s="35">
        <f>'Súhrn CBA'!I72</f>
        <v>88430791.569120005</v>
      </c>
      <c r="K41" s="25">
        <f t="shared" si="10"/>
        <v>79529759.03816399</v>
      </c>
    </row>
    <row r="42" spans="1:14" hidden="1"/>
    <row r="43" spans="1:14" hidden="1">
      <c r="A43" s="194" t="s">
        <v>52</v>
      </c>
      <c r="B43" s="2"/>
      <c r="C43" s="125"/>
      <c r="D43" s="125"/>
      <c r="E43" s="125"/>
      <c r="F43" s="125"/>
      <c r="G43" s="166"/>
      <c r="I43" s="125"/>
      <c r="J43" s="166"/>
    </row>
    <row r="44" spans="1:14" hidden="1">
      <c r="A44" s="195" t="s">
        <v>11</v>
      </c>
      <c r="B44" s="165">
        <f>SUM(B45:B54)</f>
        <v>9876000</v>
      </c>
      <c r="C44" s="165">
        <f>SUM(C45:C54)</f>
        <v>600000</v>
      </c>
      <c r="D44" s="165">
        <f>SUM(D45:D54)</f>
        <v>59459944.446291752</v>
      </c>
      <c r="E44" s="201">
        <f t="shared" ref="E44" si="11">SUM(E45:E54)</f>
        <v>13190887.297864689</v>
      </c>
      <c r="F44" s="165">
        <f t="shared" ref="F44" si="12">SUM(F45:F54)</f>
        <v>4691304.8294399995</v>
      </c>
      <c r="G44" s="167">
        <f>SUM(G45:G54)</f>
        <v>203288250.529728</v>
      </c>
      <c r="H44" s="165">
        <f t="shared" ref="H44:H54" si="13">SUM(F44:G44)-SUM(B44:E44)</f>
        <v>124852723.61501156</v>
      </c>
      <c r="I44" s="165">
        <f t="shared" ref="I44" si="14">SUM(I45:I54)</f>
        <v>4691304.8294399995</v>
      </c>
      <c r="J44" s="167">
        <f>SUM(J45:J54)</f>
        <v>203288250.529728</v>
      </c>
      <c r="K44" s="165">
        <f t="shared" ref="K44:K54" si="15">SUM(I44:J44)-SUM(B44:E44)</f>
        <v>124852723.61501156</v>
      </c>
      <c r="N44" s="206">
        <f>Náklady!M41-SUM(Súhrn!B44:E44)</f>
        <v>0</v>
      </c>
    </row>
    <row r="45" spans="1:14" hidden="1">
      <c r="A45" s="196" t="s">
        <v>42</v>
      </c>
      <c r="B45" s="25">
        <f>'Súhrn CBA'!D5</f>
        <v>0</v>
      </c>
      <c r="C45" s="25">
        <f>'Súhrn CBA'!D19</f>
        <v>0</v>
      </c>
      <c r="D45" s="25">
        <f>'Súhrn CBA'!D77</f>
        <v>267351.60000000003</v>
      </c>
      <c r="E45" s="202">
        <f>'Súhrn CBA'!D93</f>
        <v>0</v>
      </c>
      <c r="F45" s="25">
        <f>'Súhrn CBA'!K5</f>
        <v>0</v>
      </c>
      <c r="G45" s="35">
        <f>'Súhrn CBA'!K49</f>
        <v>0</v>
      </c>
      <c r="H45" s="25">
        <f t="shared" si="13"/>
        <v>-267351.60000000003</v>
      </c>
      <c r="I45" s="25">
        <f>'Súhrn CBA'!K19</f>
        <v>0</v>
      </c>
      <c r="J45" s="35">
        <f>'Súhrn CBA'!K63</f>
        <v>0</v>
      </c>
      <c r="K45" s="25">
        <f t="shared" si="15"/>
        <v>-267351.60000000003</v>
      </c>
    </row>
    <row r="46" spans="1:14" hidden="1">
      <c r="A46" s="196" t="s">
        <v>43</v>
      </c>
      <c r="B46" s="25">
        <f>'Súhrn CBA'!D6</f>
        <v>0</v>
      </c>
      <c r="C46" s="25">
        <f>'Súhrn CBA'!D20</f>
        <v>0</v>
      </c>
      <c r="D46" s="25">
        <f>'Súhrn CBA'!D78</f>
        <v>727814.59200000006</v>
      </c>
      <c r="E46" s="202">
        <f>'Súhrn CBA'!D94</f>
        <v>823216.24000000011</v>
      </c>
      <c r="F46" s="25">
        <f>'Súhrn CBA'!K6</f>
        <v>0</v>
      </c>
      <c r="G46" s="35">
        <f>'Súhrn CBA'!K50</f>
        <v>0</v>
      </c>
      <c r="H46" s="25">
        <f t="shared" si="13"/>
        <v>-1551030.8320000002</v>
      </c>
      <c r="I46" s="25">
        <f>'Súhrn CBA'!K20</f>
        <v>0</v>
      </c>
      <c r="J46" s="35">
        <f>'Súhrn CBA'!K64</f>
        <v>0</v>
      </c>
      <c r="K46" s="25">
        <f t="shared" si="15"/>
        <v>-1551030.8320000002</v>
      </c>
    </row>
    <row r="47" spans="1:14" hidden="1">
      <c r="A47" s="196" t="s">
        <v>44</v>
      </c>
      <c r="B47" s="25">
        <f>'Súhrn CBA'!D7</f>
        <v>3925200</v>
      </c>
      <c r="C47" s="25">
        <f>'Súhrn CBA'!D21</f>
        <v>600000</v>
      </c>
      <c r="D47" s="25">
        <f>'Súhrn CBA'!D79</f>
        <v>1349870.88576</v>
      </c>
      <c r="E47" s="202">
        <f>'Súhrn CBA'!D95</f>
        <v>1042322.7272</v>
      </c>
      <c r="F47" s="25">
        <f>'Súhrn CBA'!K7</f>
        <v>0</v>
      </c>
      <c r="G47" s="35">
        <f>'Súhrn CBA'!K51</f>
        <v>0</v>
      </c>
      <c r="H47" s="25">
        <f t="shared" si="13"/>
        <v>-6917393.6129599996</v>
      </c>
      <c r="I47" s="25">
        <f>'Súhrn CBA'!K21</f>
        <v>0</v>
      </c>
      <c r="J47" s="35">
        <f>'Súhrn CBA'!K65</f>
        <v>0</v>
      </c>
      <c r="K47" s="25">
        <f t="shared" si="15"/>
        <v>-6917393.6129599996</v>
      </c>
    </row>
    <row r="48" spans="1:14" hidden="1">
      <c r="A48" s="196" t="s">
        <v>45</v>
      </c>
      <c r="B48" s="25">
        <f>'Súhrn CBA'!D8</f>
        <v>5950800</v>
      </c>
      <c r="C48" s="25">
        <f>'Súhrn CBA'!D22</f>
        <v>0</v>
      </c>
      <c r="D48" s="25">
        <f>'Súhrn CBA'!D80</f>
        <v>4715878.6312127998</v>
      </c>
      <c r="E48" s="202">
        <f>'Súhrn CBA'!D96</f>
        <v>1354942.4090160001</v>
      </c>
      <c r="F48" s="25">
        <f>'Súhrn CBA'!K8</f>
        <v>0</v>
      </c>
      <c r="G48" s="35">
        <f>'Súhrn CBA'!K52</f>
        <v>0</v>
      </c>
      <c r="H48" s="25">
        <f t="shared" si="13"/>
        <v>-12021621.040228801</v>
      </c>
      <c r="I48" s="25">
        <f>'Súhrn CBA'!K22</f>
        <v>0</v>
      </c>
      <c r="J48" s="35">
        <f>'Súhrn CBA'!K66</f>
        <v>0</v>
      </c>
      <c r="K48" s="25">
        <f t="shared" si="15"/>
        <v>-12021621.040228801</v>
      </c>
    </row>
    <row r="49" spans="1:14" hidden="1">
      <c r="A49" s="196" t="s">
        <v>46</v>
      </c>
      <c r="B49" s="25">
        <f>'Súhrn CBA'!D9</f>
        <v>0</v>
      </c>
      <c r="C49" s="25">
        <f>'Súhrn CBA'!D23</f>
        <v>0</v>
      </c>
      <c r="D49" s="25">
        <f>'Súhrn CBA'!D81</f>
        <v>8579320.5450291838</v>
      </c>
      <c r="E49" s="202">
        <f>'Súhrn CBA'!D97</f>
        <v>1613090.68128648</v>
      </c>
      <c r="F49" s="25">
        <f>'Súhrn CBA'!K9</f>
        <v>145750.45823999998</v>
      </c>
      <c r="G49" s="35">
        <f>'Súhrn CBA'!K53</f>
        <v>0</v>
      </c>
      <c r="H49" s="25">
        <f t="shared" si="13"/>
        <v>-10046660.768075664</v>
      </c>
      <c r="I49" s="25">
        <f>'Súhrn CBA'!K23</f>
        <v>145750.45823999998</v>
      </c>
      <c r="J49" s="35">
        <f>'Súhrn CBA'!K67</f>
        <v>0</v>
      </c>
      <c r="K49" s="25">
        <f t="shared" si="15"/>
        <v>-10046660.768075664</v>
      </c>
    </row>
    <row r="50" spans="1:14" hidden="1">
      <c r="A50" s="196" t="s">
        <v>47</v>
      </c>
      <c r="B50" s="25">
        <f>'Súhrn CBA'!D10</f>
        <v>0</v>
      </c>
      <c r="C50" s="25">
        <f>'Súhrn CBA'!D24</f>
        <v>0</v>
      </c>
      <c r="D50" s="25">
        <f>'Súhrn CBA'!D82</f>
        <v>8594274.7213800587</v>
      </c>
      <c r="E50" s="202">
        <f>'Súhrn CBA'!D98</f>
        <v>1631783.4017250745</v>
      </c>
      <c r="F50" s="25">
        <f>'Súhrn CBA'!K10</f>
        <v>909110.87424000003</v>
      </c>
      <c r="G50" s="35">
        <f>'Súhrn CBA'!K54</f>
        <v>0</v>
      </c>
      <c r="H50" s="25">
        <f t="shared" si="13"/>
        <v>-9316947.2488651332</v>
      </c>
      <c r="I50" s="25">
        <f>'Súhrn CBA'!K24</f>
        <v>909110.87424000003</v>
      </c>
      <c r="J50" s="35">
        <f>'Súhrn CBA'!K68</f>
        <v>0</v>
      </c>
      <c r="K50" s="25">
        <f t="shared" si="15"/>
        <v>-9316947.2488651332</v>
      </c>
    </row>
    <row r="51" spans="1:14" hidden="1">
      <c r="A51" s="196" t="s">
        <v>48</v>
      </c>
      <c r="B51" s="25">
        <f>'Súhrn CBA'!D11</f>
        <v>0</v>
      </c>
      <c r="C51" s="25">
        <f>'Súhrn CBA'!D25</f>
        <v>0</v>
      </c>
      <c r="D51" s="25">
        <f>'Súhrn CBA'!D83</f>
        <v>8609677.5230214614</v>
      </c>
      <c r="E51" s="202">
        <f>'Súhrn CBA'!D99</f>
        <v>1651036.9037768268</v>
      </c>
      <c r="F51" s="25">
        <f>'Súhrn CBA'!K11</f>
        <v>909110.87424000003</v>
      </c>
      <c r="G51" s="35">
        <f>'Súhrn CBA'!K55</f>
        <v>4907417.9289407991</v>
      </c>
      <c r="H51" s="25">
        <f t="shared" si="13"/>
        <v>-4444185.6236174889</v>
      </c>
      <c r="I51" s="25">
        <f>'Súhrn CBA'!K25</f>
        <v>909110.87424000003</v>
      </c>
      <c r="J51" s="35">
        <f>'Súhrn CBA'!K69</f>
        <v>4907417.9289407991</v>
      </c>
      <c r="K51" s="25">
        <f t="shared" si="15"/>
        <v>-4444185.6236174889</v>
      </c>
    </row>
    <row r="52" spans="1:14" hidden="1">
      <c r="A52" s="196" t="s">
        <v>49</v>
      </c>
      <c r="B52" s="25">
        <f>'Súhrn CBA'!D12</f>
        <v>0</v>
      </c>
      <c r="C52" s="25">
        <f>'Súhrn CBA'!D26</f>
        <v>0</v>
      </c>
      <c r="D52" s="25">
        <f>'Súhrn CBA'!D84</f>
        <v>8739158.4087121058</v>
      </c>
      <c r="E52" s="202">
        <f>'Súhrn CBA'!D100</f>
        <v>1670868.0108901316</v>
      </c>
      <c r="F52" s="25">
        <f>'Súhrn CBA'!K12</f>
        <v>909110.87424000003</v>
      </c>
      <c r="G52" s="35">
        <f>'Súhrn CBA'!K56</f>
        <v>35517181.0646016</v>
      </c>
      <c r="H52" s="25">
        <f t="shared" si="13"/>
        <v>26016265.519239366</v>
      </c>
      <c r="I52" s="25">
        <f>'Súhrn CBA'!K26</f>
        <v>909110.87424000003</v>
      </c>
      <c r="J52" s="35">
        <f>'Súhrn CBA'!K70</f>
        <v>35517181.0646016</v>
      </c>
      <c r="K52" s="25">
        <f t="shared" si="15"/>
        <v>26016265.519239366</v>
      </c>
    </row>
    <row r="53" spans="1:14" hidden="1">
      <c r="A53" s="196" t="s">
        <v>50</v>
      </c>
      <c r="B53" s="25">
        <f>'Súhrn CBA'!D13</f>
        <v>0</v>
      </c>
      <c r="C53" s="25">
        <f>'Súhrn CBA'!D27</f>
        <v>0</v>
      </c>
      <c r="D53" s="25">
        <f>'Súhrn CBA'!D85</f>
        <v>8929883.2409734689</v>
      </c>
      <c r="E53" s="202">
        <f>'Súhrn CBA'!D101</f>
        <v>1691294.0512168356</v>
      </c>
      <c r="F53" s="25">
        <f>'Súhrn CBA'!K13</f>
        <v>909110.87424000003</v>
      </c>
      <c r="G53" s="35">
        <f>'Súhrn CBA'!K57</f>
        <v>66126944.200262405</v>
      </c>
      <c r="H53" s="25">
        <f t="shared" si="13"/>
        <v>56414877.782312103</v>
      </c>
      <c r="I53" s="25">
        <f>'Súhrn CBA'!K27</f>
        <v>909110.87424000003</v>
      </c>
      <c r="J53" s="35">
        <f>'Súhrn CBA'!K71</f>
        <v>66126944.200262405</v>
      </c>
      <c r="K53" s="25">
        <f t="shared" si="15"/>
        <v>56414877.782312103</v>
      </c>
    </row>
    <row r="54" spans="1:14" hidden="1">
      <c r="A54" s="197" t="s">
        <v>51</v>
      </c>
      <c r="B54" s="192">
        <f>'Súhrn CBA'!D14</f>
        <v>0</v>
      </c>
      <c r="C54" s="192">
        <f>'Súhrn CBA'!D28</f>
        <v>0</v>
      </c>
      <c r="D54" s="192">
        <f>'Súhrn CBA'!D86</f>
        <v>8946714.298202673</v>
      </c>
      <c r="E54" s="204">
        <f>'Súhrn CBA'!D102</f>
        <v>1712332.8727533408</v>
      </c>
      <c r="F54" s="192">
        <f>'Súhrn CBA'!K14</f>
        <v>909110.87424000003</v>
      </c>
      <c r="G54" s="193">
        <f>'Súhrn CBA'!K58</f>
        <v>96736707.335923195</v>
      </c>
      <c r="H54" s="25">
        <f t="shared" si="13"/>
        <v>86986771.039207175</v>
      </c>
      <c r="I54" s="25">
        <f>'Súhrn CBA'!K28</f>
        <v>909110.87424000003</v>
      </c>
      <c r="J54" s="35">
        <f>'Súhrn CBA'!K72</f>
        <v>96736707.335923195</v>
      </c>
      <c r="K54" s="25">
        <f t="shared" si="15"/>
        <v>86986771.039207175</v>
      </c>
    </row>
    <row r="55" spans="1:14" hidden="1"/>
    <row r="56" spans="1:14" hidden="1">
      <c r="A56" s="194" t="s">
        <v>17</v>
      </c>
      <c r="B56" s="2"/>
      <c r="C56" s="125"/>
      <c r="D56" s="125"/>
      <c r="E56" s="125"/>
      <c r="F56" s="125"/>
      <c r="G56" s="166"/>
      <c r="I56" s="125"/>
      <c r="J56" s="166"/>
    </row>
    <row r="57" spans="1:14" hidden="1">
      <c r="A57" s="195" t="s">
        <v>11</v>
      </c>
      <c r="B57" s="165">
        <f>SUM(B58:B67)</f>
        <v>62676000</v>
      </c>
      <c r="C57" s="165">
        <f>SUM(C58:C67)</f>
        <v>600000</v>
      </c>
      <c r="D57" s="165">
        <f>SUM(D58:D67)</f>
        <v>136751062.46495375</v>
      </c>
      <c r="E57" s="201">
        <f t="shared" ref="E57" si="16">SUM(E58:E67)</f>
        <v>32898372.831323449</v>
      </c>
      <c r="F57" s="165">
        <f t="shared" ref="F57" si="17">SUM(F58:F67)</f>
        <v>15612983.5392</v>
      </c>
      <c r="G57" s="167">
        <f>SUM(G58:G67)</f>
        <v>648885751.1135999</v>
      </c>
      <c r="H57" s="165">
        <f t="shared" ref="H57:H67" si="18">SUM(F57:G57)-SUM(B57:E57)</f>
        <v>431573299.35652268</v>
      </c>
      <c r="I57" s="165">
        <f t="shared" ref="I57" si="19">SUM(I58:I67)</f>
        <v>12255840</v>
      </c>
      <c r="J57" s="167">
        <f>SUM(J58:J67)</f>
        <v>687756888.00000012</v>
      </c>
      <c r="K57" s="165">
        <f>SUM(I57:J57)-SUM(E57:H57)</f>
        <v>-428957678.84064591</v>
      </c>
      <c r="N57" s="205">
        <f>Náklady!M68-SUM(B57:E57)</f>
        <v>0</v>
      </c>
    </row>
    <row r="58" spans="1:14" hidden="1">
      <c r="A58" s="196" t="s">
        <v>42</v>
      </c>
      <c r="B58" s="25">
        <f>'Súhrn CBA'!C5</f>
        <v>0</v>
      </c>
      <c r="C58" s="25">
        <f>'Súhrn CBA'!E19</f>
        <v>0</v>
      </c>
      <c r="D58" s="25">
        <f>'Súhrn CBA'!C77</f>
        <v>378073.20000000007</v>
      </c>
      <c r="E58" s="202">
        <f>'Súhrn CBA'!C93</f>
        <v>0</v>
      </c>
      <c r="F58" s="25">
        <f>'Súhrn CBA'!J5</f>
        <v>0</v>
      </c>
      <c r="G58" s="35">
        <f>'Súhrn CBA'!J49</f>
        <v>0</v>
      </c>
      <c r="H58" s="25">
        <f t="shared" si="18"/>
        <v>-378073.20000000007</v>
      </c>
      <c r="I58" s="25">
        <f>'Súhrn CBA'!M5</f>
        <v>0</v>
      </c>
      <c r="J58" s="35">
        <f>'Súhrn CBA'!M49</f>
        <v>0</v>
      </c>
      <c r="K58" s="25">
        <f t="shared" ref="K58:K67" si="20">SUM(I58:J58)-SUM(E58:H58)</f>
        <v>378073.20000000007</v>
      </c>
    </row>
    <row r="59" spans="1:14" hidden="1">
      <c r="A59" s="196" t="s">
        <v>43</v>
      </c>
      <c r="B59" s="25">
        <f>'Súhrn CBA'!C6</f>
        <v>0</v>
      </c>
      <c r="C59" s="25">
        <f>'Súhrn CBA'!E20</f>
        <v>0</v>
      </c>
      <c r="D59" s="25">
        <f>'Súhrn CBA'!C78</f>
        <v>841857.84000000008</v>
      </c>
      <c r="E59" s="202">
        <f>'Súhrn CBA'!C94</f>
        <v>1108324.3600000001</v>
      </c>
      <c r="F59" s="25">
        <f>'Súhrn CBA'!J6</f>
        <v>0</v>
      </c>
      <c r="G59" s="35">
        <f>'Súhrn CBA'!J50</f>
        <v>0</v>
      </c>
      <c r="H59" s="25">
        <f t="shared" si="18"/>
        <v>-1950182.2000000002</v>
      </c>
      <c r="I59" s="25">
        <f>'Súhrn CBA'!M6</f>
        <v>0</v>
      </c>
      <c r="J59" s="35">
        <f>'Súhrn CBA'!M50</f>
        <v>0</v>
      </c>
      <c r="K59" s="25">
        <f t="shared" si="20"/>
        <v>841857.84000000008</v>
      </c>
    </row>
    <row r="60" spans="1:14" hidden="1">
      <c r="A60" s="196" t="s">
        <v>44</v>
      </c>
      <c r="B60" s="25">
        <f>'Súhrn CBA'!C7</f>
        <v>6546000</v>
      </c>
      <c r="C60" s="25">
        <f>'Súhrn CBA'!E21</f>
        <v>600000</v>
      </c>
      <c r="D60" s="25">
        <f>'Súhrn CBA'!C79</f>
        <v>1764072.3468000002</v>
      </c>
      <c r="E60" s="202">
        <f>'Súhrn CBA'!C95</f>
        <v>1923306.8180000002</v>
      </c>
      <c r="F60" s="25">
        <f>'Súhrn CBA'!J7</f>
        <v>0</v>
      </c>
      <c r="G60" s="35">
        <f>'Súhrn CBA'!J51</f>
        <v>0</v>
      </c>
      <c r="H60" s="25">
        <f t="shared" si="18"/>
        <v>-10833379.164799999</v>
      </c>
      <c r="I60" s="25">
        <f>'Súhrn CBA'!M7</f>
        <v>0</v>
      </c>
      <c r="J60" s="35">
        <f>'Súhrn CBA'!M51</f>
        <v>0</v>
      </c>
      <c r="K60" s="25">
        <f t="shared" si="20"/>
        <v>8910072.3467999995</v>
      </c>
    </row>
    <row r="61" spans="1:14" hidden="1">
      <c r="A61" s="196" t="s">
        <v>45</v>
      </c>
      <c r="B61" s="25">
        <f>'Súhrn CBA'!C8</f>
        <v>56130000</v>
      </c>
      <c r="C61" s="25">
        <f>'Súhrn CBA'!E22</f>
        <v>0</v>
      </c>
      <c r="D61" s="25">
        <f>'Súhrn CBA'!C80</f>
        <v>9764090.674031999</v>
      </c>
      <c r="E61" s="202">
        <f>'Súhrn CBA'!C96</f>
        <v>3774712.0450800005</v>
      </c>
      <c r="F61" s="25">
        <f>'Súhrn CBA'!J8</f>
        <v>0</v>
      </c>
      <c r="G61" s="35">
        <f>'Súhrn CBA'!J52</f>
        <v>0</v>
      </c>
      <c r="H61" s="25">
        <f t="shared" si="18"/>
        <v>-69668802.719112009</v>
      </c>
      <c r="I61" s="25">
        <f>'Súhrn CBA'!M8</f>
        <v>0</v>
      </c>
      <c r="J61" s="35">
        <f>'Súhrn CBA'!M52</f>
        <v>0</v>
      </c>
      <c r="K61" s="25">
        <f t="shared" si="20"/>
        <v>65894090.67403201</v>
      </c>
    </row>
    <row r="62" spans="1:14" hidden="1">
      <c r="A62" s="196" t="s">
        <v>46</v>
      </c>
      <c r="B62" s="25">
        <f>'Súhrn CBA'!C9</f>
        <v>0</v>
      </c>
      <c r="C62" s="25">
        <f>'Súhrn CBA'!E23</f>
        <v>0</v>
      </c>
      <c r="D62" s="25">
        <f>'Súhrn CBA'!C81</f>
        <v>20201512.3032162</v>
      </c>
      <c r="E62" s="202">
        <f>'Súhrn CBA'!C97</f>
        <v>4105453.4064324009</v>
      </c>
      <c r="F62" s="25">
        <f>'Súhrn CBA'!J9</f>
        <v>191552.08319999996</v>
      </c>
      <c r="G62" s="35">
        <f>'Súhrn CBA'!J53</f>
        <v>0</v>
      </c>
      <c r="H62" s="25">
        <f t="shared" si="18"/>
        <v>-24115413.626448601</v>
      </c>
      <c r="I62" s="25">
        <f>'Súhrn CBA'!M9</f>
        <v>2042640</v>
      </c>
      <c r="J62" s="35">
        <f>'Súhrn CBA'!M53</f>
        <v>0</v>
      </c>
      <c r="K62" s="25">
        <f t="shared" si="20"/>
        <v>21861048.1368162</v>
      </c>
    </row>
    <row r="63" spans="1:14" hidden="1">
      <c r="A63" s="196" t="s">
        <v>47</v>
      </c>
      <c r="B63" s="25">
        <f>'Súhrn CBA'!C10</f>
        <v>0</v>
      </c>
      <c r="C63" s="25">
        <f>'Súhrn CBA'!E24</f>
        <v>0</v>
      </c>
      <c r="D63" s="25">
        <f>'Súhrn CBA'!C82</f>
        <v>20248244.104312688</v>
      </c>
      <c r="E63" s="202">
        <f>'Súhrn CBA'!C98</f>
        <v>4198917.0086253732</v>
      </c>
      <c r="F63" s="25">
        <f>'Súhrn CBA'!J10</f>
        <v>3084286.2911999999</v>
      </c>
      <c r="G63" s="35">
        <f>'Súhrn CBA'!J54</f>
        <v>0</v>
      </c>
      <c r="H63" s="25">
        <f t="shared" si="18"/>
        <v>-21362874.821738061</v>
      </c>
      <c r="I63" s="25">
        <f>'Súhrn CBA'!M10</f>
        <v>2042640</v>
      </c>
      <c r="J63" s="35">
        <f>'Súhrn CBA'!M54</f>
        <v>0</v>
      </c>
      <c r="K63" s="25">
        <f t="shared" si="20"/>
        <v>16122311.521912687</v>
      </c>
    </row>
    <row r="64" spans="1:14" hidden="1">
      <c r="A64" s="196" t="s">
        <v>48</v>
      </c>
      <c r="B64" s="25">
        <f>'Súhrn CBA'!C11</f>
        <v>0</v>
      </c>
      <c r="C64" s="25">
        <f>'Súhrn CBA'!E25</f>
        <v>0</v>
      </c>
      <c r="D64" s="25">
        <f>'Súhrn CBA'!C83</f>
        <v>20296377.85944207</v>
      </c>
      <c r="E64" s="202">
        <f>'Súhrn CBA'!C99</f>
        <v>4295184.5188841335</v>
      </c>
      <c r="F64" s="25">
        <f>'Súhrn CBA'!J11</f>
        <v>3084286.2911999999</v>
      </c>
      <c r="G64" s="35">
        <f>'Súhrn CBA'!J55</f>
        <v>6449558.6413439987</v>
      </c>
      <c r="H64" s="25">
        <f t="shared" si="18"/>
        <v>-15057717.445782205</v>
      </c>
      <c r="I64" s="25">
        <f>'Súhrn CBA'!M11</f>
        <v>2042640</v>
      </c>
      <c r="J64" s="35">
        <f>'Súhrn CBA'!M55</f>
        <v>68775688.800000012</v>
      </c>
      <c r="K64" s="25">
        <f t="shared" si="20"/>
        <v>72047016.794354081</v>
      </c>
    </row>
    <row r="65" spans="1:14" hidden="1">
      <c r="A65" s="196" t="s">
        <v>49</v>
      </c>
      <c r="B65" s="25">
        <f>'Súhrn CBA'!C12</f>
        <v>0</v>
      </c>
      <c r="C65" s="25">
        <f>'Súhrn CBA'!E26</f>
        <v>0</v>
      </c>
      <c r="D65" s="25">
        <f>'Súhrn CBA'!C84</f>
        <v>20345955.627225332</v>
      </c>
      <c r="E65" s="202">
        <f>'Súhrn CBA'!C100</f>
        <v>4394340.0544506572</v>
      </c>
      <c r="F65" s="25">
        <f>'Súhrn CBA'!J12</f>
        <v>3084286.2911999999</v>
      </c>
      <c r="G65" s="35">
        <f>'Súhrn CBA'!J56</f>
        <v>110297478.06604798</v>
      </c>
      <c r="H65" s="25">
        <f t="shared" si="18"/>
        <v>88641468.675571993</v>
      </c>
      <c r="I65" s="25">
        <f>'Súhrn CBA'!M12</f>
        <v>2042640</v>
      </c>
      <c r="J65" s="35">
        <f>'Súhrn CBA'!M56</f>
        <v>137551377.60000002</v>
      </c>
      <c r="K65" s="25">
        <f t="shared" si="20"/>
        <v>-66823555.487270594</v>
      </c>
    </row>
    <row r="66" spans="1:14" hidden="1">
      <c r="A66" s="196" t="s">
        <v>50</v>
      </c>
      <c r="B66" s="25">
        <f>'Súhrn CBA'!C13</f>
        <v>0</v>
      </c>
      <c r="C66" s="25">
        <f>'Súhrn CBA'!E27</f>
        <v>0</v>
      </c>
      <c r="D66" s="25">
        <f>'Súhrn CBA'!C85</f>
        <v>20589260.728042088</v>
      </c>
      <c r="E66" s="202">
        <f>'Súhrn CBA'!C101</f>
        <v>4496470.2560841776</v>
      </c>
      <c r="F66" s="25">
        <f>'Súhrn CBA'!J13</f>
        <v>3084286.2911999999</v>
      </c>
      <c r="G66" s="35">
        <f>'Súhrn CBA'!J57</f>
        <v>214145397.49075201</v>
      </c>
      <c r="H66" s="25">
        <f t="shared" si="18"/>
        <v>192143952.79782575</v>
      </c>
      <c r="I66" s="25">
        <f>'Súhrn CBA'!M13</f>
        <v>2042640</v>
      </c>
      <c r="J66" s="35">
        <f>'Súhrn CBA'!M57</f>
        <v>206327066.40000001</v>
      </c>
      <c r="K66" s="25">
        <f t="shared" si="20"/>
        <v>-205500400.43586192</v>
      </c>
    </row>
    <row r="67" spans="1:14" hidden="1">
      <c r="A67" s="197" t="s">
        <v>51</v>
      </c>
      <c r="B67" s="192">
        <f>'Súhrn CBA'!C14</f>
        <v>0</v>
      </c>
      <c r="C67" s="192">
        <f>'Súhrn CBA'!E28</f>
        <v>0</v>
      </c>
      <c r="D67" s="192">
        <f>'Súhrn CBA'!C86</f>
        <v>22321617.781883352</v>
      </c>
      <c r="E67" s="204">
        <f>'Súhrn CBA'!C102</f>
        <v>4601664.3637667028</v>
      </c>
      <c r="F67" s="192">
        <f>'Súhrn CBA'!J14</f>
        <v>3084286.2911999999</v>
      </c>
      <c r="G67" s="193">
        <f>'Súhrn CBA'!J58</f>
        <v>317993316.91545594</v>
      </c>
      <c r="H67" s="25">
        <f t="shared" si="18"/>
        <v>294154321.06100589</v>
      </c>
      <c r="I67" s="192">
        <f>'Súhrn CBA'!M14</f>
        <v>2042640</v>
      </c>
      <c r="J67" s="193">
        <f>'Súhrn CBA'!M58</f>
        <v>275102755.20000005</v>
      </c>
      <c r="K67" s="25">
        <f t="shared" si="20"/>
        <v>-342688193.43142843</v>
      </c>
    </row>
    <row r="68" spans="1:14" hidden="1"/>
    <row r="69" spans="1:14" hidden="1">
      <c r="A69" s="194" t="s">
        <v>53</v>
      </c>
      <c r="B69" s="2"/>
      <c r="C69" s="125"/>
      <c r="D69" s="125"/>
      <c r="E69" s="125"/>
      <c r="F69" s="125"/>
      <c r="G69" s="166"/>
      <c r="I69" s="125"/>
      <c r="J69" s="166"/>
    </row>
    <row r="70" spans="1:14" hidden="1">
      <c r="A70" s="195" t="s">
        <v>11</v>
      </c>
      <c r="B70" s="165">
        <f>SUM(B71:B80)</f>
        <v>38676000</v>
      </c>
      <c r="C70" s="165">
        <f>SUM(C71:C80)</f>
        <v>600000</v>
      </c>
      <c r="D70" s="165">
        <f>SUM(D71:D80)</f>
        <v>151624134.74195632</v>
      </c>
      <c r="E70" s="201">
        <f t="shared" ref="E70" si="21">SUM(E71:E80)</f>
        <v>35216046.996655792</v>
      </c>
      <c r="F70" s="165">
        <f t="shared" ref="F70" si="22">SUM(F71:F80)</f>
        <v>16141711.06944</v>
      </c>
      <c r="G70" s="167">
        <f>SUM(G71:G80)</f>
        <v>665930464.25068808</v>
      </c>
      <c r="H70" s="165">
        <f t="shared" ref="H70:H80" si="23">SUM(F70:G70)-SUM(B70:E70)</f>
        <v>455955993.58151597</v>
      </c>
      <c r="I70" s="165">
        <f t="shared" ref="I70" si="24">SUM(I71:I80)</f>
        <v>0</v>
      </c>
      <c r="J70" s="167">
        <f>SUM(J71:J80)</f>
        <v>0</v>
      </c>
      <c r="K70" s="165">
        <f>SUM(I70:J70)-SUM(E70:H70)</f>
        <v>-1173244215.8982999</v>
      </c>
      <c r="N70" s="205">
        <f>Náklady!M95-SUM(B70:E70)</f>
        <v>0</v>
      </c>
    </row>
    <row r="71" spans="1:14" hidden="1">
      <c r="A71" s="196" t="s">
        <v>42</v>
      </c>
      <c r="B71" s="25">
        <f>'Súhrn CBA'!E5</f>
        <v>0</v>
      </c>
      <c r="C71" s="25">
        <f>'Súhrn CBA'!E19</f>
        <v>0</v>
      </c>
      <c r="D71" s="25">
        <f>'Súhrn CBA'!E77</f>
        <v>378073.20000000007</v>
      </c>
      <c r="E71" s="202">
        <f>'Súhrn CBA'!E93</f>
        <v>0</v>
      </c>
      <c r="F71" s="25">
        <f>'Súhrn CBA'!L5</f>
        <v>0</v>
      </c>
      <c r="G71" s="35">
        <f>'Súhrn CBA'!L49</f>
        <v>0</v>
      </c>
      <c r="H71" s="25">
        <f t="shared" si="23"/>
        <v>-378073.20000000007</v>
      </c>
      <c r="I71" s="25">
        <f>'Súhrn CBA'!O5</f>
        <v>0</v>
      </c>
      <c r="J71" s="35">
        <f>'Súhrn CBA'!O33</f>
        <v>0</v>
      </c>
      <c r="K71" s="25">
        <f t="shared" ref="K71:K80" si="25">SUM(I71:J71)-SUM(E71:H71)</f>
        <v>378073.20000000007</v>
      </c>
    </row>
    <row r="72" spans="1:14" hidden="1">
      <c r="A72" s="196" t="s">
        <v>43</v>
      </c>
      <c r="B72" s="25">
        <f>'Súhrn CBA'!E6</f>
        <v>0</v>
      </c>
      <c r="C72" s="25">
        <f>'Súhrn CBA'!E20</f>
        <v>0</v>
      </c>
      <c r="D72" s="25">
        <f>'Súhrn CBA'!E78</f>
        <v>841857.84000000008</v>
      </c>
      <c r="E72" s="202">
        <f>'Súhrn CBA'!E94</f>
        <v>1108324.3600000001</v>
      </c>
      <c r="F72" s="25">
        <f>'Súhrn CBA'!L6</f>
        <v>0</v>
      </c>
      <c r="G72" s="35">
        <f>'Súhrn CBA'!L50</f>
        <v>0</v>
      </c>
      <c r="H72" s="25">
        <f t="shared" si="23"/>
        <v>-1950182.2000000002</v>
      </c>
      <c r="I72" s="25">
        <f>'Súhrn CBA'!O6</f>
        <v>0</v>
      </c>
      <c r="J72" s="35">
        <f>'Súhrn CBA'!O34</f>
        <v>0</v>
      </c>
      <c r="K72" s="25">
        <f t="shared" si="25"/>
        <v>841857.84000000008</v>
      </c>
    </row>
    <row r="73" spans="1:14" hidden="1">
      <c r="A73" s="196" t="s">
        <v>44</v>
      </c>
      <c r="B73" s="25">
        <f>'Súhrn CBA'!E7</f>
        <v>3925200</v>
      </c>
      <c r="C73" s="25">
        <f>'Súhrn CBA'!E21</f>
        <v>600000</v>
      </c>
      <c r="D73" s="25">
        <f>'Súhrn CBA'!E79</f>
        <v>1760996.7948</v>
      </c>
      <c r="E73" s="202">
        <f>'Súhrn CBA'!E95</f>
        <v>1923306.8180000002</v>
      </c>
      <c r="F73" s="25">
        <f>'Súhrn CBA'!L7</f>
        <v>0</v>
      </c>
      <c r="G73" s="35">
        <f>'Súhrn CBA'!L51</f>
        <v>0</v>
      </c>
      <c r="H73" s="25">
        <f t="shared" si="23"/>
        <v>-8209503.6128000002</v>
      </c>
      <c r="I73" s="25">
        <f>'Súhrn CBA'!O7</f>
        <v>0</v>
      </c>
      <c r="J73" s="35">
        <f>'Súhrn CBA'!O35</f>
        <v>0</v>
      </c>
      <c r="K73" s="25">
        <f t="shared" si="25"/>
        <v>6286196.7948000003</v>
      </c>
    </row>
    <row r="74" spans="1:14" hidden="1">
      <c r="A74" s="196" t="s">
        <v>45</v>
      </c>
      <c r="B74" s="25">
        <f>'Súhrn CBA'!E8</f>
        <v>34750800</v>
      </c>
      <c r="C74" s="25">
        <f>'Súhrn CBA'!E22</f>
        <v>0</v>
      </c>
      <c r="D74" s="25">
        <f>'Súhrn CBA'!E80</f>
        <v>10685071.926539999</v>
      </c>
      <c r="E74" s="202">
        <f>'Súhrn CBA'!E96</f>
        <v>4077183.2495880006</v>
      </c>
      <c r="F74" s="25">
        <f>'Súhrn CBA'!L8</f>
        <v>0</v>
      </c>
      <c r="G74" s="35">
        <f>'Súhrn CBA'!L52</f>
        <v>0</v>
      </c>
      <c r="H74" s="25">
        <f t="shared" si="23"/>
        <v>-49513055.176128</v>
      </c>
      <c r="I74" s="25">
        <f>'Súhrn CBA'!O8</f>
        <v>0</v>
      </c>
      <c r="J74" s="35">
        <f>'Súhrn CBA'!O36</f>
        <v>0</v>
      </c>
      <c r="K74" s="25">
        <f t="shared" si="25"/>
        <v>45435871.926540002</v>
      </c>
    </row>
    <row r="75" spans="1:14" hidden="1">
      <c r="A75" s="196" t="s">
        <v>46</v>
      </c>
      <c r="B75" s="25">
        <f>'Súhrn CBA'!E9</f>
        <v>0</v>
      </c>
      <c r="C75" s="25">
        <f>'Súhrn CBA'!E23</f>
        <v>0</v>
      </c>
      <c r="D75" s="25">
        <f>'Súhrn CBA'!E81</f>
        <v>22453884.307602145</v>
      </c>
      <c r="E75" s="202">
        <f>'Súhrn CBA'!E97</f>
        <v>4416998.7470756415</v>
      </c>
      <c r="F75" s="25">
        <f>'Súhrn CBA'!L9</f>
        <v>145750.45823999998</v>
      </c>
      <c r="G75" s="35">
        <f>'Súhrn CBA'!L53</f>
        <v>0</v>
      </c>
      <c r="H75" s="25">
        <f t="shared" si="23"/>
        <v>-26725132.596437786</v>
      </c>
      <c r="I75" s="25">
        <f>'Súhrn CBA'!O9</f>
        <v>0</v>
      </c>
      <c r="J75" s="35">
        <f>'Súhrn CBA'!O37</f>
        <v>0</v>
      </c>
      <c r="K75" s="25">
        <f t="shared" si="25"/>
        <v>22162383.391122144</v>
      </c>
    </row>
    <row r="76" spans="1:14" hidden="1">
      <c r="A76" s="196" t="s">
        <v>47</v>
      </c>
      <c r="B76" s="25">
        <f>'Súhrn CBA'!E10</f>
        <v>0</v>
      </c>
      <c r="C76" s="25">
        <f>'Súhrn CBA'!E24</f>
        <v>0</v>
      </c>
      <c r="D76" s="25">
        <f>'Súhrn CBA'!E82</f>
        <v>22506223.924830206</v>
      </c>
      <c r="E76" s="202">
        <f>'Súhrn CBA'!E98</f>
        <v>4519808.7094879095</v>
      </c>
      <c r="F76" s="25">
        <f>'Súhrn CBA'!L10</f>
        <v>3199192.1222400004</v>
      </c>
      <c r="G76" s="35">
        <f>'Súhrn CBA'!L54</f>
        <v>0</v>
      </c>
      <c r="H76" s="25">
        <f t="shared" si="23"/>
        <v>-23826840.512078114</v>
      </c>
      <c r="I76" s="25">
        <f>'Súhrn CBA'!O10</f>
        <v>0</v>
      </c>
      <c r="J76" s="35">
        <f>'Súhrn CBA'!O38</f>
        <v>0</v>
      </c>
      <c r="K76" s="25">
        <f t="shared" si="25"/>
        <v>16107839.680350203</v>
      </c>
    </row>
    <row r="77" spans="1:14" hidden="1">
      <c r="A77" s="196" t="s">
        <v>48</v>
      </c>
      <c r="B77" s="25">
        <f>'Súhrn CBA'!E11</f>
        <v>0</v>
      </c>
      <c r="C77" s="25">
        <f>'Súhrn CBA'!E25</f>
        <v>0</v>
      </c>
      <c r="D77" s="25">
        <f>'Súhrn CBA'!E83</f>
        <v>22560133.730575114</v>
      </c>
      <c r="E77" s="202">
        <f>'Súhrn CBA'!E99</f>
        <v>4625702.9707725476</v>
      </c>
      <c r="F77" s="25">
        <f>'Súhrn CBA'!L11</f>
        <v>3199192.1222400004</v>
      </c>
      <c r="G77" s="35">
        <f>'Súhrn CBA'!L55</f>
        <v>4907417.9289407991</v>
      </c>
      <c r="H77" s="25">
        <f t="shared" si="23"/>
        <v>-19079226.650166865</v>
      </c>
      <c r="I77" s="25">
        <f>'Súhrn CBA'!O11</f>
        <v>0</v>
      </c>
      <c r="J77" s="35">
        <f>'Súhrn CBA'!O39</f>
        <v>0</v>
      </c>
      <c r="K77" s="25">
        <f t="shared" si="25"/>
        <v>6346913.6282135174</v>
      </c>
    </row>
    <row r="78" spans="1:14" hidden="1">
      <c r="A78" s="196" t="s">
        <v>49</v>
      </c>
      <c r="B78" s="25">
        <f>'Súhrn CBA'!E12</f>
        <v>0</v>
      </c>
      <c r="C78" s="25">
        <f>'Súhrn CBA'!E26</f>
        <v>0</v>
      </c>
      <c r="D78" s="25">
        <f>'Súhrn CBA'!E84</f>
        <v>22729276.830492366</v>
      </c>
      <c r="E78" s="202">
        <f>'Súhrn CBA'!E100</f>
        <v>4734774.0598957241</v>
      </c>
      <c r="F78" s="25">
        <f>'Súhrn CBA'!L12</f>
        <v>3199192.1222400004</v>
      </c>
      <c r="G78" s="35">
        <f>'Súhrn CBA'!L56</f>
        <v>112624216.68476163</v>
      </c>
      <c r="H78" s="25">
        <f t="shared" si="23"/>
        <v>88359357.916613549</v>
      </c>
      <c r="I78" s="25">
        <f>'Súhrn CBA'!O12</f>
        <v>0</v>
      </c>
      <c r="J78" s="35">
        <f>'Súhrn CBA'!O40</f>
        <v>0</v>
      </c>
      <c r="K78" s="25">
        <f t="shared" si="25"/>
        <v>-208917540.78351092</v>
      </c>
    </row>
    <row r="79" spans="1:14" hidden="1">
      <c r="A79" s="196" t="s">
        <v>50</v>
      </c>
      <c r="B79" s="25">
        <f>'Súhrn CBA'!E13</f>
        <v>0</v>
      </c>
      <c r="C79" s="25">
        <f>'Súhrn CBA'!E27</f>
        <v>0</v>
      </c>
      <c r="D79" s="25">
        <f>'Súhrn CBA'!E85</f>
        <v>23824853.743407138</v>
      </c>
      <c r="E79" s="202">
        <f>'Súhrn CBA'!E101</f>
        <v>4847117.2816925952</v>
      </c>
      <c r="F79" s="25">
        <f>'Súhrn CBA'!L13</f>
        <v>3199192.1222400004</v>
      </c>
      <c r="G79" s="35">
        <f>'Súhrn CBA'!L57</f>
        <v>220341015.44058245</v>
      </c>
      <c r="H79" s="25">
        <f t="shared" si="23"/>
        <v>194868236.53772274</v>
      </c>
      <c r="I79" s="25">
        <f>'Súhrn CBA'!O13</f>
        <v>0</v>
      </c>
      <c r="J79" s="35">
        <f>'Súhrn CBA'!O41</f>
        <v>0</v>
      </c>
      <c r="K79" s="25">
        <f t="shared" si="25"/>
        <v>-423255561.38223779</v>
      </c>
    </row>
    <row r="80" spans="1:14" hidden="1">
      <c r="A80" s="197" t="s">
        <v>51</v>
      </c>
      <c r="B80" s="192">
        <f>'Súhrn CBA'!E14</f>
        <v>0</v>
      </c>
      <c r="C80" s="192">
        <f>'Súhrn CBA'!E28</f>
        <v>0</v>
      </c>
      <c r="D80" s="192">
        <f>'Súhrn CBA'!E86</f>
        <v>23883762.443709351</v>
      </c>
      <c r="E80" s="204">
        <f>'Súhrn CBA'!E102</f>
        <v>4962830.8001433741</v>
      </c>
      <c r="F80" s="192">
        <f>'Súhrn CBA'!L14</f>
        <v>3199192.1222400004</v>
      </c>
      <c r="G80" s="193">
        <f>'Súhrn CBA'!L58</f>
        <v>328057814.19640326</v>
      </c>
      <c r="H80" s="25">
        <f t="shared" si="23"/>
        <v>302410413.07479054</v>
      </c>
      <c r="I80" s="192">
        <f>'Súhrn CBA'!O14</f>
        <v>0</v>
      </c>
      <c r="J80" s="193">
        <f>'Súhrn CBA'!O42</f>
        <v>0</v>
      </c>
      <c r="K80" s="25">
        <f t="shared" si="25"/>
        <v>-638630250.19357717</v>
      </c>
    </row>
    <row r="81" spans="1:14" hidden="1"/>
    <row r="82" spans="1:14" hidden="1">
      <c r="A82" s="194" t="s">
        <v>54</v>
      </c>
      <c r="B82" s="2"/>
      <c r="C82" s="125"/>
      <c r="D82" s="125"/>
      <c r="E82" s="125"/>
      <c r="F82" s="125"/>
      <c r="G82" s="166"/>
      <c r="I82" s="125"/>
      <c r="J82" s="166"/>
    </row>
    <row r="83" spans="1:14" hidden="1">
      <c r="A83" s="195" t="s">
        <v>11</v>
      </c>
      <c r="B83" s="165">
        <f>SUM(B84:B93)</f>
        <v>28326000</v>
      </c>
      <c r="C83" s="165">
        <f>SUM(C84:C93)</f>
        <v>8599551.9469999988</v>
      </c>
      <c r="D83" s="165">
        <f>SUM(D84:D93)</f>
        <v>22355271.987123754</v>
      </c>
      <c r="E83" s="201">
        <f t="shared" ref="E83" si="26">SUM(E84:E93)</f>
        <v>13190887.297864689</v>
      </c>
      <c r="F83" s="165">
        <f t="shared" ref="F83" si="27">SUM(F84:F93)</f>
        <v>5175034.2720000008</v>
      </c>
      <c r="G83" s="167">
        <f>SUM(G84:G93)</f>
        <v>290405673.23039997</v>
      </c>
      <c r="H83" s="165">
        <f t="shared" ref="H83:H93" si="28">SUM(F83:G83)-SUM(B83:E83)</f>
        <v>223108996.27041155</v>
      </c>
      <c r="I83" s="165">
        <f t="shared" ref="I83" si="29">SUM(I84:I93)</f>
        <v>16141711.06944</v>
      </c>
      <c r="J83" s="167">
        <f>SUM(J84:J93)</f>
        <v>665930464.25068808</v>
      </c>
      <c r="K83" s="165">
        <f>SUM(I83:J83)-SUM(E83:H83)</f>
        <v>150191584.24945188</v>
      </c>
      <c r="N83" s="205">
        <f>Náklady!M122-SUM(B83:E83)</f>
        <v>-137999.9999999851</v>
      </c>
    </row>
    <row r="84" spans="1:14" hidden="1">
      <c r="A84" s="196" t="s">
        <v>42</v>
      </c>
      <c r="B84" s="25">
        <f>'Súhrn CBA'!B5</f>
        <v>0</v>
      </c>
      <c r="C84" s="25">
        <f>'Súhrn CBA'!B33</f>
        <v>0</v>
      </c>
      <c r="D84" s="25">
        <f>'Súhrn CBA'!B63</f>
        <v>267351.60000000003</v>
      </c>
      <c r="E84" s="202">
        <f>'Súhrn CBA'!B93</f>
        <v>0</v>
      </c>
      <c r="F84" s="25">
        <f>'Súhrn CBA'!I5</f>
        <v>0</v>
      </c>
      <c r="G84" s="35">
        <f>'Súhrn CBA'!I49</f>
        <v>0</v>
      </c>
      <c r="H84" s="25">
        <f t="shared" si="28"/>
        <v>-267351.60000000003</v>
      </c>
      <c r="I84" s="25">
        <f>'Súhrn CBA'!L5</f>
        <v>0</v>
      </c>
      <c r="J84" s="35">
        <f>'Súhrn CBA'!L49</f>
        <v>0</v>
      </c>
      <c r="K84" s="25">
        <f t="shared" ref="K84:K93" si="30">SUM(I84:J84)-SUM(E84:H84)</f>
        <v>267351.60000000003</v>
      </c>
    </row>
    <row r="85" spans="1:14" hidden="1">
      <c r="A85" s="196" t="s">
        <v>43</v>
      </c>
      <c r="B85" s="25">
        <f>'Súhrn CBA'!B6</f>
        <v>0</v>
      </c>
      <c r="C85" s="25">
        <f>'Súhrn CBA'!B34</f>
        <v>0</v>
      </c>
      <c r="D85" s="25">
        <f>'Súhrn CBA'!B64</f>
        <v>612614.59200000006</v>
      </c>
      <c r="E85" s="202">
        <f>'Súhrn CBA'!B94</f>
        <v>823216.24000000011</v>
      </c>
      <c r="F85" s="25">
        <f>'Súhrn CBA'!I6</f>
        <v>0</v>
      </c>
      <c r="G85" s="35">
        <f>'Súhrn CBA'!I50</f>
        <v>0</v>
      </c>
      <c r="H85" s="25">
        <f t="shared" si="28"/>
        <v>-1435830.8320000002</v>
      </c>
      <c r="I85" s="25">
        <f>'Súhrn CBA'!L6</f>
        <v>0</v>
      </c>
      <c r="J85" s="35">
        <f>'Súhrn CBA'!L50</f>
        <v>0</v>
      </c>
      <c r="K85" s="25">
        <f t="shared" si="30"/>
        <v>612614.59200000006</v>
      </c>
    </row>
    <row r="86" spans="1:14" hidden="1">
      <c r="A86" s="196" t="s">
        <v>44</v>
      </c>
      <c r="B86" s="25">
        <f>'Súhrn CBA'!B7</f>
        <v>138000</v>
      </c>
      <c r="C86" s="25">
        <f>'Súhrn CBA'!B35</f>
        <v>0</v>
      </c>
      <c r="D86" s="25">
        <f>'Súhrn CBA'!B65</f>
        <v>469858.18176000006</v>
      </c>
      <c r="E86" s="202">
        <f>'Súhrn CBA'!B95</f>
        <v>1042322.7272</v>
      </c>
      <c r="F86" s="25">
        <f>'Súhrn CBA'!I7</f>
        <v>0</v>
      </c>
      <c r="G86" s="35">
        <f>'Súhrn CBA'!I51</f>
        <v>0</v>
      </c>
      <c r="H86" s="25">
        <f t="shared" si="28"/>
        <v>-1650180.9089600001</v>
      </c>
      <c r="I86" s="25">
        <f>'Súhrn CBA'!L7</f>
        <v>0</v>
      </c>
      <c r="J86" s="35">
        <f>'Súhrn CBA'!L51</f>
        <v>0</v>
      </c>
      <c r="K86" s="25">
        <f t="shared" si="30"/>
        <v>607858.18176000018</v>
      </c>
    </row>
    <row r="87" spans="1:14" hidden="1">
      <c r="A87" s="196" t="s">
        <v>45</v>
      </c>
      <c r="B87" s="25">
        <f>'Súhrn CBA'!B8</f>
        <v>28188000</v>
      </c>
      <c r="C87" s="25">
        <f>'Súhrn CBA'!B36</f>
        <v>8599551.9469999988</v>
      </c>
      <c r="D87" s="25">
        <f>'Súhrn CBA'!B66</f>
        <v>1382402.9512128001</v>
      </c>
      <c r="E87" s="202">
        <f>'Súhrn CBA'!B96</f>
        <v>1354942.4090160001</v>
      </c>
      <c r="F87" s="25">
        <f>'Súhrn CBA'!I8</f>
        <v>0</v>
      </c>
      <c r="G87" s="35">
        <f>'Súhrn CBA'!I52</f>
        <v>0</v>
      </c>
      <c r="H87" s="25">
        <f t="shared" si="28"/>
        <v>-39524897.307228796</v>
      </c>
      <c r="I87" s="25">
        <f>'Súhrn CBA'!L8</f>
        <v>0</v>
      </c>
      <c r="J87" s="35">
        <f>'Súhrn CBA'!L52</f>
        <v>0</v>
      </c>
      <c r="K87" s="25">
        <f t="shared" si="30"/>
        <v>38169954.898212798</v>
      </c>
    </row>
    <row r="88" spans="1:14" hidden="1">
      <c r="A88" s="196" t="s">
        <v>46</v>
      </c>
      <c r="B88" s="25">
        <f>'Súhrn CBA'!B9</f>
        <v>0</v>
      </c>
      <c r="C88" s="25">
        <f>'Súhrn CBA'!B37</f>
        <v>0</v>
      </c>
      <c r="D88" s="25">
        <f>'Súhrn CBA'!B67</f>
        <v>2951092.5325011844</v>
      </c>
      <c r="E88" s="202">
        <f>'Súhrn CBA'!B97</f>
        <v>1613090.68128648</v>
      </c>
      <c r="F88" s="25">
        <f>'Súhrn CBA'!I9</f>
        <v>862505.71200000006</v>
      </c>
      <c r="G88" s="35">
        <f>'Súhrn CBA'!I53</f>
        <v>0</v>
      </c>
      <c r="H88" s="25">
        <f t="shared" si="28"/>
        <v>-3701677.5017876644</v>
      </c>
      <c r="I88" s="25">
        <f>'Súhrn CBA'!L9</f>
        <v>145750.45823999998</v>
      </c>
      <c r="J88" s="35">
        <f>'Súhrn CBA'!L53</f>
        <v>0</v>
      </c>
      <c r="K88" s="25">
        <f t="shared" si="30"/>
        <v>1371831.5667411843</v>
      </c>
    </row>
    <row r="89" spans="1:14" hidden="1">
      <c r="A89" s="196" t="s">
        <v>47</v>
      </c>
      <c r="B89" s="25">
        <f>'Súhrn CBA'!B10</f>
        <v>0</v>
      </c>
      <c r="C89" s="25">
        <f>'Súhrn CBA'!B38</f>
        <v>0</v>
      </c>
      <c r="D89" s="25">
        <f>'Súhrn CBA'!B68</f>
        <v>2966046.7088520597</v>
      </c>
      <c r="E89" s="202">
        <f>'Súhrn CBA'!B98</f>
        <v>1631783.4017250745</v>
      </c>
      <c r="F89" s="25">
        <f>'Súhrn CBA'!I10</f>
        <v>862505.71200000006</v>
      </c>
      <c r="G89" s="35">
        <f>'Súhrn CBA'!I54</f>
        <v>0</v>
      </c>
      <c r="H89" s="25">
        <f t="shared" si="28"/>
        <v>-3735324.3985771341</v>
      </c>
      <c r="I89" s="25">
        <f>'Súhrn CBA'!L10</f>
        <v>3199192.1222400004</v>
      </c>
      <c r="J89" s="35">
        <f>'Súhrn CBA'!L54</f>
        <v>0</v>
      </c>
      <c r="K89" s="25">
        <f t="shared" si="30"/>
        <v>4440227.40709206</v>
      </c>
    </row>
    <row r="90" spans="1:14" hidden="1">
      <c r="A90" s="196" t="s">
        <v>48</v>
      </c>
      <c r="B90" s="25">
        <f>'Súhrn CBA'!B11</f>
        <v>0</v>
      </c>
      <c r="C90" s="25">
        <f>'Súhrn CBA'!B39</f>
        <v>0</v>
      </c>
      <c r="D90" s="25">
        <f>'Súhrn CBA'!B69</f>
        <v>2981449.5104934615</v>
      </c>
      <c r="E90" s="202">
        <f>'Súhrn CBA'!B99</f>
        <v>1651036.9037768268</v>
      </c>
      <c r="F90" s="25">
        <f>'Súhrn CBA'!I11</f>
        <v>862505.71200000006</v>
      </c>
      <c r="G90" s="35">
        <f>'Súhrn CBA'!I55</f>
        <v>29040567.323040001</v>
      </c>
      <c r="H90" s="25">
        <f t="shared" si="28"/>
        <v>25270586.620769713</v>
      </c>
      <c r="I90" s="25">
        <f>'Súhrn CBA'!L11</f>
        <v>3199192.1222400004</v>
      </c>
      <c r="J90" s="35">
        <f>'Súhrn CBA'!L55</f>
        <v>4907417.9289407991</v>
      </c>
      <c r="K90" s="25">
        <f t="shared" si="30"/>
        <v>-48718086.508405738</v>
      </c>
    </row>
    <row r="91" spans="1:14" hidden="1">
      <c r="A91" s="196" t="s">
        <v>49</v>
      </c>
      <c r="B91" s="25">
        <f>'Súhrn CBA'!B12</f>
        <v>0</v>
      </c>
      <c r="C91" s="25">
        <f>'Súhrn CBA'!B40</f>
        <v>0</v>
      </c>
      <c r="D91" s="25">
        <f>'Súhrn CBA'!B70</f>
        <v>2997314.3961841054</v>
      </c>
      <c r="E91" s="202">
        <f>'Súhrn CBA'!B100</f>
        <v>1670868.0108901316</v>
      </c>
      <c r="F91" s="25">
        <f>'Súhrn CBA'!I12</f>
        <v>862505.71200000006</v>
      </c>
      <c r="G91" s="35">
        <f>'Súhrn CBA'!I56</f>
        <v>58081134.646080002</v>
      </c>
      <c r="H91" s="25">
        <f t="shared" si="28"/>
        <v>54275457.951005764</v>
      </c>
      <c r="I91" s="25">
        <f>'Súhrn CBA'!L12</f>
        <v>3199192.1222400004</v>
      </c>
      <c r="J91" s="35">
        <f>'Súhrn CBA'!L56</f>
        <v>112624216.68476163</v>
      </c>
      <c r="K91" s="25">
        <f t="shared" si="30"/>
        <v>933442.48702573776</v>
      </c>
    </row>
    <row r="92" spans="1:14" hidden="1">
      <c r="A92" s="196" t="s">
        <v>50</v>
      </c>
      <c r="B92" s="25">
        <f>'Súhrn CBA'!B13</f>
        <v>0</v>
      </c>
      <c r="C92" s="25">
        <f>'Súhrn CBA'!B41</f>
        <v>0</v>
      </c>
      <c r="D92" s="25">
        <f>'Súhrn CBA'!B71</f>
        <v>3855155.2284454685</v>
      </c>
      <c r="E92" s="202">
        <f>'Súhrn CBA'!B101</f>
        <v>1691294.0512168356</v>
      </c>
      <c r="F92" s="25">
        <f>'Súhrn CBA'!I13</f>
        <v>862505.71200000006</v>
      </c>
      <c r="G92" s="35">
        <f>'Súhrn CBA'!I57</f>
        <v>87121701.969120011</v>
      </c>
      <c r="H92" s="25">
        <f t="shared" si="28"/>
        <v>82437758.401457697</v>
      </c>
      <c r="I92" s="25">
        <f>'Súhrn CBA'!L13</f>
        <v>3199192.1222400004</v>
      </c>
      <c r="J92" s="35">
        <f>'Súhrn CBA'!L57</f>
        <v>220341015.44058245</v>
      </c>
      <c r="K92" s="25">
        <f t="shared" si="30"/>
        <v>51426947.429027915</v>
      </c>
    </row>
    <row r="93" spans="1:14" hidden="1">
      <c r="A93" s="197" t="s">
        <v>51</v>
      </c>
      <c r="B93" s="192">
        <f>'Súhrn CBA'!B14</f>
        <v>0</v>
      </c>
      <c r="C93" s="192">
        <f>'Súhrn CBA'!B42</f>
        <v>0</v>
      </c>
      <c r="D93" s="192">
        <f>'Súhrn CBA'!B72</f>
        <v>3871986.2856746726</v>
      </c>
      <c r="E93" s="204">
        <f>'Súhrn CBA'!B102</f>
        <v>1712332.8727533408</v>
      </c>
      <c r="F93" s="192">
        <f>'Súhrn CBA'!I14</f>
        <v>862505.71200000006</v>
      </c>
      <c r="G93" s="193">
        <f>'Súhrn CBA'!I58</f>
        <v>116162269.29216</v>
      </c>
      <c r="H93" s="25">
        <f t="shared" si="28"/>
        <v>111440455.84573199</v>
      </c>
      <c r="I93" s="192">
        <f>'Súhrn CBA'!L14</f>
        <v>3199192.1222400004</v>
      </c>
      <c r="J93" s="193">
        <f>'Súhrn CBA'!L58</f>
        <v>328057814.19640326</v>
      </c>
      <c r="K93" s="25">
        <f t="shared" si="30"/>
        <v>101079442.59599793</v>
      </c>
    </row>
    <row r="94" spans="1:14" hidden="1"/>
    <row r="95" spans="1:14" hidden="1">
      <c r="A95" s="194" t="s">
        <v>55</v>
      </c>
      <c r="B95" s="2"/>
      <c r="C95" s="125"/>
      <c r="D95" s="125"/>
      <c r="E95" s="125"/>
      <c r="F95" s="125"/>
      <c r="G95" s="166"/>
      <c r="I95" s="125"/>
      <c r="J95" s="166"/>
    </row>
    <row r="96" spans="1:14" hidden="1">
      <c r="A96" s="195" t="s">
        <v>11</v>
      </c>
      <c r="B96" s="165">
        <f>SUM(B97:B106)</f>
        <v>9876000</v>
      </c>
      <c r="C96" s="165">
        <f>SUM(C97:C106)</f>
        <v>13599283.680219999</v>
      </c>
      <c r="D96" s="165">
        <f>SUM(D97:D106)</f>
        <v>34873204.483772062</v>
      </c>
      <c r="E96" s="201">
        <f t="shared" ref="E96" si="31">SUM(E97:E106)</f>
        <v>13190887.297864689</v>
      </c>
      <c r="F96" s="165">
        <f t="shared" ref="F96" si="32">SUM(F97:F106)</f>
        <v>4691304.8294399995</v>
      </c>
      <c r="G96" s="167">
        <f>SUM(G97:G106)</f>
        <v>203288250.529728</v>
      </c>
      <c r="H96" s="165">
        <f t="shared" ref="H96:H106" si="33">SUM(F96:G96)-SUM(B96:E96)</f>
        <v>136440179.89731124</v>
      </c>
      <c r="I96" s="165">
        <f t="shared" ref="I96" si="34">SUM(I97:I106)</f>
        <v>0</v>
      </c>
      <c r="J96" s="167">
        <f>SUM(J97:J106)</f>
        <v>0</v>
      </c>
      <c r="K96" s="165">
        <f>SUM(I96:J96)-SUM(E96:H96)</f>
        <v>-357610622.55434394</v>
      </c>
      <c r="N96" s="205">
        <f>Náklady!M149-SUM(B96:E96)</f>
        <v>0</v>
      </c>
    </row>
    <row r="97" spans="1:14" hidden="1">
      <c r="A97" s="196" t="s">
        <v>42</v>
      </c>
      <c r="B97" s="25">
        <f>'Súhrn CBA'!D5</f>
        <v>0</v>
      </c>
      <c r="C97" s="25">
        <f>'Súhrn CBA'!D33</f>
        <v>0</v>
      </c>
      <c r="D97" s="25">
        <f>'Súhrn CBA'!D63</f>
        <v>267351.60000000003</v>
      </c>
      <c r="E97" s="202">
        <f>'Súhrn CBA'!D93</f>
        <v>0</v>
      </c>
      <c r="F97" s="25">
        <f>'Súhrn CBA'!K5</f>
        <v>0</v>
      </c>
      <c r="G97" s="35">
        <f>'Súhrn CBA'!K49</f>
        <v>0</v>
      </c>
      <c r="H97" s="25">
        <f t="shared" si="33"/>
        <v>-267351.60000000003</v>
      </c>
      <c r="I97" s="25">
        <f>'Súhrn CBA'!N5</f>
        <v>0</v>
      </c>
      <c r="J97" s="35">
        <f>'Súhrn CBA'!N33</f>
        <v>0</v>
      </c>
      <c r="K97" s="25">
        <f t="shared" ref="K97:K106" si="35">SUM(I97:J97)-SUM(E97:H97)</f>
        <v>267351.60000000003</v>
      </c>
    </row>
    <row r="98" spans="1:14" hidden="1">
      <c r="A98" s="196" t="s">
        <v>43</v>
      </c>
      <c r="B98" s="25">
        <f>'Súhrn CBA'!D6</f>
        <v>0</v>
      </c>
      <c r="C98" s="25">
        <f>'Súhrn CBA'!D34</f>
        <v>0</v>
      </c>
      <c r="D98" s="25">
        <f>'Súhrn CBA'!D64</f>
        <v>727814.59200000006</v>
      </c>
      <c r="E98" s="202">
        <f>'Súhrn CBA'!D94</f>
        <v>823216.24000000011</v>
      </c>
      <c r="F98" s="25">
        <f>'Súhrn CBA'!K6</f>
        <v>0</v>
      </c>
      <c r="G98" s="35">
        <f>'Súhrn CBA'!K50</f>
        <v>0</v>
      </c>
      <c r="H98" s="25">
        <f t="shared" si="33"/>
        <v>-1551030.8320000002</v>
      </c>
      <c r="I98" s="25">
        <f>'Súhrn CBA'!N6</f>
        <v>0</v>
      </c>
      <c r="J98" s="35">
        <f>'Súhrn CBA'!N34</f>
        <v>0</v>
      </c>
      <c r="K98" s="25">
        <f t="shared" si="35"/>
        <v>727814.59200000006</v>
      </c>
    </row>
    <row r="99" spans="1:14" hidden="1">
      <c r="A99" s="196" t="s">
        <v>44</v>
      </c>
      <c r="B99" s="25">
        <f>'Súhrn CBA'!D7</f>
        <v>3925200</v>
      </c>
      <c r="C99" s="25">
        <f>'Súhrn CBA'!D35</f>
        <v>7200000</v>
      </c>
      <c r="D99" s="25">
        <f>'Súhrn CBA'!D65</f>
        <v>1727870.88576</v>
      </c>
      <c r="E99" s="202">
        <f>'Súhrn CBA'!D95</f>
        <v>1042322.7272</v>
      </c>
      <c r="F99" s="25">
        <f>'Súhrn CBA'!K7</f>
        <v>0</v>
      </c>
      <c r="G99" s="35">
        <f>'Súhrn CBA'!K51</f>
        <v>0</v>
      </c>
      <c r="H99" s="25">
        <f t="shared" si="33"/>
        <v>-13895393.61296</v>
      </c>
      <c r="I99" s="25">
        <f>'Súhrn CBA'!N7</f>
        <v>0</v>
      </c>
      <c r="J99" s="35">
        <f>'Súhrn CBA'!N35</f>
        <v>0</v>
      </c>
      <c r="K99" s="25">
        <f t="shared" si="35"/>
        <v>12853070.88576</v>
      </c>
    </row>
    <row r="100" spans="1:14" hidden="1">
      <c r="A100" s="196" t="s">
        <v>45</v>
      </c>
      <c r="B100" s="25">
        <f>'Súhrn CBA'!D8</f>
        <v>5950800</v>
      </c>
      <c r="C100" s="25">
        <f>'Súhrn CBA'!D36</f>
        <v>6399283.6802199986</v>
      </c>
      <c r="D100" s="25">
        <f>'Súhrn CBA'!D66</f>
        <v>3056782.6312127998</v>
      </c>
      <c r="E100" s="202">
        <f>'Súhrn CBA'!D96</f>
        <v>1354942.4090160001</v>
      </c>
      <c r="F100" s="25">
        <f>'Súhrn CBA'!K8</f>
        <v>0</v>
      </c>
      <c r="G100" s="35">
        <f>'Súhrn CBA'!K52</f>
        <v>0</v>
      </c>
      <c r="H100" s="25">
        <f t="shared" si="33"/>
        <v>-16761808.720448798</v>
      </c>
      <c r="I100" s="25">
        <f>'Súhrn CBA'!N8</f>
        <v>0</v>
      </c>
      <c r="J100" s="35">
        <f>'Súhrn CBA'!N36</f>
        <v>0</v>
      </c>
      <c r="K100" s="25">
        <f t="shared" si="35"/>
        <v>15406866.311432797</v>
      </c>
    </row>
    <row r="101" spans="1:14" hidden="1">
      <c r="A101" s="196" t="s">
        <v>46</v>
      </c>
      <c r="B101" s="25">
        <f>'Súhrn CBA'!D9</f>
        <v>0</v>
      </c>
      <c r="C101" s="25">
        <f>'Súhrn CBA'!D37</f>
        <v>0</v>
      </c>
      <c r="D101" s="25">
        <f>'Súhrn CBA'!D67</f>
        <v>4695046.5512759034</v>
      </c>
      <c r="E101" s="202">
        <f>'Súhrn CBA'!D97</f>
        <v>1613090.68128648</v>
      </c>
      <c r="F101" s="25">
        <f>'Súhrn CBA'!K9</f>
        <v>145750.45823999998</v>
      </c>
      <c r="G101" s="35">
        <f>'Súhrn CBA'!K53</f>
        <v>0</v>
      </c>
      <c r="H101" s="25">
        <f t="shared" si="33"/>
        <v>-6162386.774322384</v>
      </c>
      <c r="I101" s="25">
        <f>'Súhrn CBA'!N9</f>
        <v>0</v>
      </c>
      <c r="J101" s="35">
        <f>'Súhrn CBA'!N37</f>
        <v>0</v>
      </c>
      <c r="K101" s="25">
        <f t="shared" si="35"/>
        <v>4403545.6347959042</v>
      </c>
    </row>
    <row r="102" spans="1:14" hidden="1">
      <c r="A102" s="196" t="s">
        <v>47</v>
      </c>
      <c r="B102" s="25">
        <f>'Súhrn CBA'!D10</f>
        <v>0</v>
      </c>
      <c r="C102" s="25">
        <f>'Súhrn CBA'!D38</f>
        <v>0</v>
      </c>
      <c r="D102" s="25">
        <f>'Súhrn CBA'!D68</f>
        <v>4710000.7276267791</v>
      </c>
      <c r="E102" s="202">
        <f>'Súhrn CBA'!D98</f>
        <v>1631783.4017250745</v>
      </c>
      <c r="F102" s="25">
        <f>'Súhrn CBA'!K10</f>
        <v>909110.87424000003</v>
      </c>
      <c r="G102" s="35">
        <f>'Súhrn CBA'!K54</f>
        <v>0</v>
      </c>
      <c r="H102" s="25">
        <f t="shared" si="33"/>
        <v>-5432673.2551118536</v>
      </c>
      <c r="I102" s="25">
        <f>'Súhrn CBA'!N10</f>
        <v>0</v>
      </c>
      <c r="J102" s="35">
        <f>'Súhrn CBA'!N38</f>
        <v>0</v>
      </c>
      <c r="K102" s="25">
        <f t="shared" si="35"/>
        <v>2891778.979146779</v>
      </c>
    </row>
    <row r="103" spans="1:14" hidden="1">
      <c r="A103" s="196" t="s">
        <v>48</v>
      </c>
      <c r="B103" s="25">
        <f>'Súhrn CBA'!D11</f>
        <v>0</v>
      </c>
      <c r="C103" s="25">
        <f>'Súhrn CBA'!D39</f>
        <v>0</v>
      </c>
      <c r="D103" s="25">
        <f>'Súhrn CBA'!D69</f>
        <v>4725403.529268181</v>
      </c>
      <c r="E103" s="202">
        <f>'Súhrn CBA'!D99</f>
        <v>1651036.9037768268</v>
      </c>
      <c r="F103" s="25">
        <f>'Súhrn CBA'!K11</f>
        <v>909110.87424000003</v>
      </c>
      <c r="G103" s="35">
        <f>'Súhrn CBA'!K55</f>
        <v>4907417.9289407991</v>
      </c>
      <c r="H103" s="25">
        <f t="shared" si="33"/>
        <v>-559911.6298642084</v>
      </c>
      <c r="I103" s="25">
        <f>'Súhrn CBA'!N11</f>
        <v>0</v>
      </c>
      <c r="J103" s="35">
        <f>'Súhrn CBA'!N39</f>
        <v>0</v>
      </c>
      <c r="K103" s="25">
        <f t="shared" si="35"/>
        <v>-6907654.0770934178</v>
      </c>
    </row>
    <row r="104" spans="1:14" hidden="1">
      <c r="A104" s="196" t="s">
        <v>49</v>
      </c>
      <c r="B104" s="25">
        <f>'Súhrn CBA'!D12</f>
        <v>0</v>
      </c>
      <c r="C104" s="25">
        <f>'Súhrn CBA'!D40</f>
        <v>0</v>
      </c>
      <c r="D104" s="25">
        <f>'Súhrn CBA'!D70</f>
        <v>4854884.4149588244</v>
      </c>
      <c r="E104" s="202">
        <f>'Súhrn CBA'!D100</f>
        <v>1670868.0108901316</v>
      </c>
      <c r="F104" s="25">
        <f>'Súhrn CBA'!K12</f>
        <v>909110.87424000003</v>
      </c>
      <c r="G104" s="35">
        <f>'Súhrn CBA'!K56</f>
        <v>35517181.0646016</v>
      </c>
      <c r="H104" s="25">
        <f t="shared" si="33"/>
        <v>29900539.512992647</v>
      </c>
      <c r="I104" s="25">
        <f>'Súhrn CBA'!N12</f>
        <v>0</v>
      </c>
      <c r="J104" s="35">
        <f>'Súhrn CBA'!N40</f>
        <v>0</v>
      </c>
      <c r="K104" s="25">
        <f t="shared" si="35"/>
        <v>-67997699.462724373</v>
      </c>
    </row>
    <row r="105" spans="1:14" hidden="1">
      <c r="A105" s="196" t="s">
        <v>50</v>
      </c>
      <c r="B105" s="25">
        <f>'Súhrn CBA'!D13</f>
        <v>0</v>
      </c>
      <c r="C105" s="25">
        <f>'Súhrn CBA'!D41</f>
        <v>0</v>
      </c>
      <c r="D105" s="25">
        <f>'Súhrn CBA'!D71</f>
        <v>5045609.2472201884</v>
      </c>
      <c r="E105" s="202">
        <f>'Súhrn CBA'!D101</f>
        <v>1691294.0512168356</v>
      </c>
      <c r="F105" s="25">
        <f>'Súhrn CBA'!K13</f>
        <v>909110.87424000003</v>
      </c>
      <c r="G105" s="35">
        <f>'Súhrn CBA'!K57</f>
        <v>66126944.200262405</v>
      </c>
      <c r="H105" s="25">
        <f t="shared" si="33"/>
        <v>60299151.776065387</v>
      </c>
      <c r="I105" s="25">
        <f>'Súhrn CBA'!N13</f>
        <v>0</v>
      </c>
      <c r="J105" s="35">
        <f>'Súhrn CBA'!N41</f>
        <v>0</v>
      </c>
      <c r="K105" s="25">
        <f t="shared" si="35"/>
        <v>-129026500.90178463</v>
      </c>
    </row>
    <row r="106" spans="1:14" hidden="1">
      <c r="A106" s="197" t="s">
        <v>51</v>
      </c>
      <c r="B106" s="192">
        <f>'Súhrn CBA'!D14</f>
        <v>0</v>
      </c>
      <c r="C106" s="192">
        <f>'Súhrn CBA'!D42</f>
        <v>0</v>
      </c>
      <c r="D106" s="192">
        <f>'Súhrn CBA'!D72</f>
        <v>5062440.3044493925</v>
      </c>
      <c r="E106" s="204">
        <f>'Súhrn CBA'!D102</f>
        <v>1712332.8727533408</v>
      </c>
      <c r="F106" s="192">
        <f>'Súhrn CBA'!K14</f>
        <v>909110.87424000003</v>
      </c>
      <c r="G106" s="193">
        <f>'Súhrn CBA'!K58</f>
        <v>96736707.335923195</v>
      </c>
      <c r="H106" s="25">
        <f t="shared" si="33"/>
        <v>90871045.03296046</v>
      </c>
      <c r="I106" s="192">
        <f>'Súhrn CBA'!N14</f>
        <v>0</v>
      </c>
      <c r="J106" s="193">
        <f>'Súhrn CBA'!N42</f>
        <v>0</v>
      </c>
      <c r="K106" s="25">
        <f t="shared" si="35"/>
        <v>-190229196.11587697</v>
      </c>
    </row>
    <row r="107" spans="1:14" hidden="1"/>
    <row r="108" spans="1:14" hidden="1">
      <c r="A108" s="194" t="s">
        <v>56</v>
      </c>
      <c r="B108" s="2"/>
      <c r="C108" s="125"/>
      <c r="D108" s="125"/>
      <c r="E108" s="125"/>
      <c r="F108" s="125"/>
      <c r="G108" s="166"/>
      <c r="I108" s="125"/>
      <c r="J108" s="166"/>
    </row>
    <row r="109" spans="1:14" hidden="1">
      <c r="A109" s="195" t="s">
        <v>11</v>
      </c>
      <c r="B109" s="165">
        <f>SUM(B110:B119)</f>
        <v>62676000</v>
      </c>
      <c r="C109" s="165">
        <f>SUM(C110:C119)</f>
        <v>37119283.68022</v>
      </c>
      <c r="D109" s="165">
        <f>SUM(D110:D119)</f>
        <v>93362436.902434051</v>
      </c>
      <c r="E109" s="201">
        <f t="shared" ref="E109" si="36">SUM(E110:E119)</f>
        <v>32898372.831323449</v>
      </c>
      <c r="F109" s="165">
        <f t="shared" ref="F109" si="37">SUM(F110:F119)</f>
        <v>15612983.5392</v>
      </c>
      <c r="G109" s="167">
        <f>SUM(G110:G119)</f>
        <v>648885751.1135999</v>
      </c>
      <c r="H109" s="165">
        <f t="shared" ref="H109:H119" si="38">SUM(F109:G109)-SUM(B109:E109)</f>
        <v>438442641.23882234</v>
      </c>
      <c r="I109" s="165">
        <f t="shared" ref="I109" si="39">SUM(I110:I119)</f>
        <v>12255840</v>
      </c>
      <c r="J109" s="167">
        <f>SUM(J110:J119)</f>
        <v>687756888.00000012</v>
      </c>
      <c r="K109" s="165">
        <f>SUM(I109:J109)-SUM(E109:H109)</f>
        <v>-435827020.72294557</v>
      </c>
      <c r="N109" s="205">
        <f>Náklady!M176-SUM(B109:E109)</f>
        <v>0</v>
      </c>
    </row>
    <row r="110" spans="1:14" hidden="1">
      <c r="A110" s="196" t="s">
        <v>42</v>
      </c>
      <c r="B110" s="25">
        <f>'Súhrn CBA'!C5</f>
        <v>0</v>
      </c>
      <c r="C110" s="25">
        <f>'Súhrn CBA'!C33</f>
        <v>0</v>
      </c>
      <c r="D110" s="25">
        <f>'Súhrn CBA'!C63</f>
        <v>378073.20000000007</v>
      </c>
      <c r="E110" s="202">
        <f>'Súhrn CBA'!C93</f>
        <v>0</v>
      </c>
      <c r="F110" s="25">
        <f>'Súhrn CBA'!J5</f>
        <v>0</v>
      </c>
      <c r="G110" s="35">
        <f>'Súhrn CBA'!J49</f>
        <v>0</v>
      </c>
      <c r="H110" s="25">
        <f t="shared" si="38"/>
        <v>-378073.20000000007</v>
      </c>
      <c r="I110" s="25">
        <f>'Súhrn CBA'!M5</f>
        <v>0</v>
      </c>
      <c r="J110" s="35">
        <f>'Súhrn CBA'!M49</f>
        <v>0</v>
      </c>
      <c r="K110" s="25">
        <f t="shared" ref="K110:K119" si="40">SUM(I110:J110)-SUM(E110:H110)</f>
        <v>378073.20000000007</v>
      </c>
    </row>
    <row r="111" spans="1:14" hidden="1">
      <c r="A111" s="196" t="s">
        <v>43</v>
      </c>
      <c r="B111" s="25">
        <f>'Súhrn CBA'!C6</f>
        <v>0</v>
      </c>
      <c r="C111" s="25">
        <f>'Súhrn CBA'!C34</f>
        <v>0</v>
      </c>
      <c r="D111" s="25">
        <f>'Súhrn CBA'!C64</f>
        <v>841857.84000000008</v>
      </c>
      <c r="E111" s="202">
        <f>'Súhrn CBA'!C94</f>
        <v>1108324.3600000001</v>
      </c>
      <c r="F111" s="25">
        <f>'Súhrn CBA'!J6</f>
        <v>0</v>
      </c>
      <c r="G111" s="35">
        <f>'Súhrn CBA'!J50</f>
        <v>0</v>
      </c>
      <c r="H111" s="25">
        <f t="shared" si="38"/>
        <v>-1950182.2000000002</v>
      </c>
      <c r="I111" s="25">
        <f>'Súhrn CBA'!M6</f>
        <v>0</v>
      </c>
      <c r="J111" s="35">
        <f>'Súhrn CBA'!M50</f>
        <v>0</v>
      </c>
      <c r="K111" s="25">
        <f t="shared" si="40"/>
        <v>841857.84000000008</v>
      </c>
    </row>
    <row r="112" spans="1:14" hidden="1">
      <c r="A112" s="196" t="s">
        <v>44</v>
      </c>
      <c r="B112" s="25">
        <f>'Súhrn CBA'!C7</f>
        <v>6546000</v>
      </c>
      <c r="C112" s="25">
        <f>'Súhrn CBA'!C35</f>
        <v>15240000</v>
      </c>
      <c r="D112" s="25">
        <f>'Súhrn CBA'!C65</f>
        <v>2655072.3468000004</v>
      </c>
      <c r="E112" s="202">
        <f>'Súhrn CBA'!C95</f>
        <v>1923306.8180000002</v>
      </c>
      <c r="F112" s="25">
        <f>'Súhrn CBA'!J7</f>
        <v>0</v>
      </c>
      <c r="G112" s="35">
        <f>'Súhrn CBA'!J51</f>
        <v>0</v>
      </c>
      <c r="H112" s="25">
        <f t="shared" si="38"/>
        <v>-26364379.164799999</v>
      </c>
      <c r="I112" s="25">
        <f>'Súhrn CBA'!M7</f>
        <v>0</v>
      </c>
      <c r="J112" s="35">
        <f>'Súhrn CBA'!M51</f>
        <v>0</v>
      </c>
      <c r="K112" s="25">
        <f t="shared" si="40"/>
        <v>24441072.346799999</v>
      </c>
    </row>
    <row r="113" spans="1:14" hidden="1">
      <c r="A113" s="196" t="s">
        <v>45</v>
      </c>
      <c r="B113" s="25">
        <f>'Súhrn CBA'!C8</f>
        <v>56130000</v>
      </c>
      <c r="C113" s="25">
        <f>'Súhrn CBA'!C36</f>
        <v>21879283.68022</v>
      </c>
      <c r="D113" s="25">
        <f>'Súhrn CBA'!C66</f>
        <v>6712003.4740320006</v>
      </c>
      <c r="E113" s="202">
        <f>'Súhrn CBA'!C96</f>
        <v>3774712.0450800005</v>
      </c>
      <c r="F113" s="25">
        <f>'Súhrn CBA'!J8</f>
        <v>0</v>
      </c>
      <c r="G113" s="35">
        <f>'Súhrn CBA'!J52</f>
        <v>0</v>
      </c>
      <c r="H113" s="25">
        <f t="shared" si="38"/>
        <v>-88495999.199332014</v>
      </c>
      <c r="I113" s="25">
        <f>'Súhrn CBA'!M8</f>
        <v>0</v>
      </c>
      <c r="J113" s="35">
        <f>'Súhrn CBA'!M52</f>
        <v>0</v>
      </c>
      <c r="K113" s="25">
        <f t="shared" si="40"/>
        <v>84721287.154252008</v>
      </c>
    </row>
    <row r="114" spans="1:14" hidden="1">
      <c r="A114" s="196" t="s">
        <v>46</v>
      </c>
      <c r="B114" s="25">
        <f>'Súhrn CBA'!C9</f>
        <v>0</v>
      </c>
      <c r="C114" s="25">
        <f>'Súhrn CBA'!C37</f>
        <v>0</v>
      </c>
      <c r="D114" s="25">
        <f>'Súhrn CBA'!C67</f>
        <v>13018255.909462921</v>
      </c>
      <c r="E114" s="202">
        <f>'Súhrn CBA'!C97</f>
        <v>4105453.4064324009</v>
      </c>
      <c r="F114" s="25">
        <f>'Súhrn CBA'!J9</f>
        <v>191552.08319999996</v>
      </c>
      <c r="G114" s="35">
        <f>'Súhrn CBA'!J53</f>
        <v>0</v>
      </c>
      <c r="H114" s="25">
        <f t="shared" si="38"/>
        <v>-16932157.232695322</v>
      </c>
      <c r="I114" s="25">
        <f>'Súhrn CBA'!M9</f>
        <v>2042640</v>
      </c>
      <c r="J114" s="35">
        <f>'Súhrn CBA'!M53</f>
        <v>0</v>
      </c>
      <c r="K114" s="25">
        <f t="shared" si="40"/>
        <v>14677791.743062921</v>
      </c>
    </row>
    <row r="115" spans="1:14" hidden="1">
      <c r="A115" s="196" t="s">
        <v>47</v>
      </c>
      <c r="B115" s="25">
        <f>'Súhrn CBA'!C10</f>
        <v>0</v>
      </c>
      <c r="C115" s="25">
        <f>'Súhrn CBA'!C38</f>
        <v>0</v>
      </c>
      <c r="D115" s="25">
        <f>'Súhrn CBA'!C68</f>
        <v>13064987.710559407</v>
      </c>
      <c r="E115" s="202">
        <f>'Súhrn CBA'!C98</f>
        <v>4198917.0086253732</v>
      </c>
      <c r="F115" s="25">
        <f>'Súhrn CBA'!J10</f>
        <v>3084286.2911999999</v>
      </c>
      <c r="G115" s="35">
        <f>'Súhrn CBA'!J54</f>
        <v>0</v>
      </c>
      <c r="H115" s="25">
        <f t="shared" si="38"/>
        <v>-14179618.427984778</v>
      </c>
      <c r="I115" s="25">
        <f>'Súhrn CBA'!M10</f>
        <v>2042640</v>
      </c>
      <c r="J115" s="35">
        <f>'Súhrn CBA'!M54</f>
        <v>0</v>
      </c>
      <c r="K115" s="25">
        <f t="shared" si="40"/>
        <v>8939055.1281594038</v>
      </c>
    </row>
    <row r="116" spans="1:14" hidden="1">
      <c r="A116" s="196" t="s">
        <v>48</v>
      </c>
      <c r="B116" s="25">
        <f>'Súhrn CBA'!C11</f>
        <v>0</v>
      </c>
      <c r="C116" s="25">
        <f>'Súhrn CBA'!C39</f>
        <v>0</v>
      </c>
      <c r="D116" s="25">
        <f>'Súhrn CBA'!C69</f>
        <v>13113121.465688787</v>
      </c>
      <c r="E116" s="202">
        <f>'Súhrn CBA'!C99</f>
        <v>4295184.5188841335</v>
      </c>
      <c r="F116" s="25">
        <f>'Súhrn CBA'!J11</f>
        <v>3084286.2911999999</v>
      </c>
      <c r="G116" s="35">
        <f>'Súhrn CBA'!J55</f>
        <v>6449558.6413439987</v>
      </c>
      <c r="H116" s="25">
        <f t="shared" si="38"/>
        <v>-7874461.0520289224</v>
      </c>
      <c r="I116" s="25">
        <f>'Súhrn CBA'!M11</f>
        <v>2042640</v>
      </c>
      <c r="J116" s="35">
        <f>'Súhrn CBA'!M55</f>
        <v>68775688.800000012</v>
      </c>
      <c r="K116" s="25">
        <f t="shared" si="40"/>
        <v>64863760.400600806</v>
      </c>
    </row>
    <row r="117" spans="1:14" hidden="1">
      <c r="A117" s="196" t="s">
        <v>49</v>
      </c>
      <c r="B117" s="25">
        <f>'Súhrn CBA'!C12</f>
        <v>0</v>
      </c>
      <c r="C117" s="25">
        <f>'Súhrn CBA'!C40</f>
        <v>0</v>
      </c>
      <c r="D117" s="25">
        <f>'Súhrn CBA'!C70</f>
        <v>13354939.233472049</v>
      </c>
      <c r="E117" s="202">
        <f>'Súhrn CBA'!C100</f>
        <v>4394340.0544506572</v>
      </c>
      <c r="F117" s="25">
        <f>'Súhrn CBA'!J12</f>
        <v>3084286.2911999999</v>
      </c>
      <c r="G117" s="35">
        <f>'Súhrn CBA'!J56</f>
        <v>110297478.06604798</v>
      </c>
      <c r="H117" s="25">
        <f t="shared" si="38"/>
        <v>95632485.069325268</v>
      </c>
      <c r="I117" s="25">
        <f>'Súhrn CBA'!M12</f>
        <v>2042640</v>
      </c>
      <c r="J117" s="35">
        <f>'Súhrn CBA'!M56</f>
        <v>137551377.60000002</v>
      </c>
      <c r="K117" s="25">
        <f t="shared" si="40"/>
        <v>-73814571.881023884</v>
      </c>
    </row>
    <row r="118" spans="1:14" hidden="1">
      <c r="A118" s="196" t="s">
        <v>50</v>
      </c>
      <c r="B118" s="25">
        <f>'Súhrn CBA'!C13</f>
        <v>0</v>
      </c>
      <c r="C118" s="25">
        <f>'Súhrn CBA'!C41</f>
        <v>0</v>
      </c>
      <c r="D118" s="25">
        <f>'Súhrn CBA'!C71</f>
        <v>15085764.334288809</v>
      </c>
      <c r="E118" s="202">
        <f>'Súhrn CBA'!C101</f>
        <v>4496470.2560841776</v>
      </c>
      <c r="F118" s="25">
        <f>'Súhrn CBA'!J13</f>
        <v>3084286.2911999999</v>
      </c>
      <c r="G118" s="35">
        <f>'Súhrn CBA'!J57</f>
        <v>214145397.49075201</v>
      </c>
      <c r="H118" s="25">
        <f t="shared" si="38"/>
        <v>197647449.19157904</v>
      </c>
      <c r="I118" s="25">
        <f>'Súhrn CBA'!M13</f>
        <v>2042640</v>
      </c>
      <c r="J118" s="35">
        <f>'Súhrn CBA'!M57</f>
        <v>206327066.40000001</v>
      </c>
      <c r="K118" s="25">
        <f t="shared" si="40"/>
        <v>-211003896.82961521</v>
      </c>
    </row>
    <row r="119" spans="1:14" hidden="1">
      <c r="A119" s="197" t="s">
        <v>51</v>
      </c>
      <c r="B119" s="192">
        <f>'Súhrn CBA'!C14</f>
        <v>0</v>
      </c>
      <c r="C119" s="192">
        <f>'Súhrn CBA'!C42</f>
        <v>0</v>
      </c>
      <c r="D119" s="192">
        <f>'Súhrn CBA'!C72</f>
        <v>15138361.388130073</v>
      </c>
      <c r="E119" s="204">
        <f>'Súhrn CBA'!C102</f>
        <v>4601664.3637667028</v>
      </c>
      <c r="F119" s="192">
        <f>'Súhrn CBA'!J14</f>
        <v>3084286.2911999999</v>
      </c>
      <c r="G119" s="193">
        <f>'Súhrn CBA'!J58</f>
        <v>317993316.91545594</v>
      </c>
      <c r="H119" s="25">
        <f t="shared" si="38"/>
        <v>301337577.45475912</v>
      </c>
      <c r="I119" s="192">
        <f>'Súhrn CBA'!M14</f>
        <v>2042640</v>
      </c>
      <c r="J119" s="193">
        <f>'Súhrn CBA'!M58</f>
        <v>275102755.20000005</v>
      </c>
      <c r="K119" s="25">
        <f t="shared" si="40"/>
        <v>-349871449.82518172</v>
      </c>
    </row>
    <row r="120" spans="1:14" hidden="1"/>
    <row r="121" spans="1:14" hidden="1">
      <c r="A121" s="194" t="s">
        <v>57</v>
      </c>
      <c r="B121" s="2"/>
      <c r="C121" s="125"/>
      <c r="D121" s="125"/>
      <c r="E121" s="125"/>
      <c r="F121" s="125"/>
      <c r="G121" s="166"/>
      <c r="I121" s="125"/>
      <c r="J121" s="166"/>
    </row>
    <row r="122" spans="1:14" hidden="1">
      <c r="A122" s="195" t="s">
        <v>11</v>
      </c>
      <c r="B122" s="165">
        <f>SUM(B123:B132)</f>
        <v>38676000</v>
      </c>
      <c r="C122" s="165">
        <f>SUM(C123:C132)</f>
        <v>37119283.68022</v>
      </c>
      <c r="D122" s="165">
        <f>SUM(D123:D132)</f>
        <v>106363509.17943662</v>
      </c>
      <c r="E122" s="201">
        <f t="shared" ref="E122" si="41">SUM(E123:E132)</f>
        <v>35216046.996655792</v>
      </c>
      <c r="F122" s="165">
        <f t="shared" ref="F122" si="42">SUM(F123:F132)</f>
        <v>16141711.06944</v>
      </c>
      <c r="G122" s="167">
        <f>SUM(G123:G132)</f>
        <v>665930464.25068808</v>
      </c>
      <c r="H122" s="165">
        <f t="shared" ref="H122:H132" si="43">SUM(F122:G122)-SUM(B122:E122)</f>
        <v>464697335.46381569</v>
      </c>
      <c r="I122" s="165">
        <f t="shared" ref="I122" si="44">SUM(I123:I132)</f>
        <v>0</v>
      </c>
      <c r="J122" s="167">
        <f>SUM(J123:J132)</f>
        <v>0</v>
      </c>
      <c r="K122" s="165">
        <f>SUM(I122:J122)-SUM(E122:H122)</f>
        <v>-1181985557.7805996</v>
      </c>
      <c r="N122" s="205">
        <f>Náklady!M203-SUM(B122:E122)</f>
        <v>0</v>
      </c>
    </row>
    <row r="123" spans="1:14" hidden="1">
      <c r="A123" s="196" t="s">
        <v>42</v>
      </c>
      <c r="B123" s="25">
        <f>'Súhrn CBA'!E5</f>
        <v>0</v>
      </c>
      <c r="C123" s="25">
        <f>'Súhrn CBA'!E33</f>
        <v>0</v>
      </c>
      <c r="D123" s="25">
        <f>'Súhrn CBA'!E63</f>
        <v>378073.20000000007</v>
      </c>
      <c r="E123" s="202">
        <f>'Súhrn CBA'!E93</f>
        <v>0</v>
      </c>
      <c r="F123" s="25">
        <f>'Súhrn CBA'!L5</f>
        <v>0</v>
      </c>
      <c r="G123" s="35">
        <f>'Súhrn CBA'!L49</f>
        <v>0</v>
      </c>
      <c r="H123" s="25">
        <f t="shared" si="43"/>
        <v>-378073.20000000007</v>
      </c>
      <c r="I123" s="25">
        <f>'Súhrn CBA'!O5</f>
        <v>0</v>
      </c>
      <c r="J123" s="35">
        <f>'Súhrn CBA'!O33</f>
        <v>0</v>
      </c>
      <c r="K123" s="25">
        <f t="shared" ref="K123:K132" si="45">SUM(I123:J123)-SUM(E123:H123)</f>
        <v>378073.20000000007</v>
      </c>
    </row>
    <row r="124" spans="1:14" hidden="1">
      <c r="A124" s="196" t="s">
        <v>43</v>
      </c>
      <c r="B124" s="25">
        <f>'Súhrn CBA'!E6</f>
        <v>0</v>
      </c>
      <c r="C124" s="25">
        <f>'Súhrn CBA'!E34</f>
        <v>0</v>
      </c>
      <c r="D124" s="25">
        <f>'Súhrn CBA'!E64</f>
        <v>841857.84000000008</v>
      </c>
      <c r="E124" s="202">
        <f>'Súhrn CBA'!E94</f>
        <v>1108324.3600000001</v>
      </c>
      <c r="F124" s="25">
        <f>'Súhrn CBA'!L6</f>
        <v>0</v>
      </c>
      <c r="G124" s="35">
        <f>'Súhrn CBA'!L50</f>
        <v>0</v>
      </c>
      <c r="H124" s="25">
        <f t="shared" si="43"/>
        <v>-1950182.2000000002</v>
      </c>
      <c r="I124" s="25">
        <f>'Súhrn CBA'!O6</f>
        <v>0</v>
      </c>
      <c r="J124" s="35">
        <f>'Súhrn CBA'!O34</f>
        <v>0</v>
      </c>
      <c r="K124" s="25">
        <f t="shared" si="45"/>
        <v>841857.84000000008</v>
      </c>
    </row>
    <row r="125" spans="1:14" hidden="1">
      <c r="A125" s="196" t="s">
        <v>44</v>
      </c>
      <c r="B125" s="25">
        <f>'Súhrn CBA'!E7</f>
        <v>3925200</v>
      </c>
      <c r="C125" s="25">
        <f>'Súhrn CBA'!E35</f>
        <v>15240000</v>
      </c>
      <c r="D125" s="25">
        <f>'Súhrn CBA'!E65</f>
        <v>2651996.7948000003</v>
      </c>
      <c r="E125" s="202">
        <f>'Súhrn CBA'!E95</f>
        <v>1923306.8180000002</v>
      </c>
      <c r="F125" s="25">
        <f>'Súhrn CBA'!L7</f>
        <v>0</v>
      </c>
      <c r="G125" s="35">
        <f>'Súhrn CBA'!L51</f>
        <v>0</v>
      </c>
      <c r="H125" s="25">
        <f t="shared" si="43"/>
        <v>-23740503.612799998</v>
      </c>
      <c r="I125" s="25">
        <f>'Súhrn CBA'!O7</f>
        <v>0</v>
      </c>
      <c r="J125" s="35">
        <f>'Súhrn CBA'!O35</f>
        <v>0</v>
      </c>
      <c r="K125" s="25">
        <f t="shared" si="45"/>
        <v>21817196.794799998</v>
      </c>
    </row>
    <row r="126" spans="1:14" hidden="1">
      <c r="A126" s="196" t="s">
        <v>45</v>
      </c>
      <c r="B126" s="25">
        <f>'Súhrn CBA'!E8</f>
        <v>34750800</v>
      </c>
      <c r="C126" s="25">
        <f>'Súhrn CBA'!E36</f>
        <v>21879283.68022</v>
      </c>
      <c r="D126" s="25">
        <f>'Súhrn CBA'!E66</f>
        <v>7632984.7265400002</v>
      </c>
      <c r="E126" s="202">
        <f>'Súhrn CBA'!E96</f>
        <v>4077183.2495880006</v>
      </c>
      <c r="F126" s="25">
        <f>'Súhrn CBA'!L8</f>
        <v>0</v>
      </c>
      <c r="G126" s="35">
        <f>'Súhrn CBA'!L52</f>
        <v>0</v>
      </c>
      <c r="H126" s="25">
        <f t="shared" si="43"/>
        <v>-68340251.656348005</v>
      </c>
      <c r="I126" s="25">
        <f>'Súhrn CBA'!O8</f>
        <v>0</v>
      </c>
      <c r="J126" s="35">
        <f>'Súhrn CBA'!O36</f>
        <v>0</v>
      </c>
      <c r="K126" s="25">
        <f t="shared" si="45"/>
        <v>64263068.406760007</v>
      </c>
    </row>
    <row r="127" spans="1:14" hidden="1">
      <c r="A127" s="196" t="s">
        <v>46</v>
      </c>
      <c r="B127" s="25">
        <f>'Súhrn CBA'!E9</f>
        <v>0</v>
      </c>
      <c r="C127" s="25">
        <f>'Súhrn CBA'!E37</f>
        <v>0</v>
      </c>
      <c r="D127" s="25">
        <f>'Súhrn CBA'!E67</f>
        <v>15270627.913848862</v>
      </c>
      <c r="E127" s="202">
        <f>'Súhrn CBA'!E97</f>
        <v>4416998.7470756415</v>
      </c>
      <c r="F127" s="25">
        <f>'Súhrn CBA'!L9</f>
        <v>145750.45823999998</v>
      </c>
      <c r="G127" s="35">
        <f>'Súhrn CBA'!L53</f>
        <v>0</v>
      </c>
      <c r="H127" s="25">
        <f t="shared" si="43"/>
        <v>-19541876.202684503</v>
      </c>
      <c r="I127" s="25">
        <f>'Súhrn CBA'!O9</f>
        <v>0</v>
      </c>
      <c r="J127" s="35">
        <f>'Súhrn CBA'!O37</f>
        <v>0</v>
      </c>
      <c r="K127" s="25">
        <f t="shared" si="45"/>
        <v>14979126.997368861</v>
      </c>
    </row>
    <row r="128" spans="1:14" hidden="1">
      <c r="A128" s="196" t="s">
        <v>47</v>
      </c>
      <c r="B128" s="25">
        <f>'Súhrn CBA'!E10</f>
        <v>0</v>
      </c>
      <c r="C128" s="25">
        <f>'Súhrn CBA'!E38</f>
        <v>0</v>
      </c>
      <c r="D128" s="25">
        <f>'Súhrn CBA'!E68</f>
        <v>15322967.531076927</v>
      </c>
      <c r="E128" s="202">
        <f>'Súhrn CBA'!E98</f>
        <v>4519808.7094879095</v>
      </c>
      <c r="F128" s="25">
        <f>'Súhrn CBA'!L10</f>
        <v>3199192.1222400004</v>
      </c>
      <c r="G128" s="35">
        <f>'Súhrn CBA'!L54</f>
        <v>0</v>
      </c>
      <c r="H128" s="25">
        <f t="shared" si="43"/>
        <v>-16643584.118324839</v>
      </c>
      <c r="I128" s="25">
        <f>'Súhrn CBA'!O10</f>
        <v>0</v>
      </c>
      <c r="J128" s="35">
        <f>'Súhrn CBA'!O38</f>
        <v>0</v>
      </c>
      <c r="K128" s="25">
        <f t="shared" si="45"/>
        <v>8924583.2865969278</v>
      </c>
    </row>
    <row r="129" spans="1:14" hidden="1">
      <c r="A129" s="196" t="s">
        <v>48</v>
      </c>
      <c r="B129" s="25">
        <f>'Súhrn CBA'!E11</f>
        <v>0</v>
      </c>
      <c r="C129" s="25">
        <f>'Súhrn CBA'!E39</f>
        <v>0</v>
      </c>
      <c r="D129" s="25">
        <f>'Súhrn CBA'!E69</f>
        <v>15376877.336821832</v>
      </c>
      <c r="E129" s="202">
        <f>'Súhrn CBA'!E99</f>
        <v>4625702.9707725476</v>
      </c>
      <c r="F129" s="25">
        <f>'Súhrn CBA'!L11</f>
        <v>3199192.1222400004</v>
      </c>
      <c r="G129" s="35">
        <f>'Súhrn CBA'!L55</f>
        <v>4907417.9289407991</v>
      </c>
      <c r="H129" s="25">
        <f t="shared" si="43"/>
        <v>-11895970.256413583</v>
      </c>
      <c r="I129" s="25">
        <f>'Súhrn CBA'!O11</f>
        <v>0</v>
      </c>
      <c r="J129" s="35">
        <f>'Súhrn CBA'!O39</f>
        <v>0</v>
      </c>
      <c r="K129" s="25">
        <f t="shared" si="45"/>
        <v>-836342.76553976536</v>
      </c>
    </row>
    <row r="130" spans="1:14" hidden="1">
      <c r="A130" s="196" t="s">
        <v>49</v>
      </c>
      <c r="B130" s="25">
        <f>'Súhrn CBA'!E12</f>
        <v>0</v>
      </c>
      <c r="C130" s="25">
        <f>'Súhrn CBA'!E40</f>
        <v>0</v>
      </c>
      <c r="D130" s="25">
        <f>'Súhrn CBA'!E70</f>
        <v>15546020.436739087</v>
      </c>
      <c r="E130" s="202">
        <f>'Súhrn CBA'!E100</f>
        <v>4734774.0598957241</v>
      </c>
      <c r="F130" s="25">
        <f>'Súhrn CBA'!L12</f>
        <v>3199192.1222400004</v>
      </c>
      <c r="G130" s="35">
        <f>'Súhrn CBA'!L56</f>
        <v>112624216.68476163</v>
      </c>
      <c r="H130" s="25">
        <f t="shared" si="43"/>
        <v>95542614.310366824</v>
      </c>
      <c r="I130" s="25">
        <f>'Súhrn CBA'!O12</f>
        <v>0</v>
      </c>
      <c r="J130" s="35">
        <f>'Súhrn CBA'!O40</f>
        <v>0</v>
      </c>
      <c r="K130" s="25">
        <f t="shared" si="45"/>
        <v>-216100797.17726418</v>
      </c>
    </row>
    <row r="131" spans="1:14" hidden="1">
      <c r="A131" s="196" t="s">
        <v>50</v>
      </c>
      <c r="B131" s="25">
        <f>'Súhrn CBA'!E13</f>
        <v>0</v>
      </c>
      <c r="C131" s="25">
        <f>'Súhrn CBA'!E41</f>
        <v>0</v>
      </c>
      <c r="D131" s="25">
        <f>'Súhrn CBA'!E71</f>
        <v>16641597.349653857</v>
      </c>
      <c r="E131" s="202">
        <f>'Súhrn CBA'!E101</f>
        <v>4847117.2816925952</v>
      </c>
      <c r="F131" s="25">
        <f>'Súhrn CBA'!L13</f>
        <v>3199192.1222400004</v>
      </c>
      <c r="G131" s="35">
        <f>'Súhrn CBA'!L57</f>
        <v>220341015.44058245</v>
      </c>
      <c r="H131" s="25">
        <f t="shared" si="43"/>
        <v>202051492.931476</v>
      </c>
      <c r="I131" s="25">
        <f>'Súhrn CBA'!O13</f>
        <v>0</v>
      </c>
      <c r="J131" s="35">
        <f>'Súhrn CBA'!O41</f>
        <v>0</v>
      </c>
      <c r="K131" s="25">
        <f t="shared" si="45"/>
        <v>-430438817.77599108</v>
      </c>
    </row>
    <row r="132" spans="1:14" hidden="1">
      <c r="A132" s="197" t="s">
        <v>51</v>
      </c>
      <c r="B132" s="192">
        <f>'Súhrn CBA'!E14</f>
        <v>0</v>
      </c>
      <c r="C132" s="192">
        <f>'Súhrn CBA'!E42</f>
        <v>0</v>
      </c>
      <c r="D132" s="192">
        <f>'Súhrn CBA'!E72</f>
        <v>16700506.049956072</v>
      </c>
      <c r="E132" s="204">
        <f>'Súhrn CBA'!E102</f>
        <v>4962830.8001433741</v>
      </c>
      <c r="F132" s="192">
        <f>'Súhrn CBA'!L14</f>
        <v>3199192.1222400004</v>
      </c>
      <c r="G132" s="193">
        <f>'Súhrn CBA'!L58</f>
        <v>328057814.19640326</v>
      </c>
      <c r="H132" s="25">
        <f t="shared" si="43"/>
        <v>309593669.46854383</v>
      </c>
      <c r="I132" s="192">
        <f>'Súhrn CBA'!O14</f>
        <v>0</v>
      </c>
      <c r="J132" s="193">
        <f>'Súhrn CBA'!O42</f>
        <v>0</v>
      </c>
      <c r="K132" s="25">
        <f t="shared" si="45"/>
        <v>-645813506.58733046</v>
      </c>
    </row>
    <row r="133" spans="1:14" hidden="1"/>
    <row r="134" spans="1:14" hidden="1">
      <c r="A134" s="194" t="s">
        <v>23</v>
      </c>
      <c r="B134" s="2"/>
      <c r="C134" s="125"/>
      <c r="D134" s="125"/>
      <c r="E134" s="125"/>
      <c r="F134" s="125"/>
      <c r="G134" s="166"/>
      <c r="I134" s="125"/>
      <c r="J134" s="166"/>
    </row>
    <row r="135" spans="1:14" hidden="1">
      <c r="A135" s="195" t="s">
        <v>11</v>
      </c>
      <c r="B135" s="165">
        <f>SUM(B136:B145)</f>
        <v>28326000</v>
      </c>
      <c r="C135" s="165">
        <f>SUM(C136:C145)</f>
        <v>25935283.68022</v>
      </c>
      <c r="D135" s="165">
        <f>SUM(D136:D145)</f>
        <v>22355271.987123754</v>
      </c>
      <c r="E135" s="201">
        <f t="shared" ref="E135" si="46">SUM(E136:E145)</f>
        <v>13190887.297864689</v>
      </c>
      <c r="F135" s="165">
        <f t="shared" ref="F135" si="47">SUM(F136:F145)</f>
        <v>5175034.2720000008</v>
      </c>
      <c r="G135" s="167">
        <f>SUM(G136:G145)</f>
        <v>290405673.23039997</v>
      </c>
      <c r="H135" s="165">
        <f t="shared" ref="H135:H145" si="48">SUM(F135:G135)-SUM(B135:E135)</f>
        <v>205773264.53719154</v>
      </c>
      <c r="I135" s="165">
        <f t="shared" ref="I135" si="49">SUM(I136:I145)</f>
        <v>16141711.06944</v>
      </c>
      <c r="J135" s="167">
        <f>SUM(J136:J145)</f>
        <v>665930464.25068808</v>
      </c>
      <c r="K135" s="165">
        <f>SUM(I135:J135)-SUM(E135:H135)</f>
        <v>167527315.98267186</v>
      </c>
      <c r="N135" s="205">
        <f>Náklady!M230-SUM(B135:E135)</f>
        <v>2912670.5446483195</v>
      </c>
    </row>
    <row r="136" spans="1:14" hidden="1">
      <c r="A136" s="196" t="s">
        <v>42</v>
      </c>
      <c r="B136" s="25">
        <f>'Súhrn CBA'!B5</f>
        <v>0</v>
      </c>
      <c r="C136" s="25">
        <f>'Súhrn CBA'!B47</f>
        <v>0</v>
      </c>
      <c r="D136" s="25">
        <f>'Súhrn CBA'!B63</f>
        <v>267351.60000000003</v>
      </c>
      <c r="E136" s="202">
        <f>'Súhrn CBA'!B93</f>
        <v>0</v>
      </c>
      <c r="F136" s="25">
        <f>'Súhrn CBA'!I5</f>
        <v>0</v>
      </c>
      <c r="G136" s="35">
        <f>'Súhrn CBA'!I49</f>
        <v>0</v>
      </c>
      <c r="H136" s="25">
        <f t="shared" si="48"/>
        <v>-267351.60000000003</v>
      </c>
      <c r="I136" s="25">
        <f>'Súhrn CBA'!L5</f>
        <v>0</v>
      </c>
      <c r="J136" s="35">
        <f>'Súhrn CBA'!L49</f>
        <v>0</v>
      </c>
      <c r="K136" s="25">
        <f t="shared" ref="K136:K145" si="50">SUM(I136:J136)-SUM(E136:H136)</f>
        <v>267351.60000000003</v>
      </c>
    </row>
    <row r="137" spans="1:14" hidden="1">
      <c r="A137" s="196" t="s">
        <v>43</v>
      </c>
      <c r="B137" s="25">
        <f>'Súhrn CBA'!B6</f>
        <v>0</v>
      </c>
      <c r="C137" s="25">
        <f>'Súhrn CBA'!B48</f>
        <v>0</v>
      </c>
      <c r="D137" s="25">
        <f>'Súhrn CBA'!B64</f>
        <v>612614.59200000006</v>
      </c>
      <c r="E137" s="202">
        <f>'Súhrn CBA'!B94</f>
        <v>823216.24000000011</v>
      </c>
      <c r="F137" s="25">
        <f>'Súhrn CBA'!I6</f>
        <v>0</v>
      </c>
      <c r="G137" s="35">
        <f>'Súhrn CBA'!I50</f>
        <v>0</v>
      </c>
      <c r="H137" s="25">
        <f t="shared" si="48"/>
        <v>-1435830.8320000002</v>
      </c>
      <c r="I137" s="25">
        <f>'Súhrn CBA'!L6</f>
        <v>0</v>
      </c>
      <c r="J137" s="35">
        <f>'Súhrn CBA'!L50</f>
        <v>0</v>
      </c>
      <c r="K137" s="25">
        <f t="shared" si="50"/>
        <v>612614.59200000006</v>
      </c>
    </row>
    <row r="138" spans="1:14" hidden="1">
      <c r="A138" s="196" t="s">
        <v>44</v>
      </c>
      <c r="B138" s="25">
        <f>'Súhrn CBA'!B7</f>
        <v>138000</v>
      </c>
      <c r="C138" s="25">
        <f>'Súhrn CBA'!B49</f>
        <v>600000</v>
      </c>
      <c r="D138" s="25">
        <f>'Súhrn CBA'!B65</f>
        <v>469858.18176000006</v>
      </c>
      <c r="E138" s="202">
        <f>'Súhrn CBA'!B95</f>
        <v>1042322.7272</v>
      </c>
      <c r="F138" s="25">
        <f>'Súhrn CBA'!I7</f>
        <v>0</v>
      </c>
      <c r="G138" s="35">
        <f>'Súhrn CBA'!I51</f>
        <v>0</v>
      </c>
      <c r="H138" s="25">
        <f t="shared" si="48"/>
        <v>-2250180.9089600001</v>
      </c>
      <c r="I138" s="25">
        <f>'Súhrn CBA'!L7</f>
        <v>0</v>
      </c>
      <c r="J138" s="35">
        <f>'Súhrn CBA'!L51</f>
        <v>0</v>
      </c>
      <c r="K138" s="25">
        <f t="shared" si="50"/>
        <v>1207858.1817600001</v>
      </c>
    </row>
    <row r="139" spans="1:14" hidden="1">
      <c r="A139" s="196" t="s">
        <v>45</v>
      </c>
      <c r="B139" s="25">
        <f>'Súhrn CBA'!B8</f>
        <v>28188000</v>
      </c>
      <c r="C139" s="25">
        <f>'Súhrn CBA'!B50</f>
        <v>25335283.68022</v>
      </c>
      <c r="D139" s="25">
        <f>'Súhrn CBA'!B66</f>
        <v>1382402.9512128001</v>
      </c>
      <c r="E139" s="202">
        <f>'Súhrn CBA'!B96</f>
        <v>1354942.4090160001</v>
      </c>
      <c r="F139" s="25">
        <f>'Súhrn CBA'!I8</f>
        <v>0</v>
      </c>
      <c r="G139" s="35">
        <f>'Súhrn CBA'!I52</f>
        <v>0</v>
      </c>
      <c r="H139" s="25">
        <f t="shared" si="48"/>
        <v>-56260629.0404488</v>
      </c>
      <c r="I139" s="25">
        <f>'Súhrn CBA'!L8</f>
        <v>0</v>
      </c>
      <c r="J139" s="35">
        <f>'Súhrn CBA'!L52</f>
        <v>0</v>
      </c>
      <c r="K139" s="25">
        <f t="shared" si="50"/>
        <v>54905686.631432801</v>
      </c>
    </row>
    <row r="140" spans="1:14" hidden="1">
      <c r="A140" s="196" t="s">
        <v>46</v>
      </c>
      <c r="B140" s="25">
        <f>'Súhrn CBA'!B9</f>
        <v>0</v>
      </c>
      <c r="C140" s="25">
        <f>'Súhrn CBA'!B51</f>
        <v>0</v>
      </c>
      <c r="D140" s="25">
        <f>'Súhrn CBA'!B67</f>
        <v>2951092.5325011844</v>
      </c>
      <c r="E140" s="202">
        <f>'Súhrn CBA'!B97</f>
        <v>1613090.68128648</v>
      </c>
      <c r="F140" s="25">
        <f>'Súhrn CBA'!I9</f>
        <v>862505.71200000006</v>
      </c>
      <c r="G140" s="35">
        <f>'Súhrn CBA'!I53</f>
        <v>0</v>
      </c>
      <c r="H140" s="25">
        <f t="shared" si="48"/>
        <v>-3701677.5017876644</v>
      </c>
      <c r="I140" s="25">
        <f>'Súhrn CBA'!L9</f>
        <v>145750.45823999998</v>
      </c>
      <c r="J140" s="35">
        <f>'Súhrn CBA'!L53</f>
        <v>0</v>
      </c>
      <c r="K140" s="25">
        <f t="shared" si="50"/>
        <v>1371831.5667411843</v>
      </c>
    </row>
    <row r="141" spans="1:14" hidden="1">
      <c r="A141" s="196" t="s">
        <v>47</v>
      </c>
      <c r="B141" s="25">
        <f>'Súhrn CBA'!B10</f>
        <v>0</v>
      </c>
      <c r="C141" s="25">
        <f>'Súhrn CBA'!B52</f>
        <v>0</v>
      </c>
      <c r="D141" s="25">
        <f>'Súhrn CBA'!B68</f>
        <v>2966046.7088520597</v>
      </c>
      <c r="E141" s="202">
        <f>'Súhrn CBA'!B98</f>
        <v>1631783.4017250745</v>
      </c>
      <c r="F141" s="25">
        <f>'Súhrn CBA'!I10</f>
        <v>862505.71200000006</v>
      </c>
      <c r="G141" s="35">
        <f>'Súhrn CBA'!I54</f>
        <v>0</v>
      </c>
      <c r="H141" s="25">
        <f t="shared" si="48"/>
        <v>-3735324.3985771341</v>
      </c>
      <c r="I141" s="25">
        <f>'Súhrn CBA'!L10</f>
        <v>3199192.1222400004</v>
      </c>
      <c r="J141" s="35">
        <f>'Súhrn CBA'!L54</f>
        <v>0</v>
      </c>
      <c r="K141" s="25">
        <f t="shared" si="50"/>
        <v>4440227.40709206</v>
      </c>
    </row>
    <row r="142" spans="1:14" hidden="1">
      <c r="A142" s="196" t="s">
        <v>48</v>
      </c>
      <c r="B142" s="25">
        <f>'Súhrn CBA'!B11</f>
        <v>0</v>
      </c>
      <c r="C142" s="25">
        <f>'Súhrn CBA'!B53</f>
        <v>0</v>
      </c>
      <c r="D142" s="25">
        <f>'Súhrn CBA'!B69</f>
        <v>2981449.5104934615</v>
      </c>
      <c r="E142" s="202">
        <f>'Súhrn CBA'!B99</f>
        <v>1651036.9037768268</v>
      </c>
      <c r="F142" s="25">
        <f>'Súhrn CBA'!I11</f>
        <v>862505.71200000006</v>
      </c>
      <c r="G142" s="35">
        <f>'Súhrn CBA'!I55</f>
        <v>29040567.323040001</v>
      </c>
      <c r="H142" s="25">
        <f t="shared" si="48"/>
        <v>25270586.620769713</v>
      </c>
      <c r="I142" s="25">
        <f>'Súhrn CBA'!L11</f>
        <v>3199192.1222400004</v>
      </c>
      <c r="J142" s="35">
        <f>'Súhrn CBA'!L55</f>
        <v>4907417.9289407991</v>
      </c>
      <c r="K142" s="25">
        <f t="shared" si="50"/>
        <v>-48718086.508405738</v>
      </c>
    </row>
    <row r="143" spans="1:14" hidden="1">
      <c r="A143" s="196" t="s">
        <v>49</v>
      </c>
      <c r="B143" s="25">
        <f>'Súhrn CBA'!B12</f>
        <v>0</v>
      </c>
      <c r="C143" s="25">
        <f>'Súhrn CBA'!B54</f>
        <v>0</v>
      </c>
      <c r="D143" s="25">
        <f>'Súhrn CBA'!B70</f>
        <v>2997314.3961841054</v>
      </c>
      <c r="E143" s="202">
        <f>'Súhrn CBA'!B100</f>
        <v>1670868.0108901316</v>
      </c>
      <c r="F143" s="25">
        <f>'Súhrn CBA'!I12</f>
        <v>862505.71200000006</v>
      </c>
      <c r="G143" s="35">
        <f>'Súhrn CBA'!I56</f>
        <v>58081134.646080002</v>
      </c>
      <c r="H143" s="25">
        <f t="shared" si="48"/>
        <v>54275457.951005764</v>
      </c>
      <c r="I143" s="25">
        <f>'Súhrn CBA'!L12</f>
        <v>3199192.1222400004</v>
      </c>
      <c r="J143" s="35">
        <f>'Súhrn CBA'!L56</f>
        <v>112624216.68476163</v>
      </c>
      <c r="K143" s="25">
        <f t="shared" si="50"/>
        <v>933442.48702573776</v>
      </c>
    </row>
    <row r="144" spans="1:14" hidden="1">
      <c r="A144" s="196" t="s">
        <v>50</v>
      </c>
      <c r="B144" s="25">
        <f>'Súhrn CBA'!B13</f>
        <v>0</v>
      </c>
      <c r="C144" s="25">
        <f>'Súhrn CBA'!B55</f>
        <v>0</v>
      </c>
      <c r="D144" s="25">
        <f>'Súhrn CBA'!B71</f>
        <v>3855155.2284454685</v>
      </c>
      <c r="E144" s="202">
        <f>'Súhrn CBA'!B101</f>
        <v>1691294.0512168356</v>
      </c>
      <c r="F144" s="25">
        <f>'Súhrn CBA'!I13</f>
        <v>862505.71200000006</v>
      </c>
      <c r="G144" s="35">
        <f>'Súhrn CBA'!I57</f>
        <v>87121701.969120011</v>
      </c>
      <c r="H144" s="25">
        <f t="shared" si="48"/>
        <v>82437758.401457697</v>
      </c>
      <c r="I144" s="25">
        <f>'Súhrn CBA'!L13</f>
        <v>3199192.1222400004</v>
      </c>
      <c r="J144" s="35">
        <f>'Súhrn CBA'!L57</f>
        <v>220341015.44058245</v>
      </c>
      <c r="K144" s="25">
        <f t="shared" si="50"/>
        <v>51426947.429027915</v>
      </c>
    </row>
    <row r="145" spans="1:14" hidden="1">
      <c r="A145" s="197" t="s">
        <v>51</v>
      </c>
      <c r="B145" s="192">
        <f>'Súhrn CBA'!B14</f>
        <v>0</v>
      </c>
      <c r="C145" s="192">
        <f>'Súhrn CBA'!B56</f>
        <v>0</v>
      </c>
      <c r="D145" s="192">
        <f>'Súhrn CBA'!B72</f>
        <v>3871986.2856746726</v>
      </c>
      <c r="E145" s="204">
        <f>'Súhrn CBA'!B102</f>
        <v>1712332.8727533408</v>
      </c>
      <c r="F145" s="192">
        <f>'Súhrn CBA'!I14</f>
        <v>862505.71200000006</v>
      </c>
      <c r="G145" s="193">
        <f>'Súhrn CBA'!I58</f>
        <v>116162269.29216</v>
      </c>
      <c r="H145" s="25">
        <f t="shared" si="48"/>
        <v>111440455.84573199</v>
      </c>
      <c r="I145" s="192">
        <f>'Súhrn CBA'!L14</f>
        <v>3199192.1222400004</v>
      </c>
      <c r="J145" s="193">
        <f>'Súhrn CBA'!L58</f>
        <v>328057814.19640326</v>
      </c>
      <c r="K145" s="25">
        <f t="shared" si="50"/>
        <v>101079442.59599793</v>
      </c>
    </row>
    <row r="146" spans="1:14" hidden="1"/>
    <row r="147" spans="1:14" hidden="1">
      <c r="A147" s="194" t="s">
        <v>58</v>
      </c>
      <c r="B147" s="2"/>
      <c r="C147" s="125"/>
      <c r="D147" s="125"/>
      <c r="E147" s="125"/>
      <c r="F147" s="125"/>
      <c r="G147" s="166"/>
      <c r="I147" s="125"/>
      <c r="J147" s="166"/>
    </row>
    <row r="148" spans="1:14" hidden="1">
      <c r="A148" s="195" t="s">
        <v>11</v>
      </c>
      <c r="B148" s="165">
        <f>SUM(B149:B158)</f>
        <v>9876000</v>
      </c>
      <c r="C148" s="165">
        <f>SUM(C149:C158)</f>
        <v>25935283.68022</v>
      </c>
      <c r="D148" s="165">
        <f>SUM(D149:D158)</f>
        <v>34873204.483772062</v>
      </c>
      <c r="E148" s="201">
        <f t="shared" ref="E148" si="51">SUM(E149:E158)</f>
        <v>13190887.297864689</v>
      </c>
      <c r="F148" s="165">
        <f t="shared" ref="F148" si="52">SUM(F149:F158)</f>
        <v>4691304.8294399995</v>
      </c>
      <c r="G148" s="167">
        <f>SUM(G149:G158)</f>
        <v>203288250.529728</v>
      </c>
      <c r="H148" s="165">
        <f t="shared" ref="H148:H158" si="53">SUM(F148:G148)-SUM(B148:E148)</f>
        <v>124104179.89731124</v>
      </c>
      <c r="I148" s="165">
        <f t="shared" ref="I148" si="54">SUM(I149:I158)</f>
        <v>0</v>
      </c>
      <c r="J148" s="167">
        <f>SUM(J149:J158)</f>
        <v>0</v>
      </c>
      <c r="K148" s="165">
        <f>SUM(I148:J148)-SUM(E148:H148)</f>
        <v>-345274622.55434394</v>
      </c>
      <c r="N148" s="205">
        <f>Náklady!M257-SUM(B148:E148)</f>
        <v>0</v>
      </c>
    </row>
    <row r="149" spans="1:14" hidden="1">
      <c r="A149" s="196" t="s">
        <v>42</v>
      </c>
      <c r="B149" s="25">
        <f>'Súhrn CBA'!D5</f>
        <v>0</v>
      </c>
      <c r="C149" s="25">
        <f>'Súhrn CBA'!D47</f>
        <v>0</v>
      </c>
      <c r="D149" s="25">
        <f>'Súhrn CBA'!D63</f>
        <v>267351.60000000003</v>
      </c>
      <c r="E149" s="202">
        <f>'Súhrn CBA'!D93</f>
        <v>0</v>
      </c>
      <c r="F149" s="25">
        <f>'Súhrn CBA'!K5</f>
        <v>0</v>
      </c>
      <c r="G149" s="35">
        <f>'Súhrn CBA'!K49</f>
        <v>0</v>
      </c>
      <c r="H149" s="25">
        <f t="shared" si="53"/>
        <v>-267351.60000000003</v>
      </c>
      <c r="I149" s="25">
        <f>'Súhrn CBA'!N5</f>
        <v>0</v>
      </c>
      <c r="J149" s="35">
        <f>'Súhrn CBA'!N33</f>
        <v>0</v>
      </c>
      <c r="K149" s="25">
        <f t="shared" ref="K149:K158" si="55">SUM(I149:J149)-SUM(E149:H149)</f>
        <v>267351.60000000003</v>
      </c>
    </row>
    <row r="150" spans="1:14" hidden="1">
      <c r="A150" s="196" t="s">
        <v>43</v>
      </c>
      <c r="B150" s="25">
        <f>'Súhrn CBA'!D6</f>
        <v>0</v>
      </c>
      <c r="C150" s="25">
        <f>'Súhrn CBA'!D48</f>
        <v>0</v>
      </c>
      <c r="D150" s="25">
        <f>'Súhrn CBA'!D64</f>
        <v>727814.59200000006</v>
      </c>
      <c r="E150" s="202">
        <f>'Súhrn CBA'!D94</f>
        <v>823216.24000000011</v>
      </c>
      <c r="F150" s="25">
        <f>'Súhrn CBA'!K6</f>
        <v>0</v>
      </c>
      <c r="G150" s="35">
        <f>'Súhrn CBA'!K50</f>
        <v>0</v>
      </c>
      <c r="H150" s="25">
        <f t="shared" si="53"/>
        <v>-1551030.8320000002</v>
      </c>
      <c r="I150" s="25">
        <f>'Súhrn CBA'!N6</f>
        <v>0</v>
      </c>
      <c r="J150" s="35">
        <f>'Súhrn CBA'!N34</f>
        <v>0</v>
      </c>
      <c r="K150" s="25">
        <f t="shared" si="55"/>
        <v>727814.59200000006</v>
      </c>
    </row>
    <row r="151" spans="1:14" hidden="1">
      <c r="A151" s="196" t="s">
        <v>44</v>
      </c>
      <c r="B151" s="25">
        <f>'Súhrn CBA'!D7</f>
        <v>3925200</v>
      </c>
      <c r="C151" s="25">
        <f>'Súhrn CBA'!D49</f>
        <v>600000</v>
      </c>
      <c r="D151" s="25">
        <f>'Súhrn CBA'!D65</f>
        <v>1727870.88576</v>
      </c>
      <c r="E151" s="202">
        <f>'Súhrn CBA'!D95</f>
        <v>1042322.7272</v>
      </c>
      <c r="F151" s="25">
        <f>'Súhrn CBA'!K7</f>
        <v>0</v>
      </c>
      <c r="G151" s="35">
        <f>'Súhrn CBA'!K51</f>
        <v>0</v>
      </c>
      <c r="H151" s="25">
        <f t="shared" si="53"/>
        <v>-7295393.6129599996</v>
      </c>
      <c r="I151" s="25">
        <f>'Súhrn CBA'!N7</f>
        <v>0</v>
      </c>
      <c r="J151" s="35">
        <f>'Súhrn CBA'!N35</f>
        <v>0</v>
      </c>
      <c r="K151" s="25">
        <f t="shared" si="55"/>
        <v>6253070.88576</v>
      </c>
    </row>
    <row r="152" spans="1:14" hidden="1">
      <c r="A152" s="196" t="s">
        <v>45</v>
      </c>
      <c r="B152" s="25">
        <f>'Súhrn CBA'!D8</f>
        <v>5950800</v>
      </c>
      <c r="C152" s="25">
        <f>'Súhrn CBA'!D50</f>
        <v>25335283.68022</v>
      </c>
      <c r="D152" s="25">
        <f>'Súhrn CBA'!D66</f>
        <v>3056782.6312127998</v>
      </c>
      <c r="E152" s="202">
        <f>'Súhrn CBA'!D96</f>
        <v>1354942.4090160001</v>
      </c>
      <c r="F152" s="25">
        <f>'Súhrn CBA'!K8</f>
        <v>0</v>
      </c>
      <c r="G152" s="35">
        <f>'Súhrn CBA'!K52</f>
        <v>0</v>
      </c>
      <c r="H152" s="25">
        <f t="shared" si="53"/>
        <v>-35697808.720448799</v>
      </c>
      <c r="I152" s="25">
        <f>'Súhrn CBA'!N8</f>
        <v>0</v>
      </c>
      <c r="J152" s="35">
        <f>'Súhrn CBA'!N36</f>
        <v>0</v>
      </c>
      <c r="K152" s="25">
        <f t="shared" si="55"/>
        <v>34342866.311432801</v>
      </c>
    </row>
    <row r="153" spans="1:14" hidden="1">
      <c r="A153" s="196" t="s">
        <v>46</v>
      </c>
      <c r="B153" s="25">
        <f>'Súhrn CBA'!D9</f>
        <v>0</v>
      </c>
      <c r="C153" s="25">
        <f>'Súhrn CBA'!D51</f>
        <v>0</v>
      </c>
      <c r="D153" s="25">
        <f>'Súhrn CBA'!D67</f>
        <v>4695046.5512759034</v>
      </c>
      <c r="E153" s="202">
        <f>'Súhrn CBA'!D97</f>
        <v>1613090.68128648</v>
      </c>
      <c r="F153" s="25">
        <f>'Súhrn CBA'!K9</f>
        <v>145750.45823999998</v>
      </c>
      <c r="G153" s="35">
        <f>'Súhrn CBA'!K53</f>
        <v>0</v>
      </c>
      <c r="H153" s="25">
        <f t="shared" si="53"/>
        <v>-6162386.774322384</v>
      </c>
      <c r="I153" s="25">
        <f>'Súhrn CBA'!N9</f>
        <v>0</v>
      </c>
      <c r="J153" s="35">
        <f>'Súhrn CBA'!N37</f>
        <v>0</v>
      </c>
      <c r="K153" s="25">
        <f t="shared" si="55"/>
        <v>4403545.6347959042</v>
      </c>
    </row>
    <row r="154" spans="1:14" hidden="1">
      <c r="A154" s="196" t="s">
        <v>47</v>
      </c>
      <c r="B154" s="25">
        <f>'Súhrn CBA'!D10</f>
        <v>0</v>
      </c>
      <c r="C154" s="25">
        <f>'Súhrn CBA'!D52</f>
        <v>0</v>
      </c>
      <c r="D154" s="25">
        <f>'Súhrn CBA'!D68</f>
        <v>4710000.7276267791</v>
      </c>
      <c r="E154" s="202">
        <f>'Súhrn CBA'!D98</f>
        <v>1631783.4017250745</v>
      </c>
      <c r="F154" s="25">
        <f>'Súhrn CBA'!K10</f>
        <v>909110.87424000003</v>
      </c>
      <c r="G154" s="35">
        <f>'Súhrn CBA'!K54</f>
        <v>0</v>
      </c>
      <c r="H154" s="25">
        <f t="shared" si="53"/>
        <v>-5432673.2551118536</v>
      </c>
      <c r="I154" s="25">
        <f>'Súhrn CBA'!N10</f>
        <v>0</v>
      </c>
      <c r="J154" s="35">
        <f>'Súhrn CBA'!N38</f>
        <v>0</v>
      </c>
      <c r="K154" s="25">
        <f t="shared" si="55"/>
        <v>2891778.979146779</v>
      </c>
    </row>
    <row r="155" spans="1:14" hidden="1">
      <c r="A155" s="196" t="s">
        <v>48</v>
      </c>
      <c r="B155" s="25">
        <f>'Súhrn CBA'!D11</f>
        <v>0</v>
      </c>
      <c r="C155" s="25">
        <f>'Súhrn CBA'!D53</f>
        <v>0</v>
      </c>
      <c r="D155" s="25">
        <f>'Súhrn CBA'!D69</f>
        <v>4725403.529268181</v>
      </c>
      <c r="E155" s="202">
        <f>'Súhrn CBA'!D99</f>
        <v>1651036.9037768268</v>
      </c>
      <c r="F155" s="25">
        <f>'Súhrn CBA'!K11</f>
        <v>909110.87424000003</v>
      </c>
      <c r="G155" s="35">
        <f>'Súhrn CBA'!K55</f>
        <v>4907417.9289407991</v>
      </c>
      <c r="H155" s="25">
        <f t="shared" si="53"/>
        <v>-559911.6298642084</v>
      </c>
      <c r="I155" s="25">
        <f>'Súhrn CBA'!N11</f>
        <v>0</v>
      </c>
      <c r="J155" s="35">
        <f>'Súhrn CBA'!N39</f>
        <v>0</v>
      </c>
      <c r="K155" s="25">
        <f t="shared" si="55"/>
        <v>-6907654.0770934178</v>
      </c>
    </row>
    <row r="156" spans="1:14" hidden="1">
      <c r="A156" s="196" t="s">
        <v>49</v>
      </c>
      <c r="B156" s="25">
        <f>'Súhrn CBA'!D12</f>
        <v>0</v>
      </c>
      <c r="C156" s="25">
        <f>'Súhrn CBA'!D54</f>
        <v>0</v>
      </c>
      <c r="D156" s="25">
        <f>'Súhrn CBA'!D70</f>
        <v>4854884.4149588244</v>
      </c>
      <c r="E156" s="202">
        <f>'Súhrn CBA'!D100</f>
        <v>1670868.0108901316</v>
      </c>
      <c r="F156" s="25">
        <f>'Súhrn CBA'!K12</f>
        <v>909110.87424000003</v>
      </c>
      <c r="G156" s="35">
        <f>'Súhrn CBA'!K56</f>
        <v>35517181.0646016</v>
      </c>
      <c r="H156" s="25">
        <f t="shared" si="53"/>
        <v>29900539.512992647</v>
      </c>
      <c r="I156" s="25">
        <f>'Súhrn CBA'!N12</f>
        <v>0</v>
      </c>
      <c r="J156" s="35">
        <f>'Súhrn CBA'!N40</f>
        <v>0</v>
      </c>
      <c r="K156" s="25">
        <f t="shared" si="55"/>
        <v>-67997699.462724373</v>
      </c>
    </row>
    <row r="157" spans="1:14" hidden="1">
      <c r="A157" s="196" t="s">
        <v>50</v>
      </c>
      <c r="B157" s="25">
        <f>'Súhrn CBA'!D13</f>
        <v>0</v>
      </c>
      <c r="C157" s="25">
        <f>'Súhrn CBA'!D55</f>
        <v>0</v>
      </c>
      <c r="D157" s="25">
        <f>'Súhrn CBA'!D71</f>
        <v>5045609.2472201884</v>
      </c>
      <c r="E157" s="202">
        <f>'Súhrn CBA'!D101</f>
        <v>1691294.0512168356</v>
      </c>
      <c r="F157" s="25">
        <f>'Súhrn CBA'!K13</f>
        <v>909110.87424000003</v>
      </c>
      <c r="G157" s="35">
        <f>'Súhrn CBA'!K57</f>
        <v>66126944.200262405</v>
      </c>
      <c r="H157" s="25">
        <f t="shared" si="53"/>
        <v>60299151.776065387</v>
      </c>
      <c r="I157" s="25">
        <f>'Súhrn CBA'!N13</f>
        <v>0</v>
      </c>
      <c r="J157" s="35">
        <f>'Súhrn CBA'!N41</f>
        <v>0</v>
      </c>
      <c r="K157" s="25">
        <f t="shared" si="55"/>
        <v>-129026500.90178463</v>
      </c>
    </row>
    <row r="158" spans="1:14" hidden="1">
      <c r="A158" s="197" t="s">
        <v>51</v>
      </c>
      <c r="B158" s="192">
        <f>'Súhrn CBA'!D14</f>
        <v>0</v>
      </c>
      <c r="C158" s="192">
        <f>'Súhrn CBA'!D56</f>
        <v>0</v>
      </c>
      <c r="D158" s="192">
        <f>'Súhrn CBA'!D72</f>
        <v>5062440.3044493925</v>
      </c>
      <c r="E158" s="204">
        <f>'Súhrn CBA'!D102</f>
        <v>1712332.8727533408</v>
      </c>
      <c r="F158" s="192">
        <f>'Súhrn CBA'!K14</f>
        <v>909110.87424000003</v>
      </c>
      <c r="G158" s="193">
        <f>'Súhrn CBA'!K58</f>
        <v>96736707.335923195</v>
      </c>
      <c r="H158" s="25">
        <f t="shared" si="53"/>
        <v>90871045.03296046</v>
      </c>
      <c r="I158" s="192">
        <f>'Súhrn CBA'!N14</f>
        <v>0</v>
      </c>
      <c r="J158" s="193">
        <f>'Súhrn CBA'!N42</f>
        <v>0</v>
      </c>
      <c r="K158" s="25">
        <f t="shared" si="55"/>
        <v>-190229196.11587697</v>
      </c>
    </row>
    <row r="159" spans="1:14" hidden="1"/>
    <row r="160" spans="1:14" hidden="1">
      <c r="A160" s="194" t="s">
        <v>25</v>
      </c>
      <c r="B160" s="2"/>
      <c r="C160" s="125"/>
      <c r="D160" s="125"/>
      <c r="E160" s="125"/>
      <c r="F160" s="125"/>
      <c r="G160" s="166"/>
      <c r="I160" s="125"/>
      <c r="J160" s="166"/>
    </row>
    <row r="161" spans="1:14" hidden="1">
      <c r="A161" s="195" t="s">
        <v>11</v>
      </c>
      <c r="B161" s="165">
        <f>SUM(B162:B171)</f>
        <v>62676000</v>
      </c>
      <c r="C161" s="165">
        <f>SUM(C162:C171)</f>
        <v>52611283.68022</v>
      </c>
      <c r="D161" s="165">
        <f>SUM(D162:D171)</f>
        <v>93362436.902434051</v>
      </c>
      <c r="E161" s="201">
        <f t="shared" ref="E161" si="56">SUM(E162:E171)</f>
        <v>32898372.831323449</v>
      </c>
      <c r="F161" s="165">
        <f t="shared" ref="F161" si="57">SUM(F162:F171)</f>
        <v>15612983.5392</v>
      </c>
      <c r="G161" s="167">
        <f>SUM(G162:G171)</f>
        <v>648885751.1135999</v>
      </c>
      <c r="H161" s="165">
        <f t="shared" ref="H161:H171" si="58">SUM(F161:G161)-SUM(B161:E161)</f>
        <v>422950641.23882234</v>
      </c>
      <c r="I161" s="165">
        <f t="shared" ref="I161" si="59">SUM(I162:I171)</f>
        <v>12255840</v>
      </c>
      <c r="J161" s="167">
        <f>SUM(J162:J171)</f>
        <v>687756888.00000012</v>
      </c>
      <c r="K161" s="165">
        <f>SUM(I161:J161)-SUM(E161:H161)</f>
        <v>-420335020.72294557</v>
      </c>
      <c r="N161" s="205">
        <f>Náklady!M284-SUM(B161:E161)</f>
        <v>0</v>
      </c>
    </row>
    <row r="162" spans="1:14" hidden="1">
      <c r="A162" s="196" t="s">
        <v>42</v>
      </c>
      <c r="B162" s="25">
        <f>'Súhrn CBA'!C5</f>
        <v>0</v>
      </c>
      <c r="C162" s="25">
        <f>'Súhrn CBA'!C47</f>
        <v>0</v>
      </c>
      <c r="D162" s="25">
        <f>'Súhrn CBA'!C63</f>
        <v>378073.20000000007</v>
      </c>
      <c r="E162" s="202">
        <f>'Súhrn CBA'!C93</f>
        <v>0</v>
      </c>
      <c r="F162" s="25">
        <f>'Súhrn CBA'!J5</f>
        <v>0</v>
      </c>
      <c r="G162" s="35">
        <f>'Súhrn CBA'!J49</f>
        <v>0</v>
      </c>
      <c r="H162" s="25">
        <f t="shared" si="58"/>
        <v>-378073.20000000007</v>
      </c>
      <c r="I162" s="25">
        <f>'Súhrn CBA'!M5</f>
        <v>0</v>
      </c>
      <c r="J162" s="35">
        <f>'Súhrn CBA'!M49</f>
        <v>0</v>
      </c>
      <c r="K162" s="25">
        <f t="shared" ref="K162:K171" si="60">SUM(I162:J162)-SUM(E162:H162)</f>
        <v>378073.20000000007</v>
      </c>
    </row>
    <row r="163" spans="1:14" hidden="1">
      <c r="A163" s="196" t="s">
        <v>43</v>
      </c>
      <c r="B163" s="25">
        <f>'Súhrn CBA'!C6</f>
        <v>0</v>
      </c>
      <c r="C163" s="25">
        <f>'Súhrn CBA'!C48</f>
        <v>0</v>
      </c>
      <c r="D163" s="25">
        <f>'Súhrn CBA'!C64</f>
        <v>841857.84000000008</v>
      </c>
      <c r="E163" s="202">
        <f>'Súhrn CBA'!C94</f>
        <v>1108324.3600000001</v>
      </c>
      <c r="F163" s="25">
        <f>'Súhrn CBA'!J6</f>
        <v>0</v>
      </c>
      <c r="G163" s="35">
        <f>'Súhrn CBA'!J50</f>
        <v>0</v>
      </c>
      <c r="H163" s="25">
        <f t="shared" si="58"/>
        <v>-1950182.2000000002</v>
      </c>
      <c r="I163" s="25">
        <f>'Súhrn CBA'!M6</f>
        <v>0</v>
      </c>
      <c r="J163" s="35">
        <f>'Súhrn CBA'!M50</f>
        <v>0</v>
      </c>
      <c r="K163" s="25">
        <f t="shared" si="60"/>
        <v>841857.84000000008</v>
      </c>
    </row>
    <row r="164" spans="1:14" hidden="1">
      <c r="A164" s="196" t="s">
        <v>44</v>
      </c>
      <c r="B164" s="25">
        <f>'Súhrn CBA'!C7</f>
        <v>6546000</v>
      </c>
      <c r="C164" s="25">
        <f>'Súhrn CBA'!C49</f>
        <v>600000</v>
      </c>
      <c r="D164" s="25">
        <f>'Súhrn CBA'!C65</f>
        <v>2655072.3468000004</v>
      </c>
      <c r="E164" s="202">
        <f>'Súhrn CBA'!C95</f>
        <v>1923306.8180000002</v>
      </c>
      <c r="F164" s="25">
        <f>'Súhrn CBA'!J7</f>
        <v>0</v>
      </c>
      <c r="G164" s="35">
        <f>'Súhrn CBA'!J51</f>
        <v>0</v>
      </c>
      <c r="H164" s="25">
        <f t="shared" si="58"/>
        <v>-11724379.164799999</v>
      </c>
      <c r="I164" s="25">
        <f>'Súhrn CBA'!M7</f>
        <v>0</v>
      </c>
      <c r="J164" s="35">
        <f>'Súhrn CBA'!M51</f>
        <v>0</v>
      </c>
      <c r="K164" s="25">
        <f t="shared" si="60"/>
        <v>9801072.3467999995</v>
      </c>
    </row>
    <row r="165" spans="1:14" hidden="1">
      <c r="A165" s="196" t="s">
        <v>45</v>
      </c>
      <c r="B165" s="25">
        <f>'Súhrn CBA'!C8</f>
        <v>56130000</v>
      </c>
      <c r="C165" s="25">
        <f>'Súhrn CBA'!C50</f>
        <v>52011283.68022</v>
      </c>
      <c r="D165" s="25">
        <f>'Súhrn CBA'!C66</f>
        <v>6712003.4740320006</v>
      </c>
      <c r="E165" s="202">
        <f>'Súhrn CBA'!C96</f>
        <v>3774712.0450800005</v>
      </c>
      <c r="F165" s="25">
        <f>'Súhrn CBA'!J8</f>
        <v>0</v>
      </c>
      <c r="G165" s="35">
        <f>'Súhrn CBA'!J52</f>
        <v>0</v>
      </c>
      <c r="H165" s="25">
        <f t="shared" si="58"/>
        <v>-118627999.19933201</v>
      </c>
      <c r="I165" s="25">
        <f>'Súhrn CBA'!M8</f>
        <v>0</v>
      </c>
      <c r="J165" s="35">
        <f>'Súhrn CBA'!M52</f>
        <v>0</v>
      </c>
      <c r="K165" s="25">
        <f t="shared" si="60"/>
        <v>114853287.15425201</v>
      </c>
    </row>
    <row r="166" spans="1:14" hidden="1">
      <c r="A166" s="196" t="s">
        <v>46</v>
      </c>
      <c r="B166" s="25">
        <f>'Súhrn CBA'!C9</f>
        <v>0</v>
      </c>
      <c r="C166" s="25">
        <f>'Súhrn CBA'!C51</f>
        <v>0</v>
      </c>
      <c r="D166" s="25">
        <f>'Súhrn CBA'!C67</f>
        <v>13018255.909462921</v>
      </c>
      <c r="E166" s="202">
        <f>'Súhrn CBA'!C97</f>
        <v>4105453.4064324009</v>
      </c>
      <c r="F166" s="25">
        <f>'Súhrn CBA'!J9</f>
        <v>191552.08319999996</v>
      </c>
      <c r="G166" s="35">
        <f>'Súhrn CBA'!J53</f>
        <v>0</v>
      </c>
      <c r="H166" s="25">
        <f t="shared" si="58"/>
        <v>-16932157.232695322</v>
      </c>
      <c r="I166" s="25">
        <f>'Súhrn CBA'!M9</f>
        <v>2042640</v>
      </c>
      <c r="J166" s="35">
        <f>'Súhrn CBA'!M53</f>
        <v>0</v>
      </c>
      <c r="K166" s="25">
        <f t="shared" si="60"/>
        <v>14677791.743062921</v>
      </c>
    </row>
    <row r="167" spans="1:14" hidden="1">
      <c r="A167" s="196" t="s">
        <v>47</v>
      </c>
      <c r="B167" s="25">
        <f>'Súhrn CBA'!C10</f>
        <v>0</v>
      </c>
      <c r="C167" s="25">
        <f>'Súhrn CBA'!C52</f>
        <v>0</v>
      </c>
      <c r="D167" s="25">
        <f>'Súhrn CBA'!C68</f>
        <v>13064987.710559407</v>
      </c>
      <c r="E167" s="202">
        <f>'Súhrn CBA'!C98</f>
        <v>4198917.0086253732</v>
      </c>
      <c r="F167" s="25">
        <f>'Súhrn CBA'!J10</f>
        <v>3084286.2911999999</v>
      </c>
      <c r="G167" s="35">
        <f>'Súhrn CBA'!J54</f>
        <v>0</v>
      </c>
      <c r="H167" s="25">
        <f t="shared" si="58"/>
        <v>-14179618.427984778</v>
      </c>
      <c r="I167" s="25">
        <f>'Súhrn CBA'!M10</f>
        <v>2042640</v>
      </c>
      <c r="J167" s="35">
        <f>'Súhrn CBA'!M54</f>
        <v>0</v>
      </c>
      <c r="K167" s="25">
        <f t="shared" si="60"/>
        <v>8939055.1281594038</v>
      </c>
    </row>
    <row r="168" spans="1:14" hidden="1">
      <c r="A168" s="196" t="s">
        <v>48</v>
      </c>
      <c r="B168" s="25">
        <f>'Súhrn CBA'!C11</f>
        <v>0</v>
      </c>
      <c r="C168" s="25">
        <f>'Súhrn CBA'!C53</f>
        <v>0</v>
      </c>
      <c r="D168" s="25">
        <f>'Súhrn CBA'!C69</f>
        <v>13113121.465688787</v>
      </c>
      <c r="E168" s="202">
        <f>'Súhrn CBA'!C99</f>
        <v>4295184.5188841335</v>
      </c>
      <c r="F168" s="25">
        <f>'Súhrn CBA'!J11</f>
        <v>3084286.2911999999</v>
      </c>
      <c r="G168" s="35">
        <f>'Súhrn CBA'!J55</f>
        <v>6449558.6413439987</v>
      </c>
      <c r="H168" s="25">
        <f t="shared" si="58"/>
        <v>-7874461.0520289224</v>
      </c>
      <c r="I168" s="25">
        <f>'Súhrn CBA'!M11</f>
        <v>2042640</v>
      </c>
      <c r="J168" s="35">
        <f>'Súhrn CBA'!M55</f>
        <v>68775688.800000012</v>
      </c>
      <c r="K168" s="25">
        <f t="shared" si="60"/>
        <v>64863760.400600806</v>
      </c>
    </row>
    <row r="169" spans="1:14" hidden="1">
      <c r="A169" s="196" t="s">
        <v>49</v>
      </c>
      <c r="B169" s="25">
        <f>'Súhrn CBA'!C12</f>
        <v>0</v>
      </c>
      <c r="C169" s="25">
        <f>'Súhrn CBA'!C54</f>
        <v>0</v>
      </c>
      <c r="D169" s="25">
        <f>'Súhrn CBA'!C70</f>
        <v>13354939.233472049</v>
      </c>
      <c r="E169" s="202">
        <f>'Súhrn CBA'!C100</f>
        <v>4394340.0544506572</v>
      </c>
      <c r="F169" s="25">
        <f>'Súhrn CBA'!J12</f>
        <v>3084286.2911999999</v>
      </c>
      <c r="G169" s="35">
        <f>'Súhrn CBA'!J56</f>
        <v>110297478.06604798</v>
      </c>
      <c r="H169" s="25">
        <f t="shared" si="58"/>
        <v>95632485.069325268</v>
      </c>
      <c r="I169" s="25">
        <f>'Súhrn CBA'!M12</f>
        <v>2042640</v>
      </c>
      <c r="J169" s="35">
        <f>'Súhrn CBA'!M56</f>
        <v>137551377.60000002</v>
      </c>
      <c r="K169" s="25">
        <f t="shared" si="60"/>
        <v>-73814571.881023884</v>
      </c>
    </row>
    <row r="170" spans="1:14" hidden="1">
      <c r="A170" s="196" t="s">
        <v>50</v>
      </c>
      <c r="B170" s="25">
        <f>'Súhrn CBA'!C13</f>
        <v>0</v>
      </c>
      <c r="C170" s="25">
        <f>'Súhrn CBA'!C55</f>
        <v>0</v>
      </c>
      <c r="D170" s="25">
        <f>'Súhrn CBA'!C71</f>
        <v>15085764.334288809</v>
      </c>
      <c r="E170" s="202">
        <f>'Súhrn CBA'!C101</f>
        <v>4496470.2560841776</v>
      </c>
      <c r="F170" s="25">
        <f>'Súhrn CBA'!J13</f>
        <v>3084286.2911999999</v>
      </c>
      <c r="G170" s="35">
        <f>'Súhrn CBA'!J57</f>
        <v>214145397.49075201</v>
      </c>
      <c r="H170" s="25">
        <f t="shared" si="58"/>
        <v>197647449.19157904</v>
      </c>
      <c r="I170" s="25">
        <f>'Súhrn CBA'!M13</f>
        <v>2042640</v>
      </c>
      <c r="J170" s="35">
        <f>'Súhrn CBA'!M57</f>
        <v>206327066.40000001</v>
      </c>
      <c r="K170" s="25">
        <f t="shared" si="60"/>
        <v>-211003896.82961521</v>
      </c>
    </row>
    <row r="171" spans="1:14" hidden="1">
      <c r="A171" s="197" t="s">
        <v>51</v>
      </c>
      <c r="B171" s="192">
        <f>'Súhrn CBA'!C14</f>
        <v>0</v>
      </c>
      <c r="C171" s="192">
        <f>'Súhrn CBA'!C56</f>
        <v>0</v>
      </c>
      <c r="D171" s="192">
        <f>'Súhrn CBA'!C72</f>
        <v>15138361.388130073</v>
      </c>
      <c r="E171" s="204">
        <f>'Súhrn CBA'!C102</f>
        <v>4601664.3637667028</v>
      </c>
      <c r="F171" s="192">
        <f>'Súhrn CBA'!J14</f>
        <v>3084286.2911999999</v>
      </c>
      <c r="G171" s="193">
        <f>'Súhrn CBA'!J58</f>
        <v>317993316.91545594</v>
      </c>
      <c r="H171" s="25">
        <f t="shared" si="58"/>
        <v>301337577.45475912</v>
      </c>
      <c r="I171" s="192">
        <f>'Súhrn CBA'!M14</f>
        <v>2042640</v>
      </c>
      <c r="J171" s="193">
        <f>'Súhrn CBA'!M58</f>
        <v>275102755.20000005</v>
      </c>
      <c r="K171" s="25">
        <f t="shared" si="60"/>
        <v>-349871449.82518172</v>
      </c>
    </row>
    <row r="172" spans="1:14" hidden="1"/>
    <row r="173" spans="1:14" hidden="1">
      <c r="A173" s="194" t="s">
        <v>59</v>
      </c>
      <c r="B173" s="2"/>
      <c r="C173" s="125"/>
      <c r="D173" s="125"/>
      <c r="E173" s="125"/>
      <c r="F173" s="125"/>
      <c r="G173" s="166"/>
      <c r="I173" s="125"/>
      <c r="J173" s="166"/>
    </row>
    <row r="174" spans="1:14" hidden="1">
      <c r="A174" s="195" t="s">
        <v>11</v>
      </c>
      <c r="B174" s="165">
        <f>SUM(B175:B184)</f>
        <v>38676000</v>
      </c>
      <c r="C174" s="165">
        <f>SUM(C175:C184)</f>
        <v>52611283.68022</v>
      </c>
      <c r="D174" s="165">
        <f>SUM(D175:D184)</f>
        <v>106363509.17943662</v>
      </c>
      <c r="E174" s="201">
        <f t="shared" ref="E174" si="61">SUM(E175:E184)</f>
        <v>35216046.996655792</v>
      </c>
      <c r="F174" s="165">
        <f t="shared" ref="F174" si="62">SUM(F175:F184)</f>
        <v>16141711.06944</v>
      </c>
      <c r="G174" s="167">
        <f>SUM(G175:G184)</f>
        <v>665930464.25068808</v>
      </c>
      <c r="H174" s="165">
        <f t="shared" ref="H174:H184" si="63">SUM(F174:G174)-SUM(B174:E174)</f>
        <v>449205335.46381569</v>
      </c>
      <c r="I174" s="165">
        <f t="shared" ref="I174" si="64">SUM(I175:I184)</f>
        <v>0</v>
      </c>
      <c r="J174" s="167">
        <f>SUM(J175:J184)</f>
        <v>0</v>
      </c>
      <c r="K174" s="165">
        <f>SUM(I174:J174)-SUM(E174:H174)</f>
        <v>-1166493557.7805996</v>
      </c>
      <c r="N174" s="205">
        <f>Náklady!M311-SUM(B174:E174)</f>
        <v>0</v>
      </c>
    </row>
    <row r="175" spans="1:14" hidden="1">
      <c r="A175" s="196" t="s">
        <v>42</v>
      </c>
      <c r="B175" s="25">
        <f>'Súhrn CBA'!E5</f>
        <v>0</v>
      </c>
      <c r="C175" s="25">
        <f>'Súhrn CBA'!E47</f>
        <v>0</v>
      </c>
      <c r="D175" s="25">
        <f>'Súhrn CBA'!E63</f>
        <v>378073.20000000007</v>
      </c>
      <c r="E175" s="202">
        <f>'Súhrn CBA'!E93</f>
        <v>0</v>
      </c>
      <c r="F175" s="25">
        <f>'Súhrn CBA'!L5</f>
        <v>0</v>
      </c>
      <c r="G175" s="35">
        <f>'Súhrn CBA'!L49</f>
        <v>0</v>
      </c>
      <c r="H175" s="25">
        <f t="shared" si="63"/>
        <v>-378073.20000000007</v>
      </c>
      <c r="I175" s="25">
        <f>'Súhrn CBA'!O5</f>
        <v>0</v>
      </c>
      <c r="J175" s="35">
        <f>'Súhrn CBA'!O33</f>
        <v>0</v>
      </c>
      <c r="K175" s="25">
        <f t="shared" ref="K175:K184" si="65">SUM(I175:J175)-SUM(E175:H175)</f>
        <v>378073.20000000007</v>
      </c>
    </row>
    <row r="176" spans="1:14" hidden="1">
      <c r="A176" s="196" t="s">
        <v>43</v>
      </c>
      <c r="B176" s="25">
        <f>'Súhrn CBA'!E6</f>
        <v>0</v>
      </c>
      <c r="C176" s="25">
        <f>'Súhrn CBA'!E48</f>
        <v>0</v>
      </c>
      <c r="D176" s="25">
        <f>'Súhrn CBA'!E64</f>
        <v>841857.84000000008</v>
      </c>
      <c r="E176" s="202">
        <f>'Súhrn CBA'!E94</f>
        <v>1108324.3600000001</v>
      </c>
      <c r="F176" s="25">
        <f>'Súhrn CBA'!L6</f>
        <v>0</v>
      </c>
      <c r="G176" s="35">
        <f>'Súhrn CBA'!L50</f>
        <v>0</v>
      </c>
      <c r="H176" s="25">
        <f t="shared" si="63"/>
        <v>-1950182.2000000002</v>
      </c>
      <c r="I176" s="25">
        <f>'Súhrn CBA'!O6</f>
        <v>0</v>
      </c>
      <c r="J176" s="35">
        <f>'Súhrn CBA'!O34</f>
        <v>0</v>
      </c>
      <c r="K176" s="25">
        <f t="shared" si="65"/>
        <v>841857.84000000008</v>
      </c>
    </row>
    <row r="177" spans="1:11" hidden="1">
      <c r="A177" s="196" t="s">
        <v>44</v>
      </c>
      <c r="B177" s="25">
        <f>'Súhrn CBA'!E7</f>
        <v>3925200</v>
      </c>
      <c r="C177" s="25">
        <f>'Súhrn CBA'!E49</f>
        <v>600000</v>
      </c>
      <c r="D177" s="25">
        <f>'Súhrn CBA'!E65</f>
        <v>2651996.7948000003</v>
      </c>
      <c r="E177" s="202">
        <f>'Súhrn CBA'!E95</f>
        <v>1923306.8180000002</v>
      </c>
      <c r="F177" s="25">
        <f>'Súhrn CBA'!L7</f>
        <v>0</v>
      </c>
      <c r="G177" s="35">
        <f>'Súhrn CBA'!L51</f>
        <v>0</v>
      </c>
      <c r="H177" s="25">
        <f t="shared" si="63"/>
        <v>-9100503.6128000002</v>
      </c>
      <c r="I177" s="25">
        <f>'Súhrn CBA'!O7</f>
        <v>0</v>
      </c>
      <c r="J177" s="35">
        <f>'Súhrn CBA'!O35</f>
        <v>0</v>
      </c>
      <c r="K177" s="25">
        <f t="shared" si="65"/>
        <v>7177196.7948000003</v>
      </c>
    </row>
    <row r="178" spans="1:11" hidden="1">
      <c r="A178" s="196" t="s">
        <v>45</v>
      </c>
      <c r="B178" s="25">
        <f>'Súhrn CBA'!E8</f>
        <v>34750800</v>
      </c>
      <c r="C178" s="25">
        <f>'Súhrn CBA'!E50</f>
        <v>52011283.68022</v>
      </c>
      <c r="D178" s="25">
        <f>'Súhrn CBA'!E66</f>
        <v>7632984.7265400002</v>
      </c>
      <c r="E178" s="202">
        <f>'Súhrn CBA'!E96</f>
        <v>4077183.2495880006</v>
      </c>
      <c r="F178" s="25">
        <f>'Súhrn CBA'!L8</f>
        <v>0</v>
      </c>
      <c r="G178" s="35">
        <f>'Súhrn CBA'!L52</f>
        <v>0</v>
      </c>
      <c r="H178" s="25">
        <f t="shared" si="63"/>
        <v>-98472251.656348005</v>
      </c>
      <c r="I178" s="25">
        <f>'Súhrn CBA'!O8</f>
        <v>0</v>
      </c>
      <c r="J178" s="35">
        <f>'Súhrn CBA'!O36</f>
        <v>0</v>
      </c>
      <c r="K178" s="25">
        <f t="shared" si="65"/>
        <v>94395068.406760007</v>
      </c>
    </row>
    <row r="179" spans="1:11" hidden="1">
      <c r="A179" s="196" t="s">
        <v>46</v>
      </c>
      <c r="B179" s="25">
        <f>'Súhrn CBA'!E9</f>
        <v>0</v>
      </c>
      <c r="C179" s="25">
        <f>'Súhrn CBA'!E51</f>
        <v>0</v>
      </c>
      <c r="D179" s="25">
        <f>'Súhrn CBA'!E67</f>
        <v>15270627.913848862</v>
      </c>
      <c r="E179" s="202">
        <f>'Súhrn CBA'!E97</f>
        <v>4416998.7470756415</v>
      </c>
      <c r="F179" s="25">
        <f>'Súhrn CBA'!L9</f>
        <v>145750.45823999998</v>
      </c>
      <c r="G179" s="35">
        <f>'Súhrn CBA'!L53</f>
        <v>0</v>
      </c>
      <c r="H179" s="25">
        <f t="shared" si="63"/>
        <v>-19541876.202684503</v>
      </c>
      <c r="I179" s="25">
        <f>'Súhrn CBA'!O9</f>
        <v>0</v>
      </c>
      <c r="J179" s="35">
        <f>'Súhrn CBA'!O37</f>
        <v>0</v>
      </c>
      <c r="K179" s="25">
        <f t="shared" si="65"/>
        <v>14979126.997368861</v>
      </c>
    </row>
    <row r="180" spans="1:11" hidden="1">
      <c r="A180" s="196" t="s">
        <v>47</v>
      </c>
      <c r="B180" s="25">
        <f>'Súhrn CBA'!E10</f>
        <v>0</v>
      </c>
      <c r="C180" s="25">
        <f>'Súhrn CBA'!E52</f>
        <v>0</v>
      </c>
      <c r="D180" s="25">
        <f>'Súhrn CBA'!E68</f>
        <v>15322967.531076927</v>
      </c>
      <c r="E180" s="202">
        <f>'Súhrn CBA'!E98</f>
        <v>4519808.7094879095</v>
      </c>
      <c r="F180" s="25">
        <f>'Súhrn CBA'!L10</f>
        <v>3199192.1222400004</v>
      </c>
      <c r="G180" s="35">
        <f>'Súhrn CBA'!L54</f>
        <v>0</v>
      </c>
      <c r="H180" s="25">
        <f t="shared" si="63"/>
        <v>-16643584.118324839</v>
      </c>
      <c r="I180" s="25">
        <f>'Súhrn CBA'!O10</f>
        <v>0</v>
      </c>
      <c r="J180" s="35">
        <f>'Súhrn CBA'!O38</f>
        <v>0</v>
      </c>
      <c r="K180" s="25">
        <f t="shared" si="65"/>
        <v>8924583.2865969278</v>
      </c>
    </row>
    <row r="181" spans="1:11" hidden="1">
      <c r="A181" s="196" t="s">
        <v>48</v>
      </c>
      <c r="B181" s="25">
        <f>'Súhrn CBA'!E11</f>
        <v>0</v>
      </c>
      <c r="C181" s="25">
        <f>'Súhrn CBA'!E53</f>
        <v>0</v>
      </c>
      <c r="D181" s="25">
        <f>'Súhrn CBA'!E69</f>
        <v>15376877.336821832</v>
      </c>
      <c r="E181" s="202">
        <f>'Súhrn CBA'!E99</f>
        <v>4625702.9707725476</v>
      </c>
      <c r="F181" s="25">
        <f>'Súhrn CBA'!L11</f>
        <v>3199192.1222400004</v>
      </c>
      <c r="G181" s="35">
        <f>'Súhrn CBA'!L55</f>
        <v>4907417.9289407991</v>
      </c>
      <c r="H181" s="25">
        <f t="shared" si="63"/>
        <v>-11895970.256413583</v>
      </c>
      <c r="I181" s="25">
        <f>'Súhrn CBA'!O11</f>
        <v>0</v>
      </c>
      <c r="J181" s="35">
        <f>'Súhrn CBA'!O39</f>
        <v>0</v>
      </c>
      <c r="K181" s="25">
        <f t="shared" si="65"/>
        <v>-836342.76553976536</v>
      </c>
    </row>
    <row r="182" spans="1:11" hidden="1">
      <c r="A182" s="196" t="s">
        <v>49</v>
      </c>
      <c r="B182" s="25">
        <f>'Súhrn CBA'!E12</f>
        <v>0</v>
      </c>
      <c r="C182" s="25">
        <f>'Súhrn CBA'!E54</f>
        <v>0</v>
      </c>
      <c r="D182" s="25">
        <f>'Súhrn CBA'!E70</f>
        <v>15546020.436739087</v>
      </c>
      <c r="E182" s="202">
        <f>'Súhrn CBA'!E100</f>
        <v>4734774.0598957241</v>
      </c>
      <c r="F182" s="25">
        <f>'Súhrn CBA'!L12</f>
        <v>3199192.1222400004</v>
      </c>
      <c r="G182" s="35">
        <f>'Súhrn CBA'!L56</f>
        <v>112624216.68476163</v>
      </c>
      <c r="H182" s="25">
        <f t="shared" si="63"/>
        <v>95542614.310366824</v>
      </c>
      <c r="I182" s="25">
        <f>'Súhrn CBA'!O12</f>
        <v>0</v>
      </c>
      <c r="J182" s="35">
        <f>'Súhrn CBA'!O40</f>
        <v>0</v>
      </c>
      <c r="K182" s="25">
        <f t="shared" si="65"/>
        <v>-216100797.17726418</v>
      </c>
    </row>
    <row r="183" spans="1:11" hidden="1">
      <c r="A183" s="196" t="s">
        <v>50</v>
      </c>
      <c r="B183" s="25">
        <f>'Súhrn CBA'!E13</f>
        <v>0</v>
      </c>
      <c r="C183" s="25">
        <f>'Súhrn CBA'!E55</f>
        <v>0</v>
      </c>
      <c r="D183" s="25">
        <f>'Súhrn CBA'!E71</f>
        <v>16641597.349653857</v>
      </c>
      <c r="E183" s="202">
        <f>'Súhrn CBA'!E101</f>
        <v>4847117.2816925952</v>
      </c>
      <c r="F183" s="25">
        <f>'Súhrn CBA'!L13</f>
        <v>3199192.1222400004</v>
      </c>
      <c r="G183" s="35">
        <f>'Súhrn CBA'!L57</f>
        <v>220341015.44058245</v>
      </c>
      <c r="H183" s="25">
        <f t="shared" si="63"/>
        <v>202051492.931476</v>
      </c>
      <c r="I183" s="25">
        <f>'Súhrn CBA'!O13</f>
        <v>0</v>
      </c>
      <c r="J183" s="35">
        <f>'Súhrn CBA'!O41</f>
        <v>0</v>
      </c>
      <c r="K183" s="25">
        <f t="shared" si="65"/>
        <v>-430438817.77599108</v>
      </c>
    </row>
    <row r="184" spans="1:11" hidden="1">
      <c r="A184" s="197" t="s">
        <v>51</v>
      </c>
      <c r="B184" s="192">
        <f>'Súhrn CBA'!E14</f>
        <v>0</v>
      </c>
      <c r="C184" s="192">
        <f>'Súhrn CBA'!E56</f>
        <v>0</v>
      </c>
      <c r="D184" s="192">
        <f>'Súhrn CBA'!E72</f>
        <v>16700506.049956072</v>
      </c>
      <c r="E184" s="204">
        <f>'Súhrn CBA'!E102</f>
        <v>4962830.8001433741</v>
      </c>
      <c r="F184" s="192">
        <f>'Súhrn CBA'!L14</f>
        <v>3199192.1222400004</v>
      </c>
      <c r="G184" s="193">
        <f>'Súhrn CBA'!L58</f>
        <v>328057814.19640326</v>
      </c>
      <c r="H184" s="25">
        <f t="shared" si="63"/>
        <v>309593669.46854383</v>
      </c>
      <c r="I184" s="192">
        <f>'Súhrn CBA'!O14</f>
        <v>0</v>
      </c>
      <c r="J184" s="193">
        <f>'Súhrn CBA'!O42</f>
        <v>0</v>
      </c>
      <c r="K184" s="25">
        <f t="shared" si="65"/>
        <v>-645813506.58733046</v>
      </c>
    </row>
  </sheetData>
  <sortState xmlns:xlrd2="http://schemas.microsoft.com/office/spreadsheetml/2017/richdata2" ref="A11:A14">
    <sortCondition ref="A11:A14"/>
  </sortState>
  <conditionalFormatting sqref="H17:H42 H55 H68 H81 H94 H107 H120 H133 H185:H1048576">
    <cfRule type="cellIs" dxfId="175" priority="76" operator="greaterThan">
      <formula>0</formula>
    </cfRule>
    <cfRule type="cellIs" dxfId="174" priority="77" operator="lessThan">
      <formula>0</formula>
    </cfRule>
    <cfRule type="expression" dxfId="173" priority="78">
      <formula>"&gt;0"</formula>
    </cfRule>
  </conditionalFormatting>
  <conditionalFormatting sqref="H43:H54">
    <cfRule type="cellIs" dxfId="172" priority="73" operator="greaterThan">
      <formula>0</formula>
    </cfRule>
    <cfRule type="cellIs" dxfId="171" priority="74" operator="lessThan">
      <formula>0</formula>
    </cfRule>
    <cfRule type="expression" dxfId="170" priority="75">
      <formula>"&gt;0"</formula>
    </cfRule>
  </conditionalFormatting>
  <conditionalFormatting sqref="H56:H67">
    <cfRule type="cellIs" dxfId="169" priority="70" operator="greaterThan">
      <formula>0</formula>
    </cfRule>
    <cfRule type="cellIs" dxfId="168" priority="71" operator="lessThan">
      <formula>0</formula>
    </cfRule>
    <cfRule type="expression" dxfId="167" priority="72">
      <formula>"&gt;0"</formula>
    </cfRule>
  </conditionalFormatting>
  <conditionalFormatting sqref="H69:H80">
    <cfRule type="cellIs" dxfId="166" priority="67" operator="greaterThan">
      <formula>0</formula>
    </cfRule>
    <cfRule type="cellIs" dxfId="165" priority="68" operator="lessThan">
      <formula>0</formula>
    </cfRule>
    <cfRule type="expression" dxfId="164" priority="69">
      <formula>"&gt;0"</formula>
    </cfRule>
  </conditionalFormatting>
  <conditionalFormatting sqref="H82:H93">
    <cfRule type="cellIs" dxfId="163" priority="64" operator="greaterThan">
      <formula>0</formula>
    </cfRule>
    <cfRule type="cellIs" dxfId="162" priority="65" operator="lessThan">
      <formula>0</formula>
    </cfRule>
    <cfRule type="expression" dxfId="161" priority="66">
      <formula>"&gt;0"</formula>
    </cfRule>
  </conditionalFormatting>
  <conditionalFormatting sqref="H95:H106">
    <cfRule type="cellIs" dxfId="160" priority="61" operator="greaterThan">
      <formula>0</formula>
    </cfRule>
    <cfRule type="cellIs" dxfId="159" priority="62" operator="lessThan">
      <formula>0</formula>
    </cfRule>
    <cfRule type="expression" dxfId="158" priority="63">
      <formula>"&gt;0"</formula>
    </cfRule>
  </conditionalFormatting>
  <conditionalFormatting sqref="H108:H119">
    <cfRule type="cellIs" dxfId="157" priority="58" operator="greaterThan">
      <formula>0</formula>
    </cfRule>
    <cfRule type="cellIs" dxfId="156" priority="59" operator="lessThan">
      <formula>0</formula>
    </cfRule>
    <cfRule type="expression" dxfId="155" priority="60">
      <formula>"&gt;0"</formula>
    </cfRule>
  </conditionalFormatting>
  <conditionalFormatting sqref="H121:H132">
    <cfRule type="cellIs" dxfId="154" priority="55" operator="greaterThan">
      <formula>0</formula>
    </cfRule>
    <cfRule type="cellIs" dxfId="153" priority="56" operator="lessThan">
      <formula>0</formula>
    </cfRule>
    <cfRule type="expression" dxfId="152" priority="57">
      <formula>"&gt;0"</formula>
    </cfRule>
  </conditionalFormatting>
  <conditionalFormatting sqref="H146 H159 H172">
    <cfRule type="cellIs" dxfId="151" priority="52" operator="greaterThan">
      <formula>0</formula>
    </cfRule>
    <cfRule type="cellIs" dxfId="150" priority="53" operator="lessThan">
      <formula>0</formula>
    </cfRule>
    <cfRule type="expression" dxfId="149" priority="54">
      <formula>"&gt;0"</formula>
    </cfRule>
  </conditionalFormatting>
  <conditionalFormatting sqref="H134:H145">
    <cfRule type="cellIs" dxfId="148" priority="49" operator="greaterThan">
      <formula>0</formula>
    </cfRule>
    <cfRule type="cellIs" dxfId="147" priority="50" operator="lessThan">
      <formula>0</formula>
    </cfRule>
    <cfRule type="expression" dxfId="146" priority="51">
      <formula>"&gt;0"</formula>
    </cfRule>
  </conditionalFormatting>
  <conditionalFormatting sqref="H147:H158">
    <cfRule type="cellIs" dxfId="145" priority="46" operator="greaterThan">
      <formula>0</formula>
    </cfRule>
    <cfRule type="cellIs" dxfId="144" priority="47" operator="lessThan">
      <formula>0</formula>
    </cfRule>
    <cfRule type="expression" dxfId="143" priority="48">
      <formula>"&gt;0"</formula>
    </cfRule>
  </conditionalFormatting>
  <conditionalFormatting sqref="H160:H171">
    <cfRule type="cellIs" dxfId="142" priority="43" operator="greaterThan">
      <formula>0</formula>
    </cfRule>
    <cfRule type="cellIs" dxfId="141" priority="44" operator="lessThan">
      <formula>0</formula>
    </cfRule>
    <cfRule type="expression" dxfId="140" priority="45">
      <formula>"&gt;0"</formula>
    </cfRule>
  </conditionalFormatting>
  <conditionalFormatting sqref="H173:H184">
    <cfRule type="cellIs" dxfId="139" priority="40" operator="greaterThan">
      <formula>0</formula>
    </cfRule>
    <cfRule type="cellIs" dxfId="138" priority="41" operator="lessThan">
      <formula>0</formula>
    </cfRule>
    <cfRule type="expression" dxfId="137" priority="42">
      <formula>"&gt;0"</formula>
    </cfRule>
  </conditionalFormatting>
  <conditionalFormatting sqref="K55 K68 K81 K94 K107 K120 K133 K185:K1048576 K17:K42">
    <cfRule type="cellIs" dxfId="136" priority="37" operator="greaterThan">
      <formula>0</formula>
    </cfRule>
    <cfRule type="cellIs" dxfId="135" priority="38" operator="lessThan">
      <formula>0</formula>
    </cfRule>
    <cfRule type="expression" dxfId="134" priority="39">
      <formula>"&gt;0"</formula>
    </cfRule>
  </conditionalFormatting>
  <conditionalFormatting sqref="K43:K54">
    <cfRule type="cellIs" dxfId="133" priority="34" operator="greaterThan">
      <formula>0</formula>
    </cfRule>
    <cfRule type="cellIs" dxfId="132" priority="35" operator="lessThan">
      <formula>0</formula>
    </cfRule>
    <cfRule type="expression" dxfId="131" priority="36">
      <formula>"&gt;0"</formula>
    </cfRule>
  </conditionalFormatting>
  <conditionalFormatting sqref="K56:K67">
    <cfRule type="cellIs" dxfId="130" priority="31" operator="greaterThan">
      <formula>0</formula>
    </cfRule>
    <cfRule type="cellIs" dxfId="129" priority="32" operator="lessThan">
      <formula>0</formula>
    </cfRule>
    <cfRule type="expression" dxfId="128" priority="33">
      <formula>"&gt;0"</formula>
    </cfRule>
  </conditionalFormatting>
  <conditionalFormatting sqref="K69:K80">
    <cfRule type="cellIs" dxfId="127" priority="28" operator="greaterThan">
      <formula>0</formula>
    </cfRule>
    <cfRule type="cellIs" dxfId="126" priority="29" operator="lessThan">
      <formula>0</formula>
    </cfRule>
    <cfRule type="expression" dxfId="125" priority="30">
      <formula>"&gt;0"</formula>
    </cfRule>
  </conditionalFormatting>
  <conditionalFormatting sqref="K82:K93">
    <cfRule type="cellIs" dxfId="124" priority="25" operator="greaterThan">
      <formula>0</formula>
    </cfRule>
    <cfRule type="cellIs" dxfId="123" priority="26" operator="lessThan">
      <formula>0</formula>
    </cfRule>
    <cfRule type="expression" dxfId="122" priority="27">
      <formula>"&gt;0"</formula>
    </cfRule>
  </conditionalFormatting>
  <conditionalFormatting sqref="K95:K106">
    <cfRule type="cellIs" dxfId="121" priority="22" operator="greaterThan">
      <formula>0</formula>
    </cfRule>
    <cfRule type="cellIs" dxfId="120" priority="23" operator="lessThan">
      <formula>0</formula>
    </cfRule>
    <cfRule type="expression" dxfId="119" priority="24">
      <formula>"&gt;0"</formula>
    </cfRule>
  </conditionalFormatting>
  <conditionalFormatting sqref="K108:K119">
    <cfRule type="cellIs" dxfId="118" priority="19" operator="greaterThan">
      <formula>0</formula>
    </cfRule>
    <cfRule type="cellIs" dxfId="117" priority="20" operator="lessThan">
      <formula>0</formula>
    </cfRule>
    <cfRule type="expression" dxfId="116" priority="21">
      <formula>"&gt;0"</formula>
    </cfRule>
  </conditionalFormatting>
  <conditionalFormatting sqref="K121:K132">
    <cfRule type="cellIs" dxfId="115" priority="16" operator="greaterThan">
      <formula>0</formula>
    </cfRule>
    <cfRule type="cellIs" dxfId="114" priority="17" operator="lessThan">
      <formula>0</formula>
    </cfRule>
    <cfRule type="expression" dxfId="113" priority="18">
      <formula>"&gt;0"</formula>
    </cfRule>
  </conditionalFormatting>
  <conditionalFormatting sqref="K146 K159 K172">
    <cfRule type="cellIs" dxfId="112" priority="13" operator="greaterThan">
      <formula>0</formula>
    </cfRule>
    <cfRule type="cellIs" dxfId="111" priority="14" operator="lessThan">
      <formula>0</formula>
    </cfRule>
    <cfRule type="expression" dxfId="110" priority="15">
      <formula>"&gt;0"</formula>
    </cfRule>
  </conditionalFormatting>
  <conditionalFormatting sqref="K134:K145">
    <cfRule type="cellIs" dxfId="109" priority="10" operator="greaterThan">
      <formula>0</formula>
    </cfRule>
    <cfRule type="cellIs" dxfId="108" priority="11" operator="lessThan">
      <formula>0</formula>
    </cfRule>
    <cfRule type="expression" dxfId="107" priority="12">
      <formula>"&gt;0"</formula>
    </cfRule>
  </conditionalFormatting>
  <conditionalFormatting sqref="K147:K158">
    <cfRule type="cellIs" dxfId="106" priority="7" operator="greaterThan">
      <formula>0</formula>
    </cfRule>
    <cfRule type="cellIs" dxfId="105" priority="8" operator="lessThan">
      <formula>0</formula>
    </cfRule>
    <cfRule type="expression" dxfId="104" priority="9">
      <formula>"&gt;0"</formula>
    </cfRule>
  </conditionalFormatting>
  <conditionalFormatting sqref="K160:K171">
    <cfRule type="cellIs" dxfId="103" priority="4" operator="greaterThan">
      <formula>0</formula>
    </cfRule>
    <cfRule type="cellIs" dxfId="102" priority="5" operator="lessThan">
      <formula>0</formula>
    </cfRule>
    <cfRule type="expression" dxfId="101" priority="6">
      <formula>"&gt;0"</formula>
    </cfRule>
  </conditionalFormatting>
  <conditionalFormatting sqref="K173:K184">
    <cfRule type="cellIs" dxfId="100" priority="1" operator="greaterThan">
      <formula>0</formula>
    </cfRule>
    <cfRule type="cellIs" dxfId="99" priority="2" operator="lessThan">
      <formula>0</formula>
    </cfRule>
    <cfRule type="expression" dxfId="98" priority="3">
      <formula>"&gt;0"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055B3-6A88-41E3-8BFF-FE9A7392417A}">
  <sheetPr>
    <pageSetUpPr fitToPage="1"/>
  </sheetPr>
  <dimension ref="A1:M103"/>
  <sheetViews>
    <sheetView zoomScaleNormal="100" workbookViewId="0">
      <selection activeCell="B8" sqref="B8"/>
    </sheetView>
  </sheetViews>
  <sheetFormatPr defaultRowHeight="14.4"/>
  <cols>
    <col min="1" max="1" width="6.88671875" customWidth="1"/>
    <col min="2" max="6" width="14.6640625" customWidth="1"/>
    <col min="8" max="8" width="6.88671875" customWidth="1"/>
    <col min="9" max="13" width="14.6640625" customWidth="1"/>
  </cols>
  <sheetData>
    <row r="1" spans="1:13" s="168" customFormat="1" ht="13.2">
      <c r="A1" s="171" t="s">
        <v>60</v>
      </c>
      <c r="B1" s="171"/>
      <c r="C1" s="171"/>
      <c r="D1" s="171"/>
      <c r="E1" s="171"/>
      <c r="F1" s="171"/>
      <c r="H1" s="171" t="s">
        <v>61</v>
      </c>
      <c r="I1" s="171"/>
      <c r="J1" s="171"/>
      <c r="K1" s="171"/>
      <c r="L1" s="171"/>
      <c r="M1" s="171"/>
    </row>
    <row r="3" spans="1:13">
      <c r="A3" s="1" t="s">
        <v>62</v>
      </c>
      <c r="B3" s="2"/>
      <c r="C3" s="125"/>
      <c r="D3" s="125"/>
      <c r="E3" s="125"/>
      <c r="F3" s="166"/>
      <c r="H3" s="1" t="s">
        <v>63</v>
      </c>
      <c r="I3" s="2"/>
      <c r="J3" s="125"/>
      <c r="K3" s="125"/>
      <c r="L3" s="125"/>
      <c r="M3" s="166"/>
    </row>
    <row r="4" spans="1:13">
      <c r="A4" s="190" t="s">
        <v>27</v>
      </c>
      <c r="B4" s="4" t="s">
        <v>64</v>
      </c>
      <c r="C4" s="4" t="s">
        <v>65</v>
      </c>
      <c r="D4" s="4" t="s">
        <v>66</v>
      </c>
      <c r="E4" s="4" t="s">
        <v>67</v>
      </c>
      <c r="F4" s="28" t="s">
        <v>39</v>
      </c>
      <c r="H4" s="190" t="s">
        <v>27</v>
      </c>
      <c r="I4" s="4" t="s">
        <v>64</v>
      </c>
      <c r="J4" s="4" t="s">
        <v>65</v>
      </c>
      <c r="K4" s="4" t="s">
        <v>66</v>
      </c>
      <c r="L4" s="4" t="s">
        <v>67</v>
      </c>
      <c r="M4" s="28" t="s">
        <v>39</v>
      </c>
    </row>
    <row r="5" spans="1:13">
      <c r="A5" s="5" t="s">
        <v>42</v>
      </c>
      <c r="B5" s="25">
        <f>SUM(Náklady!$C$17:$C$18)</f>
        <v>0</v>
      </c>
      <c r="C5" s="25">
        <f>SUM(Náklady!$C$71:$C$72)</f>
        <v>0</v>
      </c>
      <c r="D5" s="25">
        <f>SUM(Náklady!$C$44:$C$45)</f>
        <v>0</v>
      </c>
      <c r="E5" s="25">
        <f>SUM(Náklady!$C$98:$C$99)</f>
        <v>0</v>
      </c>
      <c r="F5" s="35">
        <v>0</v>
      </c>
      <c r="H5" s="5" t="s">
        <v>42</v>
      </c>
      <c r="I5" s="25">
        <f>Výnosy!$B$12</f>
        <v>0</v>
      </c>
      <c r="J5" s="25">
        <f>Výnosy!$B$30</f>
        <v>0</v>
      </c>
      <c r="K5" s="25">
        <f>Výnosy!$B$21</f>
        <v>0</v>
      </c>
      <c r="L5" s="25">
        <f>Výnosy!$B$39</f>
        <v>0</v>
      </c>
      <c r="M5" s="35">
        <f>Výnosy!$B$3</f>
        <v>0</v>
      </c>
    </row>
    <row r="6" spans="1:13">
      <c r="A6" s="5" t="s">
        <v>43</v>
      </c>
      <c r="B6" s="25">
        <f>SUM(Náklady!$D$17:$D$18)</f>
        <v>0</v>
      </c>
      <c r="C6" s="25">
        <f>SUM(Náklady!$D$71:$D$72)</f>
        <v>0</v>
      </c>
      <c r="D6" s="25">
        <f>SUM(Náklady!$D$44:$D$45)</f>
        <v>0</v>
      </c>
      <c r="E6" s="25">
        <f>SUM(Náklady!$D$98:$D$99)</f>
        <v>0</v>
      </c>
      <c r="F6" s="35">
        <v>0</v>
      </c>
      <c r="H6" s="5" t="s">
        <v>43</v>
      </c>
      <c r="I6" s="25">
        <f>Výnosy!$C$12</f>
        <v>0</v>
      </c>
      <c r="J6" s="25">
        <f>Výnosy!$C$30</f>
        <v>0</v>
      </c>
      <c r="K6" s="25">
        <f>Výnosy!$C$21</f>
        <v>0</v>
      </c>
      <c r="L6" s="25">
        <f>Výnosy!$C$39</f>
        <v>0</v>
      </c>
      <c r="M6" s="35">
        <f>Výnosy!$C$3</f>
        <v>0</v>
      </c>
    </row>
    <row r="7" spans="1:13">
      <c r="A7" s="5" t="s">
        <v>44</v>
      </c>
      <c r="B7" s="25">
        <f>SUM(Náklady!$E$17:$E$18)</f>
        <v>138000</v>
      </c>
      <c r="C7" s="25">
        <f>SUM(Náklady!$E$71:$E$72)</f>
        <v>6546000</v>
      </c>
      <c r="D7" s="25">
        <f>SUM(Náklady!$E$44:$E$45)</f>
        <v>3925200</v>
      </c>
      <c r="E7" s="25">
        <f>SUM(Náklady!$E$98:$E$99)</f>
        <v>3925200</v>
      </c>
      <c r="F7" s="35">
        <v>0</v>
      </c>
      <c r="H7" s="5" t="s">
        <v>44</v>
      </c>
      <c r="I7" s="25">
        <f>Výnosy!$D$12</f>
        <v>0</v>
      </c>
      <c r="J7" s="25">
        <f>Výnosy!$D$30</f>
        <v>0</v>
      </c>
      <c r="K7" s="25">
        <f>Výnosy!$D$21</f>
        <v>0</v>
      </c>
      <c r="L7" s="25">
        <f>Výnosy!$D$39</f>
        <v>0</v>
      </c>
      <c r="M7" s="35">
        <f>Výnosy!$D$3</f>
        <v>0</v>
      </c>
    </row>
    <row r="8" spans="1:13">
      <c r="A8" s="5" t="s">
        <v>45</v>
      </c>
      <c r="B8" s="25">
        <f>SUM(Náklady!$F$17:$F$18)</f>
        <v>28188000</v>
      </c>
      <c r="C8" s="25">
        <f>SUM(Náklady!$F$71:$F$72)</f>
        <v>56130000</v>
      </c>
      <c r="D8" s="25">
        <f>SUM(Náklady!$F$44:$F$45)</f>
        <v>5950800</v>
      </c>
      <c r="E8" s="25">
        <f>SUM(Náklady!$F$98:$F$99)</f>
        <v>34750800</v>
      </c>
      <c r="F8" s="35">
        <v>0</v>
      </c>
      <c r="H8" s="5" t="s">
        <v>45</v>
      </c>
      <c r="I8" s="25">
        <f>Výnosy!$E$12</f>
        <v>0</v>
      </c>
      <c r="J8" s="25">
        <f>Výnosy!$E$30</f>
        <v>0</v>
      </c>
      <c r="K8" s="25">
        <f>Výnosy!$E$21</f>
        <v>0</v>
      </c>
      <c r="L8" s="25">
        <f>Výnosy!$E$39</f>
        <v>0</v>
      </c>
      <c r="M8" s="35">
        <f>Výnosy!$E$3</f>
        <v>0</v>
      </c>
    </row>
    <row r="9" spans="1:13">
      <c r="A9" s="5" t="s">
        <v>46</v>
      </c>
      <c r="B9" s="25">
        <f>SUM(Náklady!$G$17:$G$18)</f>
        <v>0</v>
      </c>
      <c r="C9" s="25">
        <f>SUM(Náklady!$G$71:$G$72)</f>
        <v>0</v>
      </c>
      <c r="D9" s="25">
        <f>SUM(Náklady!$G$44:$G$45)</f>
        <v>0</v>
      </c>
      <c r="E9" s="25">
        <f>SUM(Náklady!$G$98:$G$99)</f>
        <v>0</v>
      </c>
      <c r="F9" s="35">
        <v>0</v>
      </c>
      <c r="H9" s="5" t="s">
        <v>46</v>
      </c>
      <c r="I9" s="25">
        <f>Výnosy!$F$12</f>
        <v>862505.71200000006</v>
      </c>
      <c r="J9" s="25">
        <f>Výnosy!$F$30</f>
        <v>191552.08319999996</v>
      </c>
      <c r="K9" s="25">
        <f>Výnosy!$F$21</f>
        <v>145750.45823999998</v>
      </c>
      <c r="L9" s="25">
        <f>Výnosy!$F$39</f>
        <v>145750.45823999998</v>
      </c>
      <c r="M9" s="35">
        <f>Výnosy!$F$3</f>
        <v>2042640</v>
      </c>
    </row>
    <row r="10" spans="1:13">
      <c r="A10" s="5" t="s">
        <v>47</v>
      </c>
      <c r="B10" s="25">
        <f>SUM(Náklady!$H$17:$H$18)</f>
        <v>0</v>
      </c>
      <c r="C10" s="25">
        <f>SUM(Náklady!$H$71:$H$72)</f>
        <v>0</v>
      </c>
      <c r="D10" s="25">
        <f>SUM(Náklady!$H$44:$H$45)</f>
        <v>0</v>
      </c>
      <c r="E10" s="25">
        <f>SUM(Náklady!$H$98:$H$99)</f>
        <v>0</v>
      </c>
      <c r="F10" s="35">
        <v>0</v>
      </c>
      <c r="H10" s="5" t="s">
        <v>47</v>
      </c>
      <c r="I10" s="25">
        <f>Výnosy!$G$12</f>
        <v>862505.71200000006</v>
      </c>
      <c r="J10" s="25">
        <f>Výnosy!$G$30</f>
        <v>3084286.2911999999</v>
      </c>
      <c r="K10" s="25">
        <f>Výnosy!$G$21</f>
        <v>909110.87424000003</v>
      </c>
      <c r="L10" s="25">
        <f>Výnosy!$G$39</f>
        <v>3199192.1222400004</v>
      </c>
      <c r="M10" s="35">
        <f>Výnosy!$G$3</f>
        <v>2042640</v>
      </c>
    </row>
    <row r="11" spans="1:13">
      <c r="A11" s="5" t="s">
        <v>48</v>
      </c>
      <c r="B11" s="25">
        <f>SUM(Náklady!$I$17:$I$18)</f>
        <v>0</v>
      </c>
      <c r="C11" s="25">
        <f>SUM(Náklady!$I$71:$I$72)</f>
        <v>0</v>
      </c>
      <c r="D11" s="25">
        <f>SUM(Náklady!$I$44:$I$45)</f>
        <v>0</v>
      </c>
      <c r="E11" s="25">
        <f>SUM(Náklady!$I$98:$I$99)</f>
        <v>0</v>
      </c>
      <c r="F11" s="35">
        <v>0</v>
      </c>
      <c r="H11" s="5" t="s">
        <v>48</v>
      </c>
      <c r="I11" s="25">
        <f>Výnosy!$H$12</f>
        <v>862505.71200000006</v>
      </c>
      <c r="J11" s="25">
        <f>Výnosy!$H$30</f>
        <v>3084286.2911999999</v>
      </c>
      <c r="K11" s="25">
        <f>Výnosy!$H$21</f>
        <v>909110.87424000003</v>
      </c>
      <c r="L11" s="25">
        <f>Výnosy!$H$39</f>
        <v>3199192.1222400004</v>
      </c>
      <c r="M11" s="35">
        <f>Výnosy!$H$3</f>
        <v>2042640</v>
      </c>
    </row>
    <row r="12" spans="1:13">
      <c r="A12" s="5" t="s">
        <v>49</v>
      </c>
      <c r="B12" s="25">
        <f>SUM(Náklady!$J$17:$J$18)</f>
        <v>0</v>
      </c>
      <c r="C12" s="25">
        <f>SUM(Náklady!$J$71:$J$72)</f>
        <v>0</v>
      </c>
      <c r="D12" s="25">
        <f>SUM(Náklady!$J$44:$J$45)</f>
        <v>0</v>
      </c>
      <c r="E12" s="25">
        <f>SUM(Náklady!$J$98:$J$99)</f>
        <v>0</v>
      </c>
      <c r="F12" s="35">
        <v>0</v>
      </c>
      <c r="H12" s="5" t="s">
        <v>49</v>
      </c>
      <c r="I12" s="25">
        <f>Výnosy!$I$12</f>
        <v>862505.71200000006</v>
      </c>
      <c r="J12" s="25">
        <f>Výnosy!$I$30</f>
        <v>3084286.2911999999</v>
      </c>
      <c r="K12" s="25">
        <f>Výnosy!$I$21</f>
        <v>909110.87424000003</v>
      </c>
      <c r="L12" s="25">
        <f>Výnosy!$I$39</f>
        <v>3199192.1222400004</v>
      </c>
      <c r="M12" s="35">
        <f>Výnosy!$I$3</f>
        <v>2042640</v>
      </c>
    </row>
    <row r="13" spans="1:13">
      <c r="A13" s="5" t="s">
        <v>50</v>
      </c>
      <c r="B13" s="25">
        <f>SUM(Náklady!$K$17:$K$18)</f>
        <v>0</v>
      </c>
      <c r="C13" s="25">
        <f>SUM(Náklady!$K$71:$K$72)</f>
        <v>0</v>
      </c>
      <c r="D13" s="25">
        <f>SUM(Náklady!$K$44:$K$45)</f>
        <v>0</v>
      </c>
      <c r="E13" s="25">
        <f>SUM(Náklady!$K$98:$K$99)</f>
        <v>0</v>
      </c>
      <c r="F13" s="35">
        <v>0</v>
      </c>
      <c r="H13" s="5" t="s">
        <v>50</v>
      </c>
      <c r="I13" s="25">
        <f>Výnosy!$J$12</f>
        <v>862505.71200000006</v>
      </c>
      <c r="J13" s="25">
        <f>Výnosy!$J$30</f>
        <v>3084286.2911999999</v>
      </c>
      <c r="K13" s="25">
        <f>Výnosy!$J$21</f>
        <v>909110.87424000003</v>
      </c>
      <c r="L13" s="25">
        <f>Výnosy!$J$39</f>
        <v>3199192.1222400004</v>
      </c>
      <c r="M13" s="35">
        <f>Výnosy!$J$3</f>
        <v>2042640</v>
      </c>
    </row>
    <row r="14" spans="1:13">
      <c r="A14" s="5" t="s">
        <v>51</v>
      </c>
      <c r="B14" s="25">
        <f>SUM(Náklady!$L$17:$L$18)</f>
        <v>0</v>
      </c>
      <c r="C14" s="25">
        <f>SUM(Náklady!$L$71:$L$72)</f>
        <v>0</v>
      </c>
      <c r="D14" s="25">
        <f>SUM(Náklady!$L$44:$L$45)</f>
        <v>0</v>
      </c>
      <c r="E14" s="25">
        <f>SUM(Náklady!$L$98:$L$99)</f>
        <v>0</v>
      </c>
      <c r="F14" s="35">
        <v>0</v>
      </c>
      <c r="H14" s="5" t="s">
        <v>51</v>
      </c>
      <c r="I14" s="25">
        <f>Výnosy!$K$12</f>
        <v>862505.71200000006</v>
      </c>
      <c r="J14" s="25">
        <f>Výnosy!$K$30</f>
        <v>3084286.2911999999</v>
      </c>
      <c r="K14" s="25">
        <f>Výnosy!$K$21</f>
        <v>909110.87424000003</v>
      </c>
      <c r="L14" s="25">
        <f>Výnosy!$K$39</f>
        <v>3199192.1222400004</v>
      </c>
      <c r="M14" s="35">
        <f>Výnosy!$K$3</f>
        <v>2042640</v>
      </c>
    </row>
    <row r="15" spans="1:13">
      <c r="A15" s="164" t="s">
        <v>11</v>
      </c>
      <c r="B15" s="165">
        <f>SUM(B5:B14)</f>
        <v>28326000</v>
      </c>
      <c r="C15" s="165">
        <f t="shared" ref="C15:F15" si="0">SUM(C5:C14)</f>
        <v>62676000</v>
      </c>
      <c r="D15" s="165">
        <f t="shared" si="0"/>
        <v>9876000</v>
      </c>
      <c r="E15" s="165">
        <f t="shared" si="0"/>
        <v>38676000</v>
      </c>
      <c r="F15" s="167">
        <f t="shared" si="0"/>
        <v>0</v>
      </c>
      <c r="H15" s="164" t="s">
        <v>11</v>
      </c>
      <c r="I15" s="165">
        <f>SUM(I5:I14)</f>
        <v>5175034.2720000008</v>
      </c>
      <c r="J15" s="165">
        <f t="shared" ref="J15" si="1">SUM(J5:J14)</f>
        <v>15612983.5392</v>
      </c>
      <c r="K15" s="165">
        <f t="shared" ref="K15" si="2">SUM(K5:K14)</f>
        <v>4691304.8294399995</v>
      </c>
      <c r="L15" s="165">
        <f t="shared" ref="L15" si="3">SUM(L5:L14)</f>
        <v>16141711.06944</v>
      </c>
      <c r="M15" s="167">
        <f t="shared" ref="M15" si="4">SUM(M5:M14)</f>
        <v>12255840</v>
      </c>
    </row>
    <row r="17" spans="1:13">
      <c r="A17" s="1" t="s">
        <v>68</v>
      </c>
      <c r="B17" s="2"/>
      <c r="C17" s="125"/>
      <c r="D17" s="125"/>
      <c r="E17" s="125"/>
      <c r="F17" s="166"/>
      <c r="H17" s="1" t="s">
        <v>69</v>
      </c>
      <c r="I17" s="2"/>
      <c r="J17" s="125"/>
      <c r="K17" s="125"/>
      <c r="L17" s="125"/>
      <c r="M17" s="166"/>
    </row>
    <row r="18" spans="1:13">
      <c r="A18" s="190" t="s">
        <v>27</v>
      </c>
      <c r="B18" s="4" t="s">
        <v>64</v>
      </c>
      <c r="C18" s="4" t="s">
        <v>65</v>
      </c>
      <c r="D18" s="4" t="s">
        <v>66</v>
      </c>
      <c r="E18" s="4" t="s">
        <v>67</v>
      </c>
      <c r="F18" s="28" t="s">
        <v>39</v>
      </c>
      <c r="H18" s="190" t="s">
        <v>27</v>
      </c>
      <c r="I18" s="4" t="s">
        <v>64</v>
      </c>
      <c r="J18" s="4" t="s">
        <v>65</v>
      </c>
      <c r="K18" s="4" t="s">
        <v>66</v>
      </c>
      <c r="L18" s="4" t="s">
        <v>67</v>
      </c>
      <c r="M18" s="28" t="s">
        <v>39</v>
      </c>
    </row>
    <row r="19" spans="1:13">
      <c r="A19" s="5" t="s">
        <v>42</v>
      </c>
      <c r="B19" s="25">
        <f>Náklady!$C$23</f>
        <v>0</v>
      </c>
      <c r="C19" s="25">
        <f>Náklady!$C$77</f>
        <v>0</v>
      </c>
      <c r="D19" s="25">
        <f>Náklady!$C$50</f>
        <v>0</v>
      </c>
      <c r="E19" s="25">
        <f>Náklady!$C$104</f>
        <v>0</v>
      </c>
      <c r="F19" s="35">
        <v>0</v>
      </c>
      <c r="H19" s="5" t="s">
        <v>42</v>
      </c>
      <c r="I19" s="25">
        <f>Výnosy!$B$15</f>
        <v>0</v>
      </c>
      <c r="J19" s="25">
        <f>Výnosy!$B$33</f>
        <v>0</v>
      </c>
      <c r="K19" s="25">
        <f>Výnosy!$B$24</f>
        <v>0</v>
      </c>
      <c r="L19" s="25">
        <f>Výnosy!$B$42</f>
        <v>0</v>
      </c>
      <c r="M19" s="35">
        <f>Výnosy!$B$6</f>
        <v>0</v>
      </c>
    </row>
    <row r="20" spans="1:13">
      <c r="A20" s="5" t="s">
        <v>43</v>
      </c>
      <c r="B20" s="25">
        <f>Náklady!$D$23</f>
        <v>0</v>
      </c>
      <c r="C20" s="25">
        <f>Náklady!$D$77</f>
        <v>0</v>
      </c>
      <c r="D20" s="25">
        <f>Náklady!$D$50</f>
        <v>0</v>
      </c>
      <c r="E20" s="25">
        <f>Náklady!$D$104</f>
        <v>0</v>
      </c>
      <c r="F20" s="35">
        <v>0</v>
      </c>
      <c r="H20" s="5" t="s">
        <v>43</v>
      </c>
      <c r="I20" s="25">
        <f>Výnosy!$C$15</f>
        <v>0</v>
      </c>
      <c r="J20" s="25">
        <f>Výnosy!$C$33</f>
        <v>0</v>
      </c>
      <c r="K20" s="25">
        <f>Výnosy!$C$24</f>
        <v>0</v>
      </c>
      <c r="L20" s="25">
        <f>Výnosy!$C$42</f>
        <v>0</v>
      </c>
      <c r="M20" s="35">
        <f>Výnosy!$C$6</f>
        <v>0</v>
      </c>
    </row>
    <row r="21" spans="1:13">
      <c r="A21" s="5" t="s">
        <v>44</v>
      </c>
      <c r="B21" s="25">
        <f>Náklady!$E$23</f>
        <v>600000</v>
      </c>
      <c r="C21" s="25">
        <f>Náklady!$E$77</f>
        <v>600000</v>
      </c>
      <c r="D21" s="25">
        <f>Náklady!$E$50</f>
        <v>600000</v>
      </c>
      <c r="E21" s="25">
        <f>Náklady!$E$104</f>
        <v>600000</v>
      </c>
      <c r="F21" s="35">
        <v>0</v>
      </c>
      <c r="H21" s="5" t="s">
        <v>44</v>
      </c>
      <c r="I21" s="25">
        <f>Výnosy!$D$15</f>
        <v>0</v>
      </c>
      <c r="J21" s="25">
        <f>Výnosy!$D$33</f>
        <v>0</v>
      </c>
      <c r="K21" s="25">
        <f>Výnosy!$D$24</f>
        <v>0</v>
      </c>
      <c r="L21" s="25">
        <f>Výnosy!$D$42</f>
        <v>0</v>
      </c>
      <c r="M21" s="35">
        <f>Výnosy!$D$6</f>
        <v>0</v>
      </c>
    </row>
    <row r="22" spans="1:13">
      <c r="A22" s="5" t="s">
        <v>45</v>
      </c>
      <c r="B22" s="25">
        <f>Náklady!$F$23</f>
        <v>0</v>
      </c>
      <c r="C22" s="25">
        <f>Náklady!$F$77</f>
        <v>0</v>
      </c>
      <c r="D22" s="25">
        <f>Náklady!$F$50</f>
        <v>0</v>
      </c>
      <c r="E22" s="25">
        <f>Náklady!$F$104</f>
        <v>0</v>
      </c>
      <c r="F22" s="35">
        <v>0</v>
      </c>
      <c r="H22" s="5" t="s">
        <v>45</v>
      </c>
      <c r="I22" s="25">
        <f>Výnosy!$E$15</f>
        <v>0</v>
      </c>
      <c r="J22" s="25">
        <f>Výnosy!$E$33</f>
        <v>0</v>
      </c>
      <c r="K22" s="25">
        <f>Výnosy!$E$24</f>
        <v>0</v>
      </c>
      <c r="L22" s="25">
        <f>Výnosy!$E$42</f>
        <v>0</v>
      </c>
      <c r="M22" s="35">
        <f>Výnosy!$E$6</f>
        <v>0</v>
      </c>
    </row>
    <row r="23" spans="1:13">
      <c r="A23" s="5" t="s">
        <v>46</v>
      </c>
      <c r="B23" s="25">
        <f>Náklady!$G$23</f>
        <v>0</v>
      </c>
      <c r="C23" s="25">
        <f>Náklady!$G$77</f>
        <v>0</v>
      </c>
      <c r="D23" s="25">
        <f>Náklady!$G$50</f>
        <v>0</v>
      </c>
      <c r="E23" s="25">
        <f>Náklady!$G$104</f>
        <v>0</v>
      </c>
      <c r="F23" s="35">
        <v>0</v>
      </c>
      <c r="H23" s="5" t="s">
        <v>46</v>
      </c>
      <c r="I23" s="25">
        <f>Výnosy!$F$15</f>
        <v>38880</v>
      </c>
      <c r="J23" s="25">
        <f>Výnosy!$F$33</f>
        <v>191552.08319999996</v>
      </c>
      <c r="K23" s="25">
        <f>Výnosy!$F$24</f>
        <v>145750.45823999998</v>
      </c>
      <c r="L23" s="25">
        <f>Výnosy!$F$42</f>
        <v>145750.45823999998</v>
      </c>
      <c r="M23" s="35">
        <f>Výnosy!$F$6</f>
        <v>2042640</v>
      </c>
    </row>
    <row r="24" spans="1:13">
      <c r="A24" s="5" t="s">
        <v>47</v>
      </c>
      <c r="B24" s="25">
        <f>Náklady!$H$23</f>
        <v>0</v>
      </c>
      <c r="C24" s="25">
        <f>Náklady!$H$77</f>
        <v>0</v>
      </c>
      <c r="D24" s="25">
        <f>Náklady!$H$50</f>
        <v>0</v>
      </c>
      <c r="E24" s="25">
        <f>Náklady!$H$104</f>
        <v>0</v>
      </c>
      <c r="F24" s="35">
        <v>0</v>
      </c>
      <c r="H24" s="5" t="s">
        <v>47</v>
      </c>
      <c r="I24" s="25">
        <f>Výnosy!$G$15</f>
        <v>862505.71200000006</v>
      </c>
      <c r="J24" s="25">
        <f>Výnosy!$G$33</f>
        <v>3084286.2911999999</v>
      </c>
      <c r="K24" s="25">
        <f>Výnosy!$G$24</f>
        <v>909110.87424000003</v>
      </c>
      <c r="L24" s="25">
        <f>Výnosy!$G$42</f>
        <v>3199192.1222400004</v>
      </c>
      <c r="M24" s="35">
        <f>Výnosy!$G$6</f>
        <v>2042640</v>
      </c>
    </row>
    <row r="25" spans="1:13">
      <c r="A25" s="5" t="s">
        <v>48</v>
      </c>
      <c r="B25" s="25">
        <f>Náklady!$I$23</f>
        <v>0</v>
      </c>
      <c r="C25" s="25">
        <f>Náklady!$I$77</f>
        <v>0</v>
      </c>
      <c r="D25" s="25">
        <f>Náklady!$I$50</f>
        <v>0</v>
      </c>
      <c r="E25" s="25">
        <f>Náklady!$I$104</f>
        <v>0</v>
      </c>
      <c r="F25" s="35">
        <v>0</v>
      </c>
      <c r="H25" s="5" t="s">
        <v>48</v>
      </c>
      <c r="I25" s="25">
        <f>Výnosy!$H$15</f>
        <v>862505.71200000006</v>
      </c>
      <c r="J25" s="25">
        <f>Výnosy!$H$33</f>
        <v>3084286.2911999999</v>
      </c>
      <c r="K25" s="25">
        <f>Výnosy!$H$24</f>
        <v>909110.87424000003</v>
      </c>
      <c r="L25" s="25">
        <f>Výnosy!$H$42</f>
        <v>3199192.1222400004</v>
      </c>
      <c r="M25" s="35">
        <f>Výnosy!$H$6</f>
        <v>2042640</v>
      </c>
    </row>
    <row r="26" spans="1:13">
      <c r="A26" s="5" t="s">
        <v>49</v>
      </c>
      <c r="B26" s="25">
        <f>Náklady!$J$23</f>
        <v>0</v>
      </c>
      <c r="C26" s="25">
        <f>Náklady!$J$77</f>
        <v>0</v>
      </c>
      <c r="D26" s="25">
        <f>Náklady!$J$50</f>
        <v>0</v>
      </c>
      <c r="E26" s="25">
        <f>Náklady!$J$104</f>
        <v>0</v>
      </c>
      <c r="F26" s="35">
        <v>0</v>
      </c>
      <c r="H26" s="5" t="s">
        <v>49</v>
      </c>
      <c r="I26" s="25">
        <f>Výnosy!$I$15</f>
        <v>862505.71200000006</v>
      </c>
      <c r="J26" s="25">
        <f>Výnosy!$I$33</f>
        <v>3084286.2911999999</v>
      </c>
      <c r="K26" s="25">
        <f>Výnosy!$I$24</f>
        <v>909110.87424000003</v>
      </c>
      <c r="L26" s="25">
        <f>Výnosy!$I$42</f>
        <v>3199192.1222400004</v>
      </c>
      <c r="M26" s="35">
        <f>Výnosy!$I$6</f>
        <v>2042640</v>
      </c>
    </row>
    <row r="27" spans="1:13">
      <c r="A27" s="5" t="s">
        <v>50</v>
      </c>
      <c r="B27" s="25">
        <f>Náklady!$K$23</f>
        <v>0</v>
      </c>
      <c r="C27" s="25">
        <f>Náklady!$K$77</f>
        <v>0</v>
      </c>
      <c r="D27" s="25">
        <f>Náklady!$K$50</f>
        <v>0</v>
      </c>
      <c r="E27" s="25">
        <f>Náklady!$K$104</f>
        <v>0</v>
      </c>
      <c r="F27" s="35">
        <v>0</v>
      </c>
      <c r="H27" s="5" t="s">
        <v>50</v>
      </c>
      <c r="I27" s="25">
        <f>Výnosy!$J$15</f>
        <v>862505.71200000006</v>
      </c>
      <c r="J27" s="25">
        <f>Výnosy!$J$33</f>
        <v>3084286.2911999999</v>
      </c>
      <c r="K27" s="25">
        <f>Výnosy!$J$24</f>
        <v>909110.87424000003</v>
      </c>
      <c r="L27" s="25">
        <f>Výnosy!$J$42</f>
        <v>3199192.1222400004</v>
      </c>
      <c r="M27" s="35">
        <f>Výnosy!$J$6</f>
        <v>2042640</v>
      </c>
    </row>
    <row r="28" spans="1:13">
      <c r="A28" s="5" t="s">
        <v>51</v>
      </c>
      <c r="B28" s="25">
        <f>Náklady!$L$23</f>
        <v>0</v>
      </c>
      <c r="C28" s="25">
        <f>Náklady!$L$77</f>
        <v>0</v>
      </c>
      <c r="D28" s="25">
        <f>Náklady!$L$50</f>
        <v>0</v>
      </c>
      <c r="E28" s="25">
        <f>Náklady!$L$104</f>
        <v>0</v>
      </c>
      <c r="F28" s="35">
        <v>0</v>
      </c>
      <c r="H28" s="5" t="s">
        <v>51</v>
      </c>
      <c r="I28" s="25">
        <f>Výnosy!$K$15</f>
        <v>862505.71200000006</v>
      </c>
      <c r="J28" s="25">
        <f>Výnosy!$K$33</f>
        <v>3084286.2911999999</v>
      </c>
      <c r="K28" s="25">
        <f>Výnosy!$K$24</f>
        <v>909110.87424000003</v>
      </c>
      <c r="L28" s="25">
        <f>Výnosy!$K$42</f>
        <v>3199192.1222400004</v>
      </c>
      <c r="M28" s="35">
        <f>Výnosy!$K$6</f>
        <v>2042640</v>
      </c>
    </row>
    <row r="29" spans="1:13">
      <c r="A29" s="164" t="s">
        <v>11</v>
      </c>
      <c r="B29" s="165">
        <f>SUM(B19:B28)</f>
        <v>600000</v>
      </c>
      <c r="C29" s="165">
        <f t="shared" ref="C29:F29" si="5">SUM(C19:C28)</f>
        <v>600000</v>
      </c>
      <c r="D29" s="165">
        <f t="shared" si="5"/>
        <v>600000</v>
      </c>
      <c r="E29" s="165">
        <f t="shared" si="5"/>
        <v>600000</v>
      </c>
      <c r="F29" s="167">
        <f t="shared" si="5"/>
        <v>0</v>
      </c>
      <c r="H29" s="164" t="s">
        <v>11</v>
      </c>
      <c r="I29" s="165">
        <f>SUM(I19:I28)</f>
        <v>4351408.5600000005</v>
      </c>
      <c r="J29" s="165">
        <f t="shared" ref="J29:M29" si="6">SUM(J19:J28)</f>
        <v>15612983.5392</v>
      </c>
      <c r="K29" s="165">
        <f t="shared" si="6"/>
        <v>4691304.8294399995</v>
      </c>
      <c r="L29" s="165">
        <f t="shared" si="6"/>
        <v>16141711.06944</v>
      </c>
      <c r="M29" s="167">
        <f t="shared" si="6"/>
        <v>12255840</v>
      </c>
    </row>
    <row r="31" spans="1:13">
      <c r="A31" s="1" t="s">
        <v>70</v>
      </c>
      <c r="B31" s="2"/>
      <c r="C31" s="125"/>
      <c r="D31" s="125"/>
      <c r="E31" s="125"/>
      <c r="F31" s="166"/>
      <c r="H31" s="1" t="s">
        <v>71</v>
      </c>
      <c r="I31" s="2"/>
      <c r="J31" s="125"/>
      <c r="K31" s="125"/>
      <c r="L31" s="125"/>
      <c r="M31" s="166"/>
    </row>
    <row r="32" spans="1:13">
      <c r="A32" s="190" t="s">
        <v>27</v>
      </c>
      <c r="B32" s="4" t="s">
        <v>64</v>
      </c>
      <c r="C32" s="4" t="s">
        <v>65</v>
      </c>
      <c r="D32" s="4" t="s">
        <v>66</v>
      </c>
      <c r="E32" s="4" t="s">
        <v>67</v>
      </c>
      <c r="F32" s="28" t="s">
        <v>39</v>
      </c>
      <c r="H32" s="190" t="s">
        <v>27</v>
      </c>
      <c r="I32" s="4" t="s">
        <v>64</v>
      </c>
      <c r="J32" s="4" t="s">
        <v>65</v>
      </c>
      <c r="K32" s="4" t="s">
        <v>66</v>
      </c>
      <c r="L32" s="4" t="s">
        <v>67</v>
      </c>
      <c r="M32" s="28" t="s">
        <v>39</v>
      </c>
    </row>
    <row r="33" spans="1:13">
      <c r="A33" s="5" t="s">
        <v>42</v>
      </c>
      <c r="B33" s="25">
        <f>SUM(Náklady!$C$131,Náklady!$C$133,Náklady!$C$136,Náklady!$C$138)</f>
        <v>0</v>
      </c>
      <c r="C33" s="25">
        <f>SUM(Náklady!$C$185,Náklady!$C$187,Náklady!$C$190,Náklady!$C$192)</f>
        <v>0</v>
      </c>
      <c r="D33" s="25">
        <f>SUM(Náklady!$C$158,Náklady!$C$160,Náklady!$C$163,Náklady!$C$165)</f>
        <v>0</v>
      </c>
      <c r="E33" s="25">
        <f>SUM(Náklady!$C$212,Náklady!$C$214,Náklady!$C$217,Náklady!$C$219)</f>
        <v>0</v>
      </c>
      <c r="F33" s="35">
        <v>0</v>
      </c>
      <c r="H33" s="5" t="s">
        <v>42</v>
      </c>
      <c r="I33" s="25">
        <f>Výnosy!$B$18</f>
        <v>0</v>
      </c>
      <c r="J33" s="25">
        <f>Výnosy!$B$36</f>
        <v>0</v>
      </c>
      <c r="K33" s="25">
        <f>Výnosy!$B$27</f>
        <v>0</v>
      </c>
      <c r="L33" s="25">
        <f>Výnosy!$B$45</f>
        <v>0</v>
      </c>
      <c r="M33" s="35">
        <f>Výnosy!$B$9</f>
        <v>0</v>
      </c>
    </row>
    <row r="34" spans="1:13">
      <c r="A34" s="5" t="s">
        <v>43</v>
      </c>
      <c r="B34" s="25">
        <f>SUM(Náklady!$D$131,Náklady!$D$133,Náklady!$D$136,Náklady!$D$138)</f>
        <v>0</v>
      </c>
      <c r="C34" s="25">
        <f>SUM(Náklady!$D$185,Náklady!$D$187,Náklady!$D$190,Náklady!$D$192)</f>
        <v>0</v>
      </c>
      <c r="D34" s="25">
        <f>SUM(Náklady!$D$158,Náklady!$D$160,Náklady!$D$163,Náklady!$D$165)</f>
        <v>0</v>
      </c>
      <c r="E34" s="25">
        <f>SUM(Náklady!$D$212,Náklady!$D$214,Náklady!$D$217,Náklady!$D$219)</f>
        <v>0</v>
      </c>
      <c r="F34" s="35">
        <v>0</v>
      </c>
      <c r="H34" s="5" t="s">
        <v>43</v>
      </c>
      <c r="I34" s="25">
        <f>Výnosy!$C$18</f>
        <v>0</v>
      </c>
      <c r="J34" s="25">
        <f>Výnosy!$C$36</f>
        <v>0</v>
      </c>
      <c r="K34" s="25">
        <f>Výnosy!$C$27</f>
        <v>0</v>
      </c>
      <c r="L34" s="25">
        <f>Výnosy!$C$45</f>
        <v>0</v>
      </c>
      <c r="M34" s="35">
        <f>Výnosy!$C$9</f>
        <v>0</v>
      </c>
    </row>
    <row r="35" spans="1:13">
      <c r="A35" s="5" t="s">
        <v>44</v>
      </c>
      <c r="B35" s="25">
        <f>SUM(Náklady!$E$131,Náklady!$E$133,Náklady!$E$136,Náklady!$E$138)</f>
        <v>0</v>
      </c>
      <c r="C35" s="25">
        <f>SUM(Náklady!$E$185,Náklady!$E$187,Náklady!$E$190,Náklady!$E$192)</f>
        <v>15240000</v>
      </c>
      <c r="D35" s="25">
        <f>SUM(Náklady!$E$158,Náklady!$E$160,Náklady!$E$163,Náklady!$E$165)</f>
        <v>7200000</v>
      </c>
      <c r="E35" s="25">
        <f>SUM(Náklady!$E$212,Náklady!$E$214,Náklady!$E$217,Náklady!$E$219)</f>
        <v>15240000</v>
      </c>
      <c r="F35" s="35">
        <v>0</v>
      </c>
      <c r="H35" s="5" t="s">
        <v>44</v>
      </c>
      <c r="I35" s="25">
        <f>Výnosy!$D$18</f>
        <v>0</v>
      </c>
      <c r="J35" s="25">
        <f>Výnosy!$D$36</f>
        <v>0</v>
      </c>
      <c r="K35" s="25">
        <f>Výnosy!$D$27</f>
        <v>0</v>
      </c>
      <c r="L35" s="25">
        <f>Výnosy!$D$45</f>
        <v>0</v>
      </c>
      <c r="M35" s="35">
        <f>Výnosy!$D$9</f>
        <v>0</v>
      </c>
    </row>
    <row r="36" spans="1:13">
      <c r="A36" s="5" t="s">
        <v>45</v>
      </c>
      <c r="B36" s="25">
        <f>SUM(Náklady!$F$131,Náklady!$F$133,Náklady!$F$136,Náklady!$F$138)</f>
        <v>8599551.9469999988</v>
      </c>
      <c r="C36" s="25">
        <f>SUM(Náklady!$F$185,Náklady!$F$187,Náklady!$F$190,Náklady!$F$192)</f>
        <v>21879283.68022</v>
      </c>
      <c r="D36" s="25">
        <f>SUM(Náklady!$F$158,Náklady!$F$160,Náklady!$F$163,Náklady!$F$165)</f>
        <v>6399283.6802199986</v>
      </c>
      <c r="E36" s="25">
        <f>SUM(Náklady!$F$212,Náklady!$F$214,Náklady!$F$217,Náklady!$F$219)</f>
        <v>21879283.68022</v>
      </c>
      <c r="F36" s="35">
        <v>0</v>
      </c>
      <c r="H36" s="5" t="s">
        <v>45</v>
      </c>
      <c r="I36" s="25">
        <f>Výnosy!$E$18</f>
        <v>25920</v>
      </c>
      <c r="J36" s="25">
        <f>Výnosy!$E$36</f>
        <v>127701.38879999999</v>
      </c>
      <c r="K36" s="25">
        <f>Výnosy!$E$27</f>
        <v>97166.97215999999</v>
      </c>
      <c r="L36" s="25">
        <f>Výnosy!$E$45</f>
        <v>97166.97215999999</v>
      </c>
      <c r="M36" s="35">
        <f>Výnosy!$E$9</f>
        <v>1094592</v>
      </c>
    </row>
    <row r="37" spans="1:13">
      <c r="A37" s="5" t="s">
        <v>46</v>
      </c>
      <c r="B37" s="25">
        <f>SUM(Náklady!$G$131,Náklady!$G$133,Náklady!$G$136,Náklady!$G$138)</f>
        <v>0</v>
      </c>
      <c r="C37" s="25">
        <f>SUM(Náklady!$G$185,Náklady!$G$187,Náklady!$G$190,Náklady!$G$192)</f>
        <v>0</v>
      </c>
      <c r="D37" s="25">
        <f>SUM(Náklady!$G$158,Náklady!$G$160,Náklady!$G$163,Náklady!$G$165)</f>
        <v>0</v>
      </c>
      <c r="E37" s="25">
        <f>SUM(Náklady!$G$212,Náklady!$G$214,Náklady!$G$217,Náklady!$G$219)</f>
        <v>0</v>
      </c>
      <c r="F37" s="35">
        <v>0</v>
      </c>
      <c r="H37" s="5" t="s">
        <v>46</v>
      </c>
      <c r="I37" s="25">
        <f>Výnosy!$F$18</f>
        <v>51840</v>
      </c>
      <c r="J37" s="25">
        <f>Výnosy!$F$36</f>
        <v>255402.77759999997</v>
      </c>
      <c r="K37" s="25">
        <f>Výnosy!$F$27</f>
        <v>194333.94431999998</v>
      </c>
      <c r="L37" s="25">
        <f>Výnosy!$F$45</f>
        <v>194333.94431999998</v>
      </c>
      <c r="M37" s="35">
        <f>Výnosy!$F$9</f>
        <v>2723520</v>
      </c>
    </row>
    <row r="38" spans="1:13">
      <c r="A38" s="5" t="s">
        <v>47</v>
      </c>
      <c r="B38" s="25">
        <f>SUM(Náklady!$H$131,Náklady!$H$133,Náklady!$H$136,Náklady!$H$138)</f>
        <v>0</v>
      </c>
      <c r="C38" s="25">
        <f>SUM(Náklady!$H$185,Náklady!$H$187,Náklady!$H$190,Náklady!$H$192)</f>
        <v>0</v>
      </c>
      <c r="D38" s="25">
        <f>SUM(Náklady!$H$158,Náklady!$H$160,Náklady!$H$163,Náklady!$H$165)</f>
        <v>0</v>
      </c>
      <c r="E38" s="25">
        <f>SUM(Náklady!$H$212,Náklady!$H$214,Náklady!$H$217,Náklady!$H$219)</f>
        <v>0</v>
      </c>
      <c r="F38" s="35">
        <v>0</v>
      </c>
      <c r="H38" s="5" t="s">
        <v>47</v>
      </c>
      <c r="I38" s="25">
        <f>Výnosy!$G$18</f>
        <v>1725011.4240000001</v>
      </c>
      <c r="J38" s="25">
        <f>Výnosy!$G$36</f>
        <v>6168572.5823999997</v>
      </c>
      <c r="K38" s="25">
        <f>Výnosy!$G$27</f>
        <v>1818221.7484800001</v>
      </c>
      <c r="L38" s="25">
        <f>Výnosy!$G$45</f>
        <v>6398384.2444800008</v>
      </c>
      <c r="M38" s="35">
        <f>Výnosy!$G$9</f>
        <v>4085280</v>
      </c>
    </row>
    <row r="39" spans="1:13">
      <c r="A39" s="5" t="s">
        <v>48</v>
      </c>
      <c r="B39" s="25">
        <f>SUM(Náklady!$I$131,Náklady!$I$133,Náklady!$I$136,Náklady!$I$138)</f>
        <v>0</v>
      </c>
      <c r="C39" s="25">
        <f>SUM(Náklady!$I$185,Náklady!$I$187,Náklady!$I$190,Náklady!$I$192)</f>
        <v>0</v>
      </c>
      <c r="D39" s="25">
        <f>SUM(Náklady!$I$158,Náklady!$I$160,Náklady!$I$163,Náklady!$I$165)</f>
        <v>0</v>
      </c>
      <c r="E39" s="25">
        <f>SUM(Náklady!$I$212,Náklady!$I$214,Náklady!$I$217,Náklady!$I$219)</f>
        <v>0</v>
      </c>
      <c r="F39" s="35">
        <v>0</v>
      </c>
      <c r="H39" s="5" t="s">
        <v>48</v>
      </c>
      <c r="I39" s="25">
        <f>Výnosy!$H$18</f>
        <v>2300015.2320000003</v>
      </c>
      <c r="J39" s="25">
        <f>Výnosy!$H$36</f>
        <v>8224763.4431999996</v>
      </c>
      <c r="K39" s="25">
        <f>Výnosy!$H$27</f>
        <v>2424295.6646400001</v>
      </c>
      <c r="L39" s="25">
        <f>Výnosy!$H$45</f>
        <v>8531178.9926400017</v>
      </c>
      <c r="M39" s="35">
        <f>Výnosy!$H$9</f>
        <v>5447040</v>
      </c>
    </row>
    <row r="40" spans="1:13">
      <c r="A40" s="5" t="s">
        <v>49</v>
      </c>
      <c r="B40" s="25">
        <f>SUM(Náklady!$J$131,Náklady!$J$133,Náklady!$J$136,Náklady!$J$138)</f>
        <v>0</v>
      </c>
      <c r="C40" s="25">
        <f>SUM(Náklady!$J$185,Náklady!$J$187,Náklady!$J$190,Náklady!$J$192)</f>
        <v>0</v>
      </c>
      <c r="D40" s="25">
        <f>SUM(Náklady!$J$158,Náklady!$J$160,Náklady!$J$163,Náklady!$J$165)</f>
        <v>0</v>
      </c>
      <c r="E40" s="25">
        <f>SUM(Náklady!$J$212,Náklady!$J$214,Náklady!$J$217,Náklady!$J$219)</f>
        <v>0</v>
      </c>
      <c r="F40" s="35">
        <v>0</v>
      </c>
      <c r="H40" s="5" t="s">
        <v>49</v>
      </c>
      <c r="I40" s="25">
        <f>Výnosy!$I$18</f>
        <v>3450022.8480000002</v>
      </c>
      <c r="J40" s="25">
        <f>Výnosy!$I$36</f>
        <v>12337145.164799999</v>
      </c>
      <c r="K40" s="25">
        <f>Výnosy!$I$27</f>
        <v>3636443.4969600001</v>
      </c>
      <c r="L40" s="25">
        <f>Výnosy!$I$45</f>
        <v>12796768.488960002</v>
      </c>
      <c r="M40" s="35">
        <f>Výnosy!$I$9</f>
        <v>8170560</v>
      </c>
    </row>
    <row r="41" spans="1:13">
      <c r="A41" s="5" t="s">
        <v>50</v>
      </c>
      <c r="B41" s="25">
        <f>SUM(Náklady!$K$131,Náklady!$K$133,Náklady!$K$136,Náklady!$K$138)</f>
        <v>0</v>
      </c>
      <c r="C41" s="25">
        <f>SUM(Náklady!$K$185,Náklady!$K$187,Náklady!$K$190,Náklady!$K$192)</f>
        <v>0</v>
      </c>
      <c r="D41" s="25">
        <f>SUM(Náklady!$K$158,Náklady!$K$160,Náklady!$K$163,Náklady!$K$165)</f>
        <v>0</v>
      </c>
      <c r="E41" s="25">
        <f>SUM(Náklady!$K$212,Náklady!$K$214,Náklady!$K$217,Náklady!$K$219)</f>
        <v>0</v>
      </c>
      <c r="F41" s="35">
        <v>0</v>
      </c>
      <c r="H41" s="5" t="s">
        <v>50</v>
      </c>
      <c r="I41" s="25">
        <f>Výnosy!$J$18</f>
        <v>4600030.4640000006</v>
      </c>
      <c r="J41" s="25">
        <f>Výnosy!$J$36</f>
        <v>16449526.886399999</v>
      </c>
      <c r="K41" s="25">
        <f>Výnosy!$J$27</f>
        <v>4848591.3292800002</v>
      </c>
      <c r="L41" s="25">
        <f>Výnosy!$J$45</f>
        <v>17062357.985280003</v>
      </c>
      <c r="M41" s="35">
        <f>Výnosy!$J$9</f>
        <v>10894080</v>
      </c>
    </row>
    <row r="42" spans="1:13">
      <c r="A42" s="5" t="s">
        <v>51</v>
      </c>
      <c r="B42" s="25">
        <f>SUM(Náklady!$L$131,Náklady!$L$133,Náklady!$L$136,Náklady!$L$138)</f>
        <v>0</v>
      </c>
      <c r="C42" s="25">
        <f>SUM(Náklady!$L$185,Náklady!$L$187,Náklady!$L$190,Náklady!$L$192)</f>
        <v>0</v>
      </c>
      <c r="D42" s="25">
        <f>SUM(Náklady!$L$158,Náklady!$L$160,Náklady!$L$163,Náklady!$L$165)</f>
        <v>0</v>
      </c>
      <c r="E42" s="25">
        <f>SUM(Náklady!$L$212,Náklady!$L$214,Náklady!$L$217,Náklady!$L$219)</f>
        <v>0</v>
      </c>
      <c r="F42" s="35">
        <v>0</v>
      </c>
      <c r="H42" s="5" t="s">
        <v>51</v>
      </c>
      <c r="I42" s="25">
        <f>Výnosy!$K$18</f>
        <v>5750038.080000001</v>
      </c>
      <c r="J42" s="25">
        <f>Výnosy!$K$36</f>
        <v>20561908.607999999</v>
      </c>
      <c r="K42" s="25">
        <f>Výnosy!$K$27</f>
        <v>6060739.1616000012</v>
      </c>
      <c r="L42" s="25">
        <f>Výnosy!$K$45</f>
        <v>21327947.481600005</v>
      </c>
      <c r="M42" s="35">
        <f>Výnosy!$K$9</f>
        <v>13617600</v>
      </c>
    </row>
    <row r="43" spans="1:13">
      <c r="A43" s="164" t="s">
        <v>11</v>
      </c>
      <c r="B43" s="165">
        <f>SUM(B33:B42)</f>
        <v>8599551.9469999988</v>
      </c>
      <c r="C43" s="165">
        <f t="shared" ref="C43" si="7">SUM(C33:C42)</f>
        <v>37119283.68022</v>
      </c>
      <c r="D43" s="165">
        <f t="shared" ref="D43" si="8">SUM(D33:D42)</f>
        <v>13599283.680219999</v>
      </c>
      <c r="E43" s="165">
        <f t="shared" ref="E43" si="9">SUM(E33:E42)</f>
        <v>37119283.68022</v>
      </c>
      <c r="F43" s="167">
        <f t="shared" ref="F43" si="10">SUM(F33:F42)</f>
        <v>0</v>
      </c>
      <c r="H43" s="164" t="s">
        <v>11</v>
      </c>
      <c r="I43" s="165">
        <f>SUM(I33:I42)</f>
        <v>17902878.048000004</v>
      </c>
      <c r="J43" s="165">
        <f t="shared" ref="J43:M43" si="11">SUM(J33:J42)</f>
        <v>64125020.851199999</v>
      </c>
      <c r="K43" s="165">
        <f t="shared" si="11"/>
        <v>19079792.317440003</v>
      </c>
      <c r="L43" s="165">
        <f t="shared" si="11"/>
        <v>66408138.109440014</v>
      </c>
      <c r="M43" s="167">
        <f t="shared" si="11"/>
        <v>46032672</v>
      </c>
    </row>
    <row r="45" spans="1:13">
      <c r="A45" s="1" t="s">
        <v>72</v>
      </c>
      <c r="B45" s="2"/>
      <c r="C45" s="125"/>
      <c r="D45" s="125"/>
      <c r="E45" s="125"/>
      <c r="F45" s="166"/>
      <c r="H45" s="171" t="s">
        <v>73</v>
      </c>
      <c r="I45" s="171"/>
      <c r="J45" s="171"/>
      <c r="K45" s="171"/>
      <c r="L45" s="171"/>
      <c r="M45" s="171"/>
    </row>
    <row r="46" spans="1:13">
      <c r="A46" s="190" t="s">
        <v>27</v>
      </c>
      <c r="B46" s="4" t="s">
        <v>64</v>
      </c>
      <c r="C46" s="4" t="s">
        <v>65</v>
      </c>
      <c r="D46" s="4" t="s">
        <v>66</v>
      </c>
      <c r="E46" s="4" t="s">
        <v>67</v>
      </c>
      <c r="F46" s="28" t="s">
        <v>39</v>
      </c>
    </row>
    <row r="47" spans="1:13">
      <c r="A47" s="5" t="s">
        <v>42</v>
      </c>
      <c r="B47" s="25">
        <f>SUM(Náklady!$C$239,Náklady!$C$242,Náklady!$C$243,Náklady!$C$246)</f>
        <v>0</v>
      </c>
      <c r="C47" s="25">
        <f>SUM(Náklady!$C$293,Náklady!$C$296,Náklady!$C$297,Náklady!$C$300)</f>
        <v>0</v>
      </c>
      <c r="D47" s="25">
        <f>SUM(Náklady!$C$266,Náklady!$C$269,Náklady!$C$270,Náklady!$C$273)</f>
        <v>0</v>
      </c>
      <c r="E47" s="25">
        <f>SUM(Náklady!$C$320,Náklady!$C$323,Náklady!$C$324,Náklady!$C$327)</f>
        <v>0</v>
      </c>
      <c r="F47" s="35">
        <v>0</v>
      </c>
      <c r="H47" s="1" t="s">
        <v>74</v>
      </c>
      <c r="I47" s="2"/>
      <c r="J47" s="125"/>
      <c r="K47" s="125"/>
      <c r="L47" s="125"/>
      <c r="M47" s="166"/>
    </row>
    <row r="48" spans="1:13">
      <c r="A48" s="5" t="s">
        <v>43</v>
      </c>
      <c r="B48" s="25">
        <f>SUM(Náklady!$D$239,Náklady!$D$242,Náklady!$D$243,Náklady!$D$246)</f>
        <v>0</v>
      </c>
      <c r="C48" s="25">
        <f>SUM(Náklady!$D$293,Náklady!$D$296,Náklady!$D$297,Náklady!$D$300)</f>
        <v>0</v>
      </c>
      <c r="D48" s="25">
        <f>SUM(Náklady!$D$266,Náklady!$D$269,Náklady!$D$270,Náklady!$D$273)</f>
        <v>0</v>
      </c>
      <c r="E48" s="25">
        <f>SUM(Náklady!$D$320,Náklady!$D$323,Náklady!$D$324,Náklady!$D$327)</f>
        <v>0</v>
      </c>
      <c r="F48" s="35">
        <v>0</v>
      </c>
      <c r="H48" s="190" t="s">
        <v>27</v>
      </c>
      <c r="I48" s="4" t="s">
        <v>64</v>
      </c>
      <c r="J48" s="4" t="s">
        <v>65</v>
      </c>
      <c r="K48" s="4" t="s">
        <v>66</v>
      </c>
      <c r="L48" s="4" t="s">
        <v>67</v>
      </c>
      <c r="M48" s="28" t="s">
        <v>39</v>
      </c>
    </row>
    <row r="49" spans="1:13">
      <c r="A49" s="5" t="s">
        <v>44</v>
      </c>
      <c r="B49" s="25">
        <f>SUM(Náklady!$E$239,Náklady!$E$242,Náklady!$E$243,Náklady!$E$246)</f>
        <v>600000</v>
      </c>
      <c r="C49" s="25">
        <f>SUM(Náklady!$E$293,Náklady!$E$296,Náklady!$E$297,Náklady!$E$300)</f>
        <v>600000</v>
      </c>
      <c r="D49" s="25">
        <f>SUM(Náklady!$E$266,Náklady!$E$269,Náklady!$E$270,Náklady!$E$273)</f>
        <v>600000</v>
      </c>
      <c r="E49" s="25">
        <f>SUM(Náklady!$E$320,Náklady!$E$323,Náklady!$E$324,Náklady!$E$327)</f>
        <v>600000</v>
      </c>
      <c r="F49" s="35">
        <v>0</v>
      </c>
      <c r="H49" s="5" t="s">
        <v>42</v>
      </c>
      <c r="I49" s="25">
        <f>Prínosy!$B$19</f>
        <v>0</v>
      </c>
      <c r="J49" s="25">
        <f>Prínosy!$B$37</f>
        <v>0</v>
      </c>
      <c r="K49" s="25">
        <f>Prínosy!$B$28</f>
        <v>0</v>
      </c>
      <c r="L49" s="25">
        <f>Prínosy!$B$46</f>
        <v>0</v>
      </c>
      <c r="M49" s="35">
        <f>Prínosy!$B$10</f>
        <v>0</v>
      </c>
    </row>
    <row r="50" spans="1:13">
      <c r="A50" s="5" t="s">
        <v>45</v>
      </c>
      <c r="B50" s="25">
        <f>SUM(Náklady!$F$239,Náklady!$F$242,Náklady!$F$243,Náklady!$F$246)</f>
        <v>25335283.68022</v>
      </c>
      <c r="C50" s="25">
        <f>SUM(Náklady!$F$293,Náklady!$F$296,Náklady!$F$297,Náklady!$F$300)</f>
        <v>52011283.68022</v>
      </c>
      <c r="D50" s="25">
        <f>SUM(Náklady!$F$266,Náklady!$F$269,Náklady!$F$270,Náklady!$F$273)</f>
        <v>25335283.68022</v>
      </c>
      <c r="E50" s="25">
        <f>SUM(Náklady!$F$320,Náklady!$F$323,Náklady!$F$324,Náklady!$F$327)</f>
        <v>52011283.68022</v>
      </c>
      <c r="F50" s="35">
        <v>0</v>
      </c>
      <c r="H50" s="5" t="s">
        <v>43</v>
      </c>
      <c r="I50" s="25">
        <f>Prínosy!$C$19</f>
        <v>0</v>
      </c>
      <c r="J50" s="25">
        <f>Prínosy!$C$37</f>
        <v>0</v>
      </c>
      <c r="K50" s="25">
        <f>Prínosy!$C$28</f>
        <v>0</v>
      </c>
      <c r="L50" s="25">
        <f>Prínosy!$C$46</f>
        <v>0</v>
      </c>
      <c r="M50" s="35">
        <f>Prínosy!$C$10</f>
        <v>0</v>
      </c>
    </row>
    <row r="51" spans="1:13">
      <c r="A51" s="5" t="s">
        <v>46</v>
      </c>
      <c r="B51" s="25">
        <f>SUM(Náklady!$G$239,Náklady!$G$242,Náklady!$G$243,Náklady!$G$246)</f>
        <v>0</v>
      </c>
      <c r="C51" s="25">
        <f>SUM(Náklady!$G$293,Náklady!$G$296,Náklady!$G$297,Náklady!$G$300)</f>
        <v>0</v>
      </c>
      <c r="D51" s="25">
        <f>SUM(Náklady!$G$266,Náklady!$G$269,Náklady!$G$270,Náklady!$G$273)</f>
        <v>0</v>
      </c>
      <c r="E51" s="25">
        <f>SUM(Náklady!$G$320,Náklady!$G$323,Náklady!$G$324,Náklady!$G$327)</f>
        <v>0</v>
      </c>
      <c r="F51" s="35">
        <v>0</v>
      </c>
      <c r="H51" s="5" t="s">
        <v>44</v>
      </c>
      <c r="I51" s="25">
        <f>Prínosy!$D$19</f>
        <v>0</v>
      </c>
      <c r="J51" s="25">
        <f>Prínosy!$D$37</f>
        <v>0</v>
      </c>
      <c r="K51" s="25">
        <f>Prínosy!$D$28</f>
        <v>0</v>
      </c>
      <c r="L51" s="25">
        <f>Prínosy!$D$46</f>
        <v>0</v>
      </c>
      <c r="M51" s="35">
        <f>Prínosy!$D$10</f>
        <v>0</v>
      </c>
    </row>
    <row r="52" spans="1:13">
      <c r="A52" s="5" t="s">
        <v>47</v>
      </c>
      <c r="B52" s="25">
        <f>SUM(Náklady!$H$239,Náklady!$H$242,Náklady!$H$243,Náklady!$H$246)</f>
        <v>0</v>
      </c>
      <c r="C52" s="25">
        <f>SUM(Náklady!$H$293,Náklady!$H$296,Náklady!$H$297,Náklady!$H$300)</f>
        <v>0</v>
      </c>
      <c r="D52" s="25">
        <f>SUM(Náklady!$H$266,Náklady!$H$269,Náklady!$H$270,Náklady!$H$273)</f>
        <v>0</v>
      </c>
      <c r="E52" s="25">
        <f>SUM(Náklady!$H$320,Náklady!$H$323,Náklady!$H$324,Náklady!$H$327)</f>
        <v>0</v>
      </c>
      <c r="F52" s="35">
        <v>0</v>
      </c>
      <c r="H52" s="5" t="s">
        <v>45</v>
      </c>
      <c r="I52" s="25">
        <f>Prínosy!$E$19</f>
        <v>0</v>
      </c>
      <c r="J52" s="25">
        <f>Prínosy!$E$37</f>
        <v>0</v>
      </c>
      <c r="K52" s="25">
        <f>Prínosy!$E$28</f>
        <v>0</v>
      </c>
      <c r="L52" s="25">
        <f>Prínosy!$E$46</f>
        <v>0</v>
      </c>
      <c r="M52" s="35">
        <f>Prínosy!$E$10</f>
        <v>0</v>
      </c>
    </row>
    <row r="53" spans="1:13">
      <c r="A53" s="5" t="s">
        <v>48</v>
      </c>
      <c r="B53" s="25">
        <f>SUM(Náklady!$I$239,Náklady!$I$242,Náklady!$I$243,Náklady!$I$246)</f>
        <v>0</v>
      </c>
      <c r="C53" s="25">
        <f>SUM(Náklady!$I$293,Náklady!$I$296,Náklady!$I$297,Náklady!$I$300)</f>
        <v>0</v>
      </c>
      <c r="D53" s="25">
        <f>SUM(Náklady!$I$266,Náklady!$I$269,Náklady!$I$270,Náklady!$I$273)</f>
        <v>0</v>
      </c>
      <c r="E53" s="25">
        <f>SUM(Náklady!$I$320,Náklady!$I$323,Náklady!$I$324,Náklady!$I$327)</f>
        <v>0</v>
      </c>
      <c r="F53" s="35">
        <v>0</v>
      </c>
      <c r="H53" s="5" t="s">
        <v>46</v>
      </c>
      <c r="I53" s="25">
        <f>Prínosy!$F$19</f>
        <v>0</v>
      </c>
      <c r="J53" s="25">
        <f>Prínosy!$F$37</f>
        <v>0</v>
      </c>
      <c r="K53" s="25">
        <f>Prínosy!$F$28</f>
        <v>0</v>
      </c>
      <c r="L53" s="25">
        <f>Prínosy!$F$46</f>
        <v>0</v>
      </c>
      <c r="M53" s="35">
        <f>Prínosy!$F$10</f>
        <v>0</v>
      </c>
    </row>
    <row r="54" spans="1:13">
      <c r="A54" s="5" t="s">
        <v>49</v>
      </c>
      <c r="B54" s="25">
        <f>SUM(Náklady!$J$239,Náklady!$J$242,Náklady!$J$243,Náklady!$J$246)</f>
        <v>0</v>
      </c>
      <c r="C54" s="25">
        <f>SUM(Náklady!$J$293,Náklady!$J$296,Náklady!$J$297,Náklady!$J$300)</f>
        <v>0</v>
      </c>
      <c r="D54" s="25">
        <f>SUM(Náklady!$J$266,Náklady!$J$269,Náklady!$J$270,Náklady!$J$273)</f>
        <v>0</v>
      </c>
      <c r="E54" s="25">
        <f>SUM(Náklady!$J$320,Náklady!$J$323,Náklady!$J$324,Náklady!$J$327)</f>
        <v>0</v>
      </c>
      <c r="F54" s="35">
        <v>0</v>
      </c>
      <c r="H54" s="5" t="s">
        <v>47</v>
      </c>
      <c r="I54" s="25">
        <f>Prínosy!$G$19</f>
        <v>0</v>
      </c>
      <c r="J54" s="25">
        <f>Prínosy!$G$37</f>
        <v>0</v>
      </c>
      <c r="K54" s="25">
        <f>Prínosy!$G$28</f>
        <v>0</v>
      </c>
      <c r="L54" s="25">
        <f>Prínosy!$G$46</f>
        <v>0</v>
      </c>
      <c r="M54" s="35">
        <f>Prínosy!$G$10</f>
        <v>0</v>
      </c>
    </row>
    <row r="55" spans="1:13">
      <c r="A55" s="5" t="s">
        <v>50</v>
      </c>
      <c r="B55" s="25">
        <f>SUM(Náklady!$K$239,Náklady!$K$242,Náklady!$JK$243,Náklady!$JK$246)</f>
        <v>0</v>
      </c>
      <c r="C55" s="25">
        <f>SUM(Náklady!$K$293,Náklady!$K$296,Náklady!$JK$297,Náklady!$JK$300)</f>
        <v>0</v>
      </c>
      <c r="D55" s="25">
        <f>SUM(Náklady!$K$266,Náklady!$K$269,Náklady!$JK$270,Náklady!$JK$273)</f>
        <v>0</v>
      </c>
      <c r="E55" s="25">
        <f>SUM(Náklady!$K$320,Náklady!$K$323,Náklady!$JK$324,Náklady!$JK$327)</f>
        <v>0</v>
      </c>
      <c r="F55" s="35">
        <v>0</v>
      </c>
      <c r="H55" s="5" t="s">
        <v>48</v>
      </c>
      <c r="I55" s="25">
        <f>Prínosy!$H$19</f>
        <v>29040567.323040001</v>
      </c>
      <c r="J55" s="25">
        <f>Prínosy!$H$37</f>
        <v>6449558.6413439987</v>
      </c>
      <c r="K55" s="25">
        <f>Prínosy!$H$28</f>
        <v>4907417.9289407991</v>
      </c>
      <c r="L55" s="25">
        <f>Prínosy!$H$46</f>
        <v>4907417.9289407991</v>
      </c>
      <c r="M55" s="35">
        <f>Prínosy!$H$10</f>
        <v>68775688.800000012</v>
      </c>
    </row>
    <row r="56" spans="1:13">
      <c r="A56" s="5" t="s">
        <v>51</v>
      </c>
      <c r="B56" s="25">
        <f>SUM(Náklady!$L$239,Náklady!$L$242,Náklady!$JL$243,Náklady!$JL$246)</f>
        <v>0</v>
      </c>
      <c r="C56" s="25">
        <f>SUM(Náklady!$L$293,Náklady!$L$296,Náklady!$JL$297,Náklady!$JL$300)</f>
        <v>0</v>
      </c>
      <c r="D56" s="25">
        <f>SUM(Náklady!$L$266,Náklady!$L$269,Náklady!$JL$270,Náklady!$JL$273)</f>
        <v>0</v>
      </c>
      <c r="E56" s="25">
        <f>SUM(Náklady!$L$320,Náklady!$L$323,Náklady!$JL$324,Náklady!$JL$327)</f>
        <v>0</v>
      </c>
      <c r="F56" s="35">
        <v>0</v>
      </c>
      <c r="H56" s="5" t="s">
        <v>49</v>
      </c>
      <c r="I56" s="25">
        <f>Prínosy!$I$19</f>
        <v>58081134.646080002</v>
      </c>
      <c r="J56" s="25">
        <f>Prínosy!$I$37</f>
        <v>110297478.06604798</v>
      </c>
      <c r="K56" s="25">
        <f>Prínosy!$I$28</f>
        <v>35517181.0646016</v>
      </c>
      <c r="L56" s="25">
        <f>Prínosy!$I$46</f>
        <v>112624216.68476163</v>
      </c>
      <c r="M56" s="35">
        <f>Prínosy!$I$10</f>
        <v>137551377.60000002</v>
      </c>
    </row>
    <row r="57" spans="1:13">
      <c r="A57" s="164" t="s">
        <v>11</v>
      </c>
      <c r="B57" s="165">
        <f>SUM(B47:B56)</f>
        <v>25935283.68022</v>
      </c>
      <c r="C57" s="165">
        <f t="shared" ref="C57" si="12">SUM(C47:C56)</f>
        <v>52611283.68022</v>
      </c>
      <c r="D57" s="165">
        <f t="shared" ref="D57" si="13">SUM(D47:D56)</f>
        <v>25935283.68022</v>
      </c>
      <c r="E57" s="165">
        <f t="shared" ref="E57" si="14">SUM(E47:E56)</f>
        <v>52611283.68022</v>
      </c>
      <c r="F57" s="167">
        <f t="shared" ref="F57" si="15">SUM(F47:F56)</f>
        <v>0</v>
      </c>
      <c r="H57" s="5" t="s">
        <v>50</v>
      </c>
      <c r="I57" s="25">
        <f>Prínosy!$J$19</f>
        <v>87121701.969120011</v>
      </c>
      <c r="J57" s="25">
        <f>Prínosy!$J$37</f>
        <v>214145397.49075201</v>
      </c>
      <c r="K57" s="25">
        <f>Prínosy!$J$28</f>
        <v>66126944.200262405</v>
      </c>
      <c r="L57" s="25">
        <f>Prínosy!$J$46</f>
        <v>220341015.44058245</v>
      </c>
      <c r="M57" s="35">
        <f>Prínosy!$J$10</f>
        <v>206327066.40000001</v>
      </c>
    </row>
    <row r="58" spans="1:13">
      <c r="H58" s="5" t="s">
        <v>51</v>
      </c>
      <c r="I58" s="25">
        <f>Prínosy!$K$19</f>
        <v>116162269.29216</v>
      </c>
      <c r="J58" s="25">
        <f>Prínosy!$K$37</f>
        <v>317993316.91545594</v>
      </c>
      <c r="K58" s="25">
        <f>Prínosy!$K$28</f>
        <v>96736707.335923195</v>
      </c>
      <c r="L58" s="25">
        <f>Prínosy!$K$46</f>
        <v>328057814.19640326</v>
      </c>
      <c r="M58" s="35">
        <f>Prínosy!$K$10</f>
        <v>275102755.20000005</v>
      </c>
    </row>
    <row r="59" spans="1:13">
      <c r="A59" s="171" t="s">
        <v>75</v>
      </c>
      <c r="B59" s="171"/>
      <c r="C59" s="171"/>
      <c r="D59" s="171"/>
      <c r="E59" s="171"/>
      <c r="F59" s="171"/>
      <c r="H59" s="164" t="s">
        <v>11</v>
      </c>
      <c r="I59" s="165">
        <f>SUM(I49:I58)</f>
        <v>290405673.23039997</v>
      </c>
      <c r="J59" s="165">
        <f t="shared" ref="J59" si="16">SUM(J49:J58)</f>
        <v>648885751.1135999</v>
      </c>
      <c r="K59" s="165">
        <f t="shared" ref="K59" si="17">SUM(K49:K58)</f>
        <v>203288250.529728</v>
      </c>
      <c r="L59" s="165">
        <f t="shared" ref="L59" si="18">SUM(L49:L58)</f>
        <v>665930464.25068808</v>
      </c>
      <c r="M59" s="167">
        <f t="shared" ref="M59" si="19">SUM(M49:M58)</f>
        <v>687756888.00000012</v>
      </c>
    </row>
    <row r="61" spans="1:13">
      <c r="A61" s="1" t="s">
        <v>76</v>
      </c>
      <c r="B61" s="2"/>
      <c r="C61" s="125"/>
      <c r="D61" s="125"/>
      <c r="E61" s="125"/>
      <c r="F61" s="166"/>
      <c r="H61" s="1" t="s">
        <v>77</v>
      </c>
      <c r="I61" s="2"/>
      <c r="J61" s="125"/>
      <c r="K61" s="125"/>
      <c r="L61" s="125"/>
      <c r="M61" s="166"/>
    </row>
    <row r="62" spans="1:13">
      <c r="A62" s="190" t="s">
        <v>27</v>
      </c>
      <c r="B62" s="4" t="s">
        <v>64</v>
      </c>
      <c r="C62" s="4" t="s">
        <v>65</v>
      </c>
      <c r="D62" s="4" t="s">
        <v>66</v>
      </c>
      <c r="E62" s="4" t="s">
        <v>67</v>
      </c>
      <c r="F62" s="28" t="s">
        <v>39</v>
      </c>
      <c r="H62" s="190" t="s">
        <v>27</v>
      </c>
      <c r="I62" s="4" t="s">
        <v>64</v>
      </c>
      <c r="J62" s="4" t="s">
        <v>65</v>
      </c>
      <c r="K62" s="4" t="s">
        <v>66</v>
      </c>
      <c r="L62" s="4" t="s">
        <v>67</v>
      </c>
      <c r="M62" s="28" t="s">
        <v>39</v>
      </c>
    </row>
    <row r="63" spans="1:13">
      <c r="A63" s="5" t="s">
        <v>42</v>
      </c>
      <c r="B63" s="25">
        <f>SUM(Náklady!$C$127:$C$129,Náklady!$C$137,Náklady!$C$139:$C$140,Náklady!$C$142:$C$143,Náklady!$C$145)</f>
        <v>267351.60000000003</v>
      </c>
      <c r="C63" s="25">
        <f>SUM(Náklady!$C$181:$C$183,Náklady!$C$191,Náklady!$C$193:$C$194,Náklady!$C$196:$C$197,Náklady!$C$199)</f>
        <v>378073.20000000007</v>
      </c>
      <c r="D63" s="25">
        <f>SUM(Náklady!$C$154:$C$156,Náklady!$C$164,Náklady!$C$166:$C$167,Náklady!$C$169:$C$170,Náklady!$C$172)</f>
        <v>267351.60000000003</v>
      </c>
      <c r="E63" s="25">
        <f>SUM(Náklady!$C$208:$C$210,Náklady!$C$218,Náklady!$C$220:$C$221,Náklady!$C$223:$C$224,Náklady!$C$226)</f>
        <v>378073.20000000007</v>
      </c>
      <c r="F63" s="35">
        <f>SUM(Náklady!$C$5,Náklady!$C$7:$C$8,Náklady!$C$10)</f>
        <v>378073.20000000007</v>
      </c>
      <c r="H63" s="5" t="s">
        <v>42</v>
      </c>
      <c r="I63" s="25">
        <f>Prínosy!$B$22</f>
        <v>0</v>
      </c>
      <c r="J63" s="25">
        <f>Prínosy!$B$40</f>
        <v>0</v>
      </c>
      <c r="K63" s="25">
        <f>Prínosy!$B$31</f>
        <v>0</v>
      </c>
      <c r="L63" s="25">
        <f>Prínosy!$B$49</f>
        <v>0</v>
      </c>
      <c r="M63" s="35">
        <f>Prínosy!$B$13</f>
        <v>0</v>
      </c>
    </row>
    <row r="64" spans="1:13">
      <c r="A64" s="5" t="s">
        <v>43</v>
      </c>
      <c r="B64" s="25">
        <f>SUM(Náklady!$D$127:$D$129,Náklady!$D$137,Náklady!$D$139:$D$140,Náklady!$D$142:$D$143,Náklady!$D$145)</f>
        <v>612614.59200000006</v>
      </c>
      <c r="C64" s="25">
        <f>SUM(Náklady!$D$181:$D$183,Náklady!$D$191,Náklady!$D$193:$D$194,Náklady!$D$196:$D$197,Náklady!$D$199)</f>
        <v>841857.84000000008</v>
      </c>
      <c r="D64" s="25">
        <f>SUM(Náklady!$D$154:$D$156,Náklady!$D$164,Náklady!$D$166:$D$167,Náklady!$D$169:$D$170,Náklady!$D$172)</f>
        <v>727814.59200000006</v>
      </c>
      <c r="E64" s="25">
        <f>SUM(Náklady!$D$208:$D$210,Náklady!$D$218,Náklady!$D$220:$D$221,Náklady!$D$223:$D$224,Náklady!$D$226)</f>
        <v>841857.84000000008</v>
      </c>
      <c r="F64" s="35">
        <f>SUM(Náklady!$D$5,Náklady!$D$7:$D$8,Náklady!$D$10)</f>
        <v>15167499.719999999</v>
      </c>
      <c r="H64" s="5" t="s">
        <v>43</v>
      </c>
      <c r="I64" s="25">
        <f>Prínosy!$C$22</f>
        <v>0</v>
      </c>
      <c r="J64" s="25">
        <f>Prínosy!$C$40</f>
        <v>0</v>
      </c>
      <c r="K64" s="25">
        <f>Prínosy!$C$31</f>
        <v>0</v>
      </c>
      <c r="L64" s="25">
        <f>Prínosy!$C$49</f>
        <v>0</v>
      </c>
      <c r="M64" s="35">
        <f>Prínosy!$C$13</f>
        <v>0</v>
      </c>
    </row>
    <row r="65" spans="1:13">
      <c r="A65" s="5" t="s">
        <v>44</v>
      </c>
      <c r="B65" s="25">
        <f>SUM(Náklady!$E$127:$E$129,Náklady!$E$137,Náklady!$E$139:$E$140,Náklady!$E$142:$E$143,Náklady!$E$145)</f>
        <v>469858.18176000006</v>
      </c>
      <c r="C65" s="25">
        <f>SUM(Náklady!$E$181:$E$183,Náklady!$E$191,Náklady!$E$193:$E$194,Náklady!$E$196:$E$197,Náklady!$E$199)</f>
        <v>2655072.3468000004</v>
      </c>
      <c r="D65" s="25">
        <f>SUM(Náklady!$E$154:$E$156,Náklady!$E$164,Náklady!$E$166:$E$167,Náklady!$E$169:$E$170,Náklady!$E$172)</f>
        <v>1727870.88576</v>
      </c>
      <c r="E65" s="25">
        <f>SUM(Náklady!$E$208:$E$210,Náklady!$E$218,Náklady!$E$220:$E$221,Náklady!$E$223:$E$224,Náklady!$E$226)</f>
        <v>2651996.7948000003</v>
      </c>
      <c r="F65" s="35">
        <f>SUM(Náklady!$E$5,Náklady!$E$7:$E$8,Náklady!$E$10)</f>
        <v>29630361.363600001</v>
      </c>
      <c r="H65" s="5" t="s">
        <v>44</v>
      </c>
      <c r="I65" s="25">
        <f>Prínosy!$D$22</f>
        <v>0</v>
      </c>
      <c r="J65" s="25">
        <f>Prínosy!$D$40</f>
        <v>0</v>
      </c>
      <c r="K65" s="25">
        <f>Prínosy!$D$31</f>
        <v>0</v>
      </c>
      <c r="L65" s="25">
        <f>Prínosy!$D$49</f>
        <v>0</v>
      </c>
      <c r="M65" s="35">
        <f>Prínosy!$D$13</f>
        <v>0</v>
      </c>
    </row>
    <row r="66" spans="1:13">
      <c r="A66" s="5" t="s">
        <v>45</v>
      </c>
      <c r="B66" s="25">
        <f>SUM(Náklady!$F$127:$F$129,Náklady!$F$137,Náklady!$F$139:$F$140,Náklady!$F$142:$F$143,Náklady!$F$145)</f>
        <v>1382402.9512128001</v>
      </c>
      <c r="C66" s="25">
        <f>SUM(Náklady!$F$181:$F$183,Náklady!$F$191,Náklady!$F$193:$F$194,Náklady!$F$196:$F$197,Náklady!$F$199)</f>
        <v>6712003.4740320006</v>
      </c>
      <c r="D66" s="25">
        <f>SUM(Náklady!$F$154:$F$156,Náklady!$F$164,Náklady!$F$166:$F$167,Náklady!$F$169:$F$170,Náklady!$F$172)</f>
        <v>3056782.6312127998</v>
      </c>
      <c r="E66" s="25">
        <f>SUM(Náklady!$F$208:$F$210,Náklady!$F$218,Náklady!$F$220:$F$221,Náklady!$F$223:$F$224,Náklady!$F$226)</f>
        <v>7632984.7265400002</v>
      </c>
      <c r="F66" s="35">
        <f>SUM(Náklady!$F$5,Náklady!$F$7:$F$8,Náklady!$F$10)</f>
        <v>39379671.204507999</v>
      </c>
      <c r="H66" s="5" t="s">
        <v>45</v>
      </c>
      <c r="I66" s="25">
        <f>Prínosy!$E$22</f>
        <v>0</v>
      </c>
      <c r="J66" s="25">
        <f>Prínosy!$E$40</f>
        <v>0</v>
      </c>
      <c r="K66" s="25">
        <f>Prínosy!$E$31</f>
        <v>0</v>
      </c>
      <c r="L66" s="25">
        <f>Prínosy!$E$49</f>
        <v>0</v>
      </c>
      <c r="M66" s="35">
        <f>Prínosy!$E$13</f>
        <v>0</v>
      </c>
    </row>
    <row r="67" spans="1:13">
      <c r="A67" s="5" t="s">
        <v>46</v>
      </c>
      <c r="B67" s="25">
        <f>SUM(Náklady!$G$127:$G$129,Náklady!$G$137,Náklady!$G$139:$G$140,Náklady!$G$142:$G$143,Náklady!$G$145)</f>
        <v>2951092.5325011844</v>
      </c>
      <c r="C67" s="25">
        <f>SUM(Náklady!$G$181:$G$183,Náklady!$G$191,Náklady!$G$193:$G$194,Náklady!$G$196:$G$197,Náklady!$G$199)</f>
        <v>13018255.909462921</v>
      </c>
      <c r="D67" s="25">
        <f>SUM(Náklady!$G$154:$G$156,Náklady!$G$164,Náklady!$G$166:$G$167,Náklady!$G$169:$G$170,Náklady!$G$172)</f>
        <v>4695046.5512759034</v>
      </c>
      <c r="E67" s="25">
        <f>SUM(Náklady!$G$208:$G$210,Náklady!$G$218,Náklady!$G$220:$G$221,Náklady!$G$223:$G$224,Náklady!$G$226)</f>
        <v>15270627.913848862</v>
      </c>
      <c r="F67" s="35">
        <f>SUM(Náklady!$G$5,Náklady!$G$7:$G$8,Náklady!$G$10)</f>
        <v>49129245.340643242</v>
      </c>
      <c r="H67" s="5" t="s">
        <v>46</v>
      </c>
      <c r="I67" s="25">
        <f>Prínosy!$F$22</f>
        <v>0</v>
      </c>
      <c r="J67" s="25">
        <f>Prínosy!$F$40</f>
        <v>0</v>
      </c>
      <c r="K67" s="25">
        <f>Prínosy!$F$31</f>
        <v>0</v>
      </c>
      <c r="L67" s="25">
        <f>Prínosy!$F$49</f>
        <v>0</v>
      </c>
      <c r="M67" s="35">
        <f>Prínosy!$F$13</f>
        <v>0</v>
      </c>
    </row>
    <row r="68" spans="1:13">
      <c r="A68" s="5" t="s">
        <v>47</v>
      </c>
      <c r="B68" s="25">
        <f>SUM(Náklady!$H$127:$H$129,Náklady!$H$137,Náklady!$H$139:$H$140,Náklady!$H$142:$H$143,Náklady!$H$145)</f>
        <v>2966046.7088520597</v>
      </c>
      <c r="C68" s="25">
        <f>SUM(Náklady!$H$181:$H$183,Náklady!$H$191,Náklady!$H$193:$H$194,Náklady!$H$196:$H$197,Náklady!$H$199)</f>
        <v>13064987.710559407</v>
      </c>
      <c r="D68" s="25">
        <f>SUM(Náklady!$H$154:$H$156,Náklady!$H$164,Náklady!$H$166:$H$167,Náklady!$H$169:$H$170,Náklady!$H$172)</f>
        <v>4710000.7276267791</v>
      </c>
      <c r="E68" s="25">
        <f>SUM(Náklady!$H$208:$H$210,Náklady!$H$218,Náklady!$H$220:$H$221,Náklady!$H$223:$H$224,Náklady!$H$226)</f>
        <v>15322967.531076927</v>
      </c>
      <c r="F68" s="35">
        <f>SUM(Náklady!$H$5,Náklady!$H$7:$H$8,Náklady!$H$10)</f>
        <v>49138591.700862534</v>
      </c>
      <c r="H68" s="5" t="s">
        <v>47</v>
      </c>
      <c r="I68" s="25">
        <f>Prínosy!$G$22</f>
        <v>0</v>
      </c>
      <c r="J68" s="25">
        <f>Prínosy!$G$40</f>
        <v>0</v>
      </c>
      <c r="K68" s="25">
        <f>Prínosy!$G$31</f>
        <v>0</v>
      </c>
      <c r="L68" s="25">
        <f>Prínosy!$G$49</f>
        <v>0</v>
      </c>
      <c r="M68" s="35">
        <f>Prínosy!$G$13</f>
        <v>0</v>
      </c>
    </row>
    <row r="69" spans="1:13">
      <c r="A69" s="5" t="s">
        <v>48</v>
      </c>
      <c r="B69" s="25">
        <f>SUM(Náklady!$I$127:$I$129,Náklady!$I$137,Náklady!$I$139:$I$140,Náklady!$I$142:$I$143,Náklady!$I$145)</f>
        <v>2981449.5104934615</v>
      </c>
      <c r="C69" s="25">
        <f>SUM(Náklady!$I$181:$I$183,Náklady!$I$191,Náklady!$I$193:$I$194,Náklady!$I$196:$I$197,Náklady!$I$199)</f>
        <v>13113121.465688787</v>
      </c>
      <c r="D69" s="25">
        <f>SUM(Náklady!$I$154:$I$156,Náklady!$I$164,Náklady!$I$166:$I$167,Náklady!$I$169:$I$170,Náklady!$I$172)</f>
        <v>4725403.529268181</v>
      </c>
      <c r="E69" s="25">
        <f>SUM(Náklady!$I$208:$I$210,Náklady!$I$218,Náklady!$I$220:$I$221,Náklady!$I$223:$I$224,Náklady!$I$226)</f>
        <v>15376877.336821832</v>
      </c>
      <c r="F69" s="35">
        <f>SUM(Náklady!$I$5,Náklady!$I$7:$I$8,Náklady!$I$10)</f>
        <v>49148218.451888412</v>
      </c>
      <c r="H69" s="5" t="s">
        <v>48</v>
      </c>
      <c r="I69" s="25">
        <f>Prínosy!$H$22</f>
        <v>1309089.6000000001</v>
      </c>
      <c r="J69" s="25">
        <f>Prínosy!$H$40</f>
        <v>6449558.6413439987</v>
      </c>
      <c r="K69" s="25">
        <f>Prínosy!$H$31</f>
        <v>4907417.9289407991</v>
      </c>
      <c r="L69" s="25">
        <f>Prínosy!$H$49</f>
        <v>4907417.9289407991</v>
      </c>
      <c r="M69" s="35">
        <f>Prínosy!$H$13</f>
        <v>68775688.800000012</v>
      </c>
    </row>
    <row r="70" spans="1:13">
      <c r="A70" s="5" t="s">
        <v>49</v>
      </c>
      <c r="B70" s="25">
        <f>SUM(Náklady!$J$127:$J$129,Náklady!$J$137,Náklady!$J$139:$J$140,Náklady!$J$142:$J$143,Náklady!$J$145)</f>
        <v>2997314.3961841054</v>
      </c>
      <c r="C70" s="25">
        <f>SUM(Náklady!$J$181:$J$183,Náklady!$J$191,Náklady!$J$193:$J$194,Náklady!$J$196:$J$197,Náklady!$J$199)</f>
        <v>13354939.233472049</v>
      </c>
      <c r="D70" s="25">
        <f>SUM(Náklady!$J$154:$J$156,Náklady!$J$164,Náklady!$J$166:$J$167,Náklady!$J$169:$J$170,Náklady!$J$172)</f>
        <v>4854884.4149588244</v>
      </c>
      <c r="E70" s="25">
        <f>SUM(Náklady!$J$208:$J$210,Náklady!$J$218,Náklady!$J$220:$J$221,Náklady!$J$223:$J$224,Náklady!$J$226)</f>
        <v>15546020.436739087</v>
      </c>
      <c r="F70" s="35">
        <f>SUM(Náklady!$J$5,Náklady!$J$7:$J$8,Náklady!$J$10)</f>
        <v>49158134.005445063</v>
      </c>
      <c r="H70" s="5" t="s">
        <v>49</v>
      </c>
      <c r="I70" s="25">
        <f>Prínosy!$I$22</f>
        <v>30349656.923040003</v>
      </c>
      <c r="J70" s="25">
        <f>Prínosy!$I$40</f>
        <v>110297478.06604798</v>
      </c>
      <c r="K70" s="25">
        <f>Prínosy!$I$31</f>
        <v>35517181.0646016</v>
      </c>
      <c r="L70" s="25">
        <f>Prínosy!$I$49</f>
        <v>112624216.68476163</v>
      </c>
      <c r="M70" s="35">
        <f>Prínosy!$I$13</f>
        <v>137551377.60000002</v>
      </c>
    </row>
    <row r="71" spans="1:13">
      <c r="A71" s="5" t="s">
        <v>50</v>
      </c>
      <c r="B71" s="25">
        <f>SUM(Náklady!$K$127:$K$129,Náklady!$K$137,Náklady!$K$139:$K$140,Náklady!$K$142:$K$143,Náklady!$K$145)</f>
        <v>3855155.2284454685</v>
      </c>
      <c r="C71" s="25">
        <f>SUM(Náklady!$K$181:$K$183,Náklady!$K$191,Náklady!$K$193:$K$194,Náklady!$K$196:$K$197,Náklady!$K$199)</f>
        <v>15085764.334288809</v>
      </c>
      <c r="D71" s="25">
        <f>SUM(Náklady!$K$154:$K$156,Náklady!$K$164,Náklady!$K$166:$K$167,Náklady!$K$169:$K$170,Náklady!$K$172)</f>
        <v>5045609.2472201884</v>
      </c>
      <c r="E71" s="25">
        <f>SUM(Náklady!$K$208:$K$210,Náklady!$K$218,Náklady!$K$220:$K$221,Náklady!$K$223:$K$224,Náklady!$K$226)</f>
        <v>16641597.349653857</v>
      </c>
      <c r="F71" s="35">
        <f>SUM(Náklady!$K$5,Náklady!$K$7:$K$8,Náklady!$K$10)</f>
        <v>49168347.02560842</v>
      </c>
      <c r="H71" s="5" t="s">
        <v>50</v>
      </c>
      <c r="I71" s="25">
        <f>Prínosy!$J$22</f>
        <v>59390224.246080011</v>
      </c>
      <c r="J71" s="25">
        <f>Prínosy!$J$40</f>
        <v>214145397.49075201</v>
      </c>
      <c r="K71" s="25">
        <f>Prínosy!$J$31</f>
        <v>66126944.200262405</v>
      </c>
      <c r="L71" s="25">
        <f>Prínosy!$J$49</f>
        <v>220341015.44058245</v>
      </c>
      <c r="M71" s="35">
        <f>Prínosy!$J$13</f>
        <v>206327066.40000001</v>
      </c>
    </row>
    <row r="72" spans="1:13">
      <c r="A72" s="5" t="s">
        <v>51</v>
      </c>
      <c r="B72" s="25">
        <f>SUM(Náklady!$L$127:$L$129,Náklady!$L$137,Náklady!$L$139:$L$140,Náklady!$L$142:$L$143,Náklady!$L$145)</f>
        <v>3871986.2856746726</v>
      </c>
      <c r="C72" s="25">
        <f>SUM(Náklady!$L$181:$L$183,Náklady!$L$191,Náklady!$L$193:$L$194,Náklady!$L$196:$L$197,Náklady!$L$199)</f>
        <v>15138361.388130073</v>
      </c>
      <c r="D72" s="25">
        <f>SUM(Náklady!$L$154:$L$156,Náklady!$L$164,Náklady!$L$166:$L$167,Náklady!$L$169:$L$170,Náklady!$L$172)</f>
        <v>5062440.3044493925</v>
      </c>
      <c r="E72" s="25">
        <f>SUM(Náklady!$L$208:$L$210,Náklady!$L$218,Náklady!$L$220:$L$221,Náklady!$L$223:$L$224,Náklady!$L$226)</f>
        <v>16700506.049956072</v>
      </c>
      <c r="F72" s="35">
        <f>SUM(Náklady!$L$5,Náklady!$L$7:$L$8,Náklady!$L$10)</f>
        <v>49178866.436376669</v>
      </c>
      <c r="H72" s="5" t="s">
        <v>51</v>
      </c>
      <c r="I72" s="25">
        <f>Prínosy!$K$22</f>
        <v>88430791.569120005</v>
      </c>
      <c r="J72" s="25">
        <f>Prínosy!$K$40</f>
        <v>317993316.91545594</v>
      </c>
      <c r="K72" s="25">
        <f>Prínosy!$K$31</f>
        <v>96736707.335923195</v>
      </c>
      <c r="L72" s="25">
        <f>Prínosy!$K$49</f>
        <v>328057814.19640326</v>
      </c>
      <c r="M72" s="35">
        <f>Prínosy!$K$13</f>
        <v>275102755.20000005</v>
      </c>
    </row>
    <row r="73" spans="1:13">
      <c r="A73" s="164" t="s">
        <v>11</v>
      </c>
      <c r="B73" s="165">
        <f>SUM(B63:B72)</f>
        <v>22355271.987123754</v>
      </c>
      <c r="C73" s="165">
        <f t="shared" ref="C73" si="20">SUM(C63:C72)</f>
        <v>93362436.902434051</v>
      </c>
      <c r="D73" s="165">
        <f t="shared" ref="D73" si="21">SUM(D63:D72)</f>
        <v>34873204.483772062</v>
      </c>
      <c r="E73" s="165">
        <f t="shared" ref="E73" si="22">SUM(E63:E72)</f>
        <v>106363509.17943662</v>
      </c>
      <c r="F73" s="167">
        <f t="shared" ref="F73" si="23">SUM(F63:F72)</f>
        <v>379477008.44893241</v>
      </c>
      <c r="H73" s="164" t="s">
        <v>11</v>
      </c>
      <c r="I73" s="165">
        <f>SUM(I63:I72)</f>
        <v>179479762.33824003</v>
      </c>
      <c r="J73" s="165">
        <f t="shared" ref="J73:M73" si="24">SUM(J63:J72)</f>
        <v>648885751.1135999</v>
      </c>
      <c r="K73" s="165">
        <f t="shared" si="24"/>
        <v>203288250.529728</v>
      </c>
      <c r="L73" s="165">
        <f t="shared" si="24"/>
        <v>665930464.25068808</v>
      </c>
      <c r="M73" s="167">
        <f t="shared" si="24"/>
        <v>687756888.00000012</v>
      </c>
    </row>
    <row r="75" spans="1:13">
      <c r="A75" s="1" t="s">
        <v>78</v>
      </c>
      <c r="B75" s="2"/>
      <c r="C75" s="125"/>
      <c r="D75" s="125"/>
      <c r="E75" s="125"/>
      <c r="F75" s="166"/>
      <c r="H75" s="1" t="s">
        <v>79</v>
      </c>
      <c r="I75" s="2"/>
      <c r="J75" s="125"/>
      <c r="K75" s="125"/>
      <c r="L75" s="125"/>
      <c r="M75" s="166"/>
    </row>
    <row r="76" spans="1:13">
      <c r="A76" s="190" t="s">
        <v>27</v>
      </c>
      <c r="B76" s="4" t="s">
        <v>64</v>
      </c>
      <c r="C76" s="4" t="s">
        <v>65</v>
      </c>
      <c r="D76" s="4" t="s">
        <v>66</v>
      </c>
      <c r="E76" s="4" t="s">
        <v>67</v>
      </c>
      <c r="F76" s="28" t="s">
        <v>39</v>
      </c>
      <c r="H76" s="190" t="s">
        <v>27</v>
      </c>
      <c r="I76" s="4" t="s">
        <v>64</v>
      </c>
      <c r="J76" s="4" t="s">
        <v>65</v>
      </c>
      <c r="K76" s="4" t="s">
        <v>66</v>
      </c>
      <c r="L76" s="4" t="s">
        <v>67</v>
      </c>
      <c r="M76" s="28" t="s">
        <v>39</v>
      </c>
    </row>
    <row r="77" spans="1:13">
      <c r="A77" s="5" t="s">
        <v>42</v>
      </c>
      <c r="B77" s="25">
        <f>SUM(Náklady!$C$19:$C$21,Náklady!$C$24,Náklady!$C$29,Náklady!$C$34:$C$35,Náklady!$C$37)</f>
        <v>267351.60000000003</v>
      </c>
      <c r="C77" s="25">
        <f>SUM(Náklady!$C$73:$C$75,Náklady!$C$78,Náklady!$C$83,Náklady!$C$88:$C$89,Náklady!$C$91)</f>
        <v>378073.20000000007</v>
      </c>
      <c r="D77" s="25">
        <f>SUM(Náklady!$C$46:$C$48,Náklady!$C$51,Náklady!$C$56,Náklady!$C$61:$C$62,Náklady!$C$64)</f>
        <v>267351.60000000003</v>
      </c>
      <c r="E77" s="25">
        <f>SUM(Náklady!$C$100:$C$102,Náklady!$C$105,Náklady!$C$110,Náklady!$C$115:$C$116,Náklady!$C$118)</f>
        <v>378073.20000000007</v>
      </c>
      <c r="F77" s="35">
        <f>SUM(Náklady!$C$5,Náklady!$C$7:$C$8,Náklady!$C$10)</f>
        <v>378073.20000000007</v>
      </c>
      <c r="H77" s="5" t="s">
        <v>42</v>
      </c>
      <c r="I77" s="25">
        <f>Prínosy!$B$25</f>
        <v>0</v>
      </c>
      <c r="J77" s="25">
        <f>Prínosy!$B$43</f>
        <v>0</v>
      </c>
      <c r="K77" s="25">
        <f>Prínosy!$B$34</f>
        <v>0</v>
      </c>
      <c r="L77" s="25">
        <f>Prínosy!$B$52</f>
        <v>0</v>
      </c>
      <c r="M77" s="35">
        <f>Prínosy!$B$16</f>
        <v>0</v>
      </c>
    </row>
    <row r="78" spans="1:13">
      <c r="A78" s="5" t="s">
        <v>43</v>
      </c>
      <c r="B78" s="25">
        <f>SUM(Náklady!$D$19:$D$21,Náklady!$D$24,Náklady!$D$29,Náklady!$D$34:$D$35,Náklady!$D$37)</f>
        <v>727814.59200000006</v>
      </c>
      <c r="C78" s="25">
        <f>SUM(Náklady!$D$73:$D$75,Náklady!$D$78,Náklady!$D$83,Náklady!$D$88:$D$89,Náklady!$D$91)</f>
        <v>841857.84000000008</v>
      </c>
      <c r="D78" s="25">
        <f>SUM(Náklady!$D$46:$D$48,Náklady!$D$51,Náklady!$D$56,Náklady!$D$61:$D$62,Náklady!$D$64)</f>
        <v>727814.59200000006</v>
      </c>
      <c r="E78" s="25">
        <f>SUM(Náklady!$D$100:$D$102,Náklady!$D$105,Náklady!$D$110,Náklady!$D$115:$D$116,Náklady!$D$118)</f>
        <v>841857.84000000008</v>
      </c>
      <c r="F78" s="35">
        <f>SUM(Náklady!$D$5,Náklady!$D$7:$D$8,Náklady!$D$10)</f>
        <v>15167499.719999999</v>
      </c>
      <c r="H78" s="5" t="s">
        <v>43</v>
      </c>
      <c r="I78" s="25">
        <f>Prínosy!$C$25</f>
        <v>0</v>
      </c>
      <c r="J78" s="25">
        <f>Prínosy!$C$43</f>
        <v>0</v>
      </c>
      <c r="K78" s="25">
        <f>Prínosy!$C$34</f>
        <v>0</v>
      </c>
      <c r="L78" s="25">
        <f>Prínosy!$C$52</f>
        <v>0</v>
      </c>
      <c r="M78" s="35">
        <f>Prínosy!$C$16</f>
        <v>0</v>
      </c>
    </row>
    <row r="79" spans="1:13">
      <c r="A79" s="5" t="s">
        <v>44</v>
      </c>
      <c r="B79" s="25">
        <f>SUM(Náklady!$E$19:$E$21,Náklady!$E$24,Náklady!$E$29,Náklady!$E$34:$E$35,Náklady!$E$37)</f>
        <v>598858.18176000006</v>
      </c>
      <c r="C79" s="25">
        <f>SUM(Náklady!$E$73:$E$75,Náklady!$E$78,Náklady!$E$83,Náklady!$E$88:$E$89,Náklady!$E$91)</f>
        <v>1764072.3468000002</v>
      </c>
      <c r="D79" s="25">
        <f>SUM(Náklady!$E$46:$E$48,Náklady!$E$51,Náklady!$E$56,Náklady!$E$61:$E$62,Náklady!$E$64)</f>
        <v>1349870.88576</v>
      </c>
      <c r="E79" s="25">
        <f>SUM(Náklady!$E$100:$E$102,Náklady!$E$105,Náklady!$E$110,Náklady!$E$115:$E$116,Náklady!$E$118)</f>
        <v>1760996.7948</v>
      </c>
      <c r="F79" s="35">
        <f>SUM(Náklady!$E$5,Náklady!$E$7:$E$8,Náklady!$E$10)</f>
        <v>29630361.363600001</v>
      </c>
      <c r="H79" s="5" t="s">
        <v>44</v>
      </c>
      <c r="I79" s="25">
        <f>Prínosy!$D$25</f>
        <v>0</v>
      </c>
      <c r="J79" s="25">
        <f>Prínosy!$D$43</f>
        <v>0</v>
      </c>
      <c r="K79" s="25">
        <f>Prínosy!$D$34</f>
        <v>0</v>
      </c>
      <c r="L79" s="25">
        <f>Prínosy!$D$52</f>
        <v>0</v>
      </c>
      <c r="M79" s="35">
        <f>Prínosy!$D$16</f>
        <v>0</v>
      </c>
    </row>
    <row r="80" spans="1:13">
      <c r="A80" s="5" t="s">
        <v>45</v>
      </c>
      <c r="B80" s="25">
        <f>SUM(Náklady!$F$19:$F$21,Náklady!$F$24,Náklady!$F$29,Náklady!$F$34:$F$35,Náklady!$F$37)</f>
        <v>3562298.9512128001</v>
      </c>
      <c r="C80" s="25">
        <f>SUM(Náklady!$F$73:$F$75,Náklady!$F$78,Náklady!$F$83,Náklady!$F$88:$F$89,Náklady!$F$91)</f>
        <v>9764090.674031999</v>
      </c>
      <c r="D80" s="25">
        <f>SUM(Náklady!$F$46:$F$48,Náklady!$F$51,Náklady!$F$56,Náklady!$F$61:$F$62,Náklady!$F$64)</f>
        <v>4715878.6312127998</v>
      </c>
      <c r="E80" s="25">
        <f>SUM(Náklady!$F$100:$F$102,Náklady!$F$105,Náklady!$F$110,Náklady!$F$115:$F$116,Náklady!$F$118)</f>
        <v>10685071.926539999</v>
      </c>
      <c r="F80" s="35">
        <f>SUM(Náklady!$F$5,Náklady!$F$7:$F$8,Náklady!$F$10)</f>
        <v>39379671.204507999</v>
      </c>
      <c r="H80" s="5" t="s">
        <v>45</v>
      </c>
      <c r="I80" s="25">
        <f>Prínosy!$E$25</f>
        <v>0</v>
      </c>
      <c r="J80" s="25">
        <f>Prínosy!$E$43</f>
        <v>0</v>
      </c>
      <c r="K80" s="25">
        <f>Prínosy!$E$34</f>
        <v>0</v>
      </c>
      <c r="L80" s="25">
        <f>Prínosy!$E$52</f>
        <v>0</v>
      </c>
      <c r="M80" s="35">
        <f>Prínosy!$E$16</f>
        <v>0</v>
      </c>
    </row>
    <row r="81" spans="1:13">
      <c r="A81" s="5" t="s">
        <v>46</v>
      </c>
      <c r="B81" s="25">
        <f>SUM(Náklady!$G$19:$G$21,Náklady!$G$24,Náklady!$G$29,Náklady!$G$34:$G$35,Náklady!$G$37)</f>
        <v>7130311.6170291845</v>
      </c>
      <c r="C81" s="25">
        <f>SUM(Náklady!$G$73:$G$75,Náklady!$G$78,Náklady!$G$83,Náklady!$G$88:$G$89,Náklady!$G$91)</f>
        <v>20201512.3032162</v>
      </c>
      <c r="D81" s="25">
        <f>SUM(Náklady!$G$46:$G$48,Náklady!$G$51,Náklady!$G$56,Náklady!$G$61:$G$62,Náklady!$G$64)</f>
        <v>8579320.5450291838</v>
      </c>
      <c r="E81" s="25">
        <f>SUM(Náklady!$G$100:$G$102,Náklady!$G$105,Náklady!$G$110,Náklady!$G$115:$G$116,Náklady!$G$118)</f>
        <v>22453884.307602145</v>
      </c>
      <c r="F81" s="35">
        <f>SUM(Náklady!$G$5,Náklady!$G$7:$G$8,Náklady!$G$10)</f>
        <v>49129245.340643242</v>
      </c>
      <c r="H81" s="5" t="s">
        <v>46</v>
      </c>
      <c r="I81" s="25">
        <f>Prínosy!$F$25</f>
        <v>0</v>
      </c>
      <c r="J81" s="25">
        <f>Prínosy!$F$43</f>
        <v>0</v>
      </c>
      <c r="K81" s="25">
        <f>Prínosy!$F$34</f>
        <v>0</v>
      </c>
      <c r="L81" s="25">
        <f>Prínosy!$F$52</f>
        <v>0</v>
      </c>
      <c r="M81" s="35">
        <f>Prínosy!$F$16</f>
        <v>0</v>
      </c>
    </row>
    <row r="82" spans="1:13">
      <c r="A82" s="5" t="s">
        <v>47</v>
      </c>
      <c r="B82" s="25">
        <f>SUM(Náklady!$H$19:$H$21,Náklady!$H$24,Náklady!$H$29,Náklady!$H$34:$H$35,Náklady!$H$37)</f>
        <v>7145265.7933800602</v>
      </c>
      <c r="C82" s="25">
        <f>SUM(Náklady!$H$73:$H$75,Náklady!$H$78,Náklady!$H$83,Náklady!$H$88:$H$89,Náklady!$H$91)</f>
        <v>20248244.104312688</v>
      </c>
      <c r="D82" s="25">
        <f>SUM(Náklady!$H$46:$H$48,Náklady!$H$51,Náklady!$H$56,Náklady!$H$61:$H$62,Náklady!$H$64)</f>
        <v>8594274.7213800587</v>
      </c>
      <c r="E82" s="25">
        <f>SUM(Náklady!$H$100:$H$102,Náklady!$H$105,Náklady!$H$110,Náklady!$H$115:$H$116,Náklady!$H$118)</f>
        <v>22506223.924830206</v>
      </c>
      <c r="F82" s="35">
        <f>SUM(Náklady!$H$5,Náklady!$H$7:$H$8,Náklady!$H$10)</f>
        <v>49138591.700862534</v>
      </c>
      <c r="H82" s="5" t="s">
        <v>47</v>
      </c>
      <c r="I82" s="25">
        <f>Prínosy!$G$25</f>
        <v>872726.4</v>
      </c>
      <c r="J82" s="25">
        <f>Prínosy!$G$43</f>
        <v>4299705.7608960001</v>
      </c>
      <c r="K82" s="25">
        <f>Prínosy!$G$34</f>
        <v>3271611.9526271997</v>
      </c>
      <c r="L82" s="25">
        <f>Prínosy!$G$52</f>
        <v>3271611.9526271997</v>
      </c>
      <c r="M82" s="35">
        <f>Prínosy!$G$16</f>
        <v>36854912.640000001</v>
      </c>
    </row>
    <row r="83" spans="1:13">
      <c r="A83" s="5" t="s">
        <v>48</v>
      </c>
      <c r="B83" s="25">
        <f>SUM(Náklady!$I$19:$I$21,Náklady!$I$24,Náklady!$I$29,Náklady!$I$34:$I$35,Náklady!$I$37)</f>
        <v>7160668.5950214621</v>
      </c>
      <c r="C83" s="25">
        <f>SUM(Náklady!$I$73:$I$75,Náklady!$I$78,Náklady!$I$83,Náklady!$I$88:$I$89,Náklady!$I$91)</f>
        <v>20296377.85944207</v>
      </c>
      <c r="D83" s="25">
        <f>SUM(Náklady!$I$46:$I$48,Náklady!$I$51,Náklady!$I$56,Náklady!$I$61:$I$62,Náklady!$I$64)</f>
        <v>8609677.5230214614</v>
      </c>
      <c r="E83" s="25">
        <f>SUM(Náklady!$I$100:$I$102,Náklady!$I$105,Náklady!$I$110,Náklady!$I$115:$I$116,Náklady!$I$118)</f>
        <v>22560133.730575114</v>
      </c>
      <c r="F83" s="35">
        <f>SUM(Náklady!$I$5,Náklady!$I$7:$I$8,Náklady!$I$10)</f>
        <v>49148218.451888412</v>
      </c>
      <c r="H83" s="5" t="s">
        <v>48</v>
      </c>
      <c r="I83" s="25">
        <f>Prínosy!$H$25</f>
        <v>2618179.2000000002</v>
      </c>
      <c r="J83" s="25">
        <f>Prínosy!$H$43</f>
        <v>12899117.282687999</v>
      </c>
      <c r="K83" s="25">
        <f>Prínosy!$H$34</f>
        <v>9814835.8578815982</v>
      </c>
      <c r="L83" s="25">
        <f>Prínosy!$H$52</f>
        <v>9814835.8578815982</v>
      </c>
      <c r="M83" s="35">
        <f>Prínosy!$H$16</f>
        <v>128555831.03999999</v>
      </c>
    </row>
    <row r="84" spans="1:13">
      <c r="A84" s="5" t="s">
        <v>49</v>
      </c>
      <c r="B84" s="25">
        <f>SUM(Náklady!$J$19:$J$21,Náklady!$J$24,Náklady!$J$29,Náklady!$J$34:$J$35,Náklady!$J$37)</f>
        <v>7176533.4807121055</v>
      </c>
      <c r="C84" s="25">
        <f>SUM(Náklady!$J$73:$J$75,Náklady!$J$78,Náklady!$J$83,Náklady!$J$88:$J$89,Náklady!$J$91)</f>
        <v>20345955.627225332</v>
      </c>
      <c r="D84" s="25">
        <f>SUM(Náklady!$J$46:$J$48,Náklady!$J$51,Náklady!$J$56,Náklady!$J$61:$J$62,Náklady!$J$64)</f>
        <v>8739158.4087121058</v>
      </c>
      <c r="E84" s="25">
        <f>SUM(Náklady!$J$100:$J$102,Náklady!$J$105,Náklady!$J$110,Náklady!$J$115:$J$116,Náklady!$J$118)</f>
        <v>22729276.830492366</v>
      </c>
      <c r="F84" s="35">
        <f>SUM(Náklady!$J$5,Náklady!$J$7:$J$8,Náklady!$J$10)</f>
        <v>49158134.005445063</v>
      </c>
      <c r="H84" s="5" t="s">
        <v>49</v>
      </c>
      <c r="I84" s="25">
        <f>Prínosy!$I$25</f>
        <v>60699313.846080005</v>
      </c>
      <c r="J84" s="25">
        <f>Prínosy!$I$43</f>
        <v>220594956.13209599</v>
      </c>
      <c r="K84" s="25">
        <f>Prínosy!$I$34</f>
        <v>71034362.1292032</v>
      </c>
      <c r="L84" s="25">
        <f>Prínosy!$I$52</f>
        <v>225248433.36952326</v>
      </c>
      <c r="M84" s="35">
        <f>Prínosy!$I$16</f>
        <v>266107208.64000002</v>
      </c>
    </row>
    <row r="85" spans="1:13">
      <c r="A85" s="5" t="s">
        <v>50</v>
      </c>
      <c r="B85" s="25">
        <f>SUM(Náklady!$K$19:$K$21,Náklady!$K$24,Náklady!$K$29,Náklady!$K$34:$K$35,Náklady!$K$37)</f>
        <v>8034374.3129734695</v>
      </c>
      <c r="C85" s="25">
        <f>SUM(Náklady!$K$73:$K$75,Náklady!$K$78,Náklady!$K$83,Náklady!$K$88:$K$89,Náklady!$K$91)</f>
        <v>20589260.728042088</v>
      </c>
      <c r="D85" s="25">
        <f>SUM(Náklady!$K$46:$K$48,Náklady!$K$51,Náklady!$K$56,Náklady!$K$61:$K$62,Náklady!$K$64)</f>
        <v>8929883.2409734689</v>
      </c>
      <c r="E85" s="25">
        <f>SUM(Náklady!$K$100:$K$102,Náklady!$K$105,Náklady!$K$110,Náklady!$K$115:$K$116,Náklady!$K$118)</f>
        <v>23824853.743407138</v>
      </c>
      <c r="F85" s="35">
        <f>SUM(Náklady!$K$5,Náklady!$K$7:$K$8,Náklady!$K$10)</f>
        <v>49168347.02560842</v>
      </c>
      <c r="H85" s="5" t="s">
        <v>50</v>
      </c>
      <c r="I85" s="25">
        <f>Prínosy!$J$25</f>
        <v>138140826.70752001</v>
      </c>
      <c r="J85" s="25">
        <f>Prínosy!$J$43</f>
        <v>497522741.26463997</v>
      </c>
      <c r="K85" s="25">
        <f>Prínosy!$J$34</f>
        <v>152660397.15763202</v>
      </c>
      <c r="L85" s="25">
        <f>Prínosy!$J$52</f>
        <v>512493230.0517121</v>
      </c>
      <c r="M85" s="35">
        <f>Prínosy!$J$16</f>
        <v>449509045.44000006</v>
      </c>
    </row>
    <row r="86" spans="1:13">
      <c r="A86" s="5" t="s">
        <v>51</v>
      </c>
      <c r="B86" s="25">
        <f>SUM(Náklady!$L$19:$L$21,Náklady!$L$24,Náklady!$L$29,Náklady!$L$34:$L$35,Náklady!$L$37)</f>
        <v>8051205.3702026736</v>
      </c>
      <c r="C86" s="25">
        <f>SUM(Náklady!$L$73:$L$75,Náklady!$L$78,Náklady!$L$83,Náklady!$L$88:$L$89,Náklady!$L$91)</f>
        <v>22321617.781883352</v>
      </c>
      <c r="D86" s="25">
        <f>SUM(Náklady!$L$46:$L$48,Náklady!$L$51,Náklady!$L$56,Náklady!$L$61:$L$62,Náklady!$L$64)</f>
        <v>8946714.298202673</v>
      </c>
      <c r="E86" s="25">
        <f>SUM(Náklady!$L$100:$L$102,Náklady!$L$105,Náklady!$L$110,Náklady!$L$115:$L$116,Náklady!$L$118)</f>
        <v>23883762.443709351</v>
      </c>
      <c r="F86" s="35">
        <f>SUM(Náklady!$L$5,Náklady!$L$7:$L$8,Náklady!$L$10)</f>
        <v>49178866.436376669</v>
      </c>
      <c r="H86" s="5" t="s">
        <v>51</v>
      </c>
      <c r="I86" s="25">
        <f>Prínosy!$K$25</f>
        <v>254303095.99968001</v>
      </c>
      <c r="J86" s="25">
        <f>Prínosy!$K$43</f>
        <v>912914418.96345592</v>
      </c>
      <c r="K86" s="25">
        <f>Prínosy!$K$34</f>
        <v>275099449.70027524</v>
      </c>
      <c r="L86" s="25">
        <f>Prínosy!$K$52</f>
        <v>943360425.0749954</v>
      </c>
      <c r="M86" s="35">
        <f>Prínosy!$K$16</f>
        <v>724611800.63999999</v>
      </c>
    </row>
    <row r="87" spans="1:13">
      <c r="A87" s="164" t="s">
        <v>11</v>
      </c>
      <c r="B87" s="165">
        <f>SUM(B77:B86)</f>
        <v>49854682.49429176</v>
      </c>
      <c r="C87" s="165">
        <f t="shared" ref="C87" si="25">SUM(C77:C86)</f>
        <v>136751062.46495375</v>
      </c>
      <c r="D87" s="165">
        <f t="shared" ref="D87" si="26">SUM(D77:D86)</f>
        <v>59459944.446291752</v>
      </c>
      <c r="E87" s="165">
        <f t="shared" ref="E87" si="27">SUM(E77:E86)</f>
        <v>151624134.74195632</v>
      </c>
      <c r="F87" s="167">
        <f t="shared" ref="F87" si="28">SUM(F77:F86)</f>
        <v>379477008.44893241</v>
      </c>
      <c r="H87" s="164" t="s">
        <v>11</v>
      </c>
      <c r="I87" s="165">
        <f>SUM(I77:I86)</f>
        <v>456634142.15328002</v>
      </c>
      <c r="J87" s="165">
        <f t="shared" ref="J87:M87" si="29">SUM(J77:J86)</f>
        <v>1648230939.4037759</v>
      </c>
      <c r="K87" s="165">
        <f t="shared" si="29"/>
        <v>511880656.79761928</v>
      </c>
      <c r="L87" s="165">
        <f t="shared" si="29"/>
        <v>1694188536.3067396</v>
      </c>
      <c r="M87" s="167">
        <f t="shared" si="29"/>
        <v>1605638798.4000001</v>
      </c>
    </row>
    <row r="89" spans="1:13">
      <c r="A89" s="171" t="s">
        <v>80</v>
      </c>
      <c r="B89" s="171"/>
      <c r="C89" s="171"/>
      <c r="D89" s="171"/>
      <c r="E89" s="171"/>
      <c r="F89" s="171"/>
    </row>
    <row r="91" spans="1:13">
      <c r="A91" s="1" t="s">
        <v>80</v>
      </c>
      <c r="B91" s="2"/>
      <c r="C91" s="125"/>
      <c r="D91" s="125"/>
      <c r="E91" s="125"/>
      <c r="F91" s="166"/>
    </row>
    <row r="92" spans="1:13">
      <c r="A92" s="190" t="s">
        <v>27</v>
      </c>
      <c r="B92" s="4" t="s">
        <v>64</v>
      </c>
      <c r="C92" s="4" t="s">
        <v>65</v>
      </c>
      <c r="D92" s="4" t="s">
        <v>66</v>
      </c>
      <c r="E92" s="4" t="s">
        <v>67</v>
      </c>
      <c r="F92" s="28" t="s">
        <v>39</v>
      </c>
    </row>
    <row r="93" spans="1:13">
      <c r="A93" s="5" t="s">
        <v>42</v>
      </c>
      <c r="B93" s="25">
        <f>Náklady!$C$146+Náklady!$C$144</f>
        <v>0</v>
      </c>
      <c r="C93" s="25">
        <f>Náklady!$C$198+Náklady!$C$201</f>
        <v>0</v>
      </c>
      <c r="D93" s="25">
        <f>Náklady!$C$171+Náklady!$C$174</f>
        <v>0</v>
      </c>
      <c r="E93" s="25">
        <f>Náklady!$C$225+Náklady!$C$228</f>
        <v>0</v>
      </c>
      <c r="F93" s="35">
        <f>Náklady!$C$9+Náklady!$C$12</f>
        <v>0</v>
      </c>
    </row>
    <row r="94" spans="1:13">
      <c r="A94" s="5" t="s">
        <v>43</v>
      </c>
      <c r="B94" s="25">
        <f>Náklady!$D$146+Náklady!$D$144</f>
        <v>823216.24000000011</v>
      </c>
      <c r="C94" s="25">
        <f>Náklady!$D$198+Náklady!$D$201</f>
        <v>1108324.3600000001</v>
      </c>
      <c r="D94" s="25">
        <f>Náklady!$D$171+Náklady!$D$174</f>
        <v>823216.24000000011</v>
      </c>
      <c r="E94" s="25">
        <f>Náklady!$D$225+Náklady!$D$228</f>
        <v>1108324.3600000001</v>
      </c>
      <c r="F94" s="35">
        <f>Náklady!$D$9+Náklady!$D$12</f>
        <v>1108324.3600000001</v>
      </c>
    </row>
    <row r="95" spans="1:13">
      <c r="A95" s="5" t="s">
        <v>44</v>
      </c>
      <c r="B95" s="25">
        <f>Náklady!$E$146+Náklady!$E$144</f>
        <v>1042322.7272</v>
      </c>
      <c r="C95" s="25">
        <f>Náklady!$E$198+Náklady!$E$201</f>
        <v>1923306.8180000002</v>
      </c>
      <c r="D95" s="25">
        <f>Náklady!$E$171+Náklady!$E$174</f>
        <v>1042322.7272</v>
      </c>
      <c r="E95" s="25">
        <f>Náklady!$E$225+Náklady!$E$228</f>
        <v>1923306.8180000002</v>
      </c>
      <c r="F95" s="35">
        <f>Náklady!$E$9+Náklady!$E$12</f>
        <v>1923306.8180000002</v>
      </c>
    </row>
    <row r="96" spans="1:13">
      <c r="A96" s="5" t="s">
        <v>45</v>
      </c>
      <c r="B96" s="25">
        <f>Náklady!$F$146+Náklady!$F$144</f>
        <v>1354942.4090160001</v>
      </c>
      <c r="C96" s="25">
        <f>Náklady!$F$198+Náklady!$F$201</f>
        <v>3774712.0450800005</v>
      </c>
      <c r="D96" s="25">
        <f>Náklady!$F$171+Náklady!$F$174</f>
        <v>1354942.4090160001</v>
      </c>
      <c r="E96" s="25">
        <f>Náklady!$F$225+Náklady!$F$228</f>
        <v>4077183.2495880006</v>
      </c>
      <c r="F96" s="35">
        <f>Náklady!$F$9+Náklady!$F$12</f>
        <v>3774712.0450800005</v>
      </c>
    </row>
    <row r="97" spans="1:6">
      <c r="A97" s="5" t="s">
        <v>46</v>
      </c>
      <c r="B97" s="25">
        <f>Náklady!$G$146+Náklady!$G$144</f>
        <v>1613090.68128648</v>
      </c>
      <c r="C97" s="25">
        <f>Náklady!$G$198+Náklady!$G$201</f>
        <v>4105453.4064324009</v>
      </c>
      <c r="D97" s="25">
        <f>Náklady!$G$171+Náklady!$G$174</f>
        <v>1613090.68128648</v>
      </c>
      <c r="E97" s="25">
        <f>Náklady!$G$225+Náklady!$G$228</f>
        <v>4416998.7470756415</v>
      </c>
      <c r="F97" s="35">
        <f>Náklady!$G$9+Náklady!$G$12</f>
        <v>4105453.4064324009</v>
      </c>
    </row>
    <row r="98" spans="1:6">
      <c r="A98" s="5" t="s">
        <v>47</v>
      </c>
      <c r="B98" s="25">
        <f>Náklady!$H$146+Náklady!$H$144</f>
        <v>1631783.4017250745</v>
      </c>
      <c r="C98" s="25">
        <f>Náklady!$H$198+Náklady!$H$201</f>
        <v>4198917.0086253732</v>
      </c>
      <c r="D98" s="25">
        <f>Náklady!$H$171+Náklady!$H$174</f>
        <v>1631783.4017250745</v>
      </c>
      <c r="E98" s="25">
        <f>Náklady!$H$225+Náklady!$H$228</f>
        <v>4519808.7094879095</v>
      </c>
      <c r="F98" s="35">
        <f>Náklady!$H$9+Náklady!$H$12</f>
        <v>4198917.0086253732</v>
      </c>
    </row>
    <row r="99" spans="1:6">
      <c r="A99" s="5" t="s">
        <v>48</v>
      </c>
      <c r="B99" s="25">
        <f>Náklady!$I$146+Náklady!$I$144</f>
        <v>1651036.9037768268</v>
      </c>
      <c r="C99" s="25">
        <f>Náklady!$I$198+Náklady!$I$201</f>
        <v>4295184.5188841335</v>
      </c>
      <c r="D99" s="25">
        <f>Náklady!$I$171+Náklady!$I$174</f>
        <v>1651036.9037768268</v>
      </c>
      <c r="E99" s="25">
        <f>Náklady!$I$225+Náklady!$I$228</f>
        <v>4625702.9707725476</v>
      </c>
      <c r="F99" s="35">
        <f>Náklady!$I$9+Náklady!$I$12</f>
        <v>4295184.5188841335</v>
      </c>
    </row>
    <row r="100" spans="1:6">
      <c r="A100" s="5" t="s">
        <v>49</v>
      </c>
      <c r="B100" s="25">
        <f>Náklady!$J$146+Náklady!$J$144</f>
        <v>1670868.0108901316</v>
      </c>
      <c r="C100" s="25">
        <f>Náklady!$J$198+Náklady!$J$201</f>
        <v>4394340.0544506572</v>
      </c>
      <c r="D100" s="25">
        <f>Náklady!$J$171+Náklady!$J$174</f>
        <v>1670868.0108901316</v>
      </c>
      <c r="E100" s="25">
        <f>Náklady!$J$225+Náklady!$J$228</f>
        <v>4734774.0598957241</v>
      </c>
      <c r="F100" s="35">
        <f>Náklady!$J$9+Náklady!$J$12</f>
        <v>4394340.0544506572</v>
      </c>
    </row>
    <row r="101" spans="1:6">
      <c r="A101" s="5" t="s">
        <v>50</v>
      </c>
      <c r="B101" s="25">
        <f>Náklady!$K$146+Náklady!$K$144</f>
        <v>1691294.0512168356</v>
      </c>
      <c r="C101" s="25">
        <f>Náklady!$K$198+Náklady!$K$201</f>
        <v>4496470.2560841776</v>
      </c>
      <c r="D101" s="25">
        <f>Náklady!$K$171+Náklady!$K$174</f>
        <v>1691294.0512168356</v>
      </c>
      <c r="E101" s="25">
        <f>Náklady!$K$225+Náklady!$K$228</f>
        <v>4847117.2816925952</v>
      </c>
      <c r="F101" s="35">
        <f>Náklady!$K$9+Náklady!$K$12</f>
        <v>4496470.2560841776</v>
      </c>
    </row>
    <row r="102" spans="1:6">
      <c r="A102" s="5" t="s">
        <v>51</v>
      </c>
      <c r="B102" s="25">
        <f>Náklady!$L$146+Náklady!$L$144</f>
        <v>1712332.8727533408</v>
      </c>
      <c r="C102" s="25">
        <f>Náklady!$L$198+Náklady!$L$201</f>
        <v>4601664.3637667028</v>
      </c>
      <c r="D102" s="25">
        <f>Náklady!$L$171+Náklady!$L$174</f>
        <v>1712332.8727533408</v>
      </c>
      <c r="E102" s="25">
        <f>Náklady!$L$225+Náklady!$L$228</f>
        <v>4962830.8001433741</v>
      </c>
      <c r="F102" s="35">
        <f>Náklady!$L$9+Náklady!$L$12</f>
        <v>4601664.3637667028</v>
      </c>
    </row>
    <row r="103" spans="1:6">
      <c r="A103" s="164" t="s">
        <v>11</v>
      </c>
      <c r="B103" s="189">
        <f>SUM(B93:B102)</f>
        <v>13190887.297864689</v>
      </c>
      <c r="C103" s="189">
        <f t="shared" ref="C103:F103" si="30">SUM(C93:C102)</f>
        <v>32898372.831323449</v>
      </c>
      <c r="D103" s="189">
        <f t="shared" si="30"/>
        <v>13190887.297864689</v>
      </c>
      <c r="E103" s="189">
        <f t="shared" si="30"/>
        <v>35216046.996655792</v>
      </c>
      <c r="F103" s="167">
        <f t="shared" si="30"/>
        <v>32898372.831323449</v>
      </c>
    </row>
  </sheetData>
  <phoneticPr fontId="26" type="noConversion"/>
  <pageMargins left="0.7" right="0.7" top="0.75" bottom="0.75" header="0.3" footer="0.3"/>
  <pageSetup paperSize="8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3DE50-E8AB-453D-B3D6-80233A466956}">
  <sheetPr>
    <outlinePr summaryBelow="0"/>
    <pageSetUpPr fitToPage="1"/>
  </sheetPr>
  <dimension ref="A1:T339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40" sqref="C340"/>
    </sheetView>
  </sheetViews>
  <sheetFormatPr defaultRowHeight="13.95" customHeight="1" outlineLevelRow="1"/>
  <cols>
    <col min="1" max="1" width="29.88671875" bestFit="1" customWidth="1"/>
    <col min="2" max="2" width="5.5546875" bestFit="1" customWidth="1"/>
    <col min="3" max="5" width="11.6640625" customWidth="1"/>
    <col min="6" max="6" width="12.6640625" bestFit="1" customWidth="1"/>
    <col min="7" max="12" width="11.6640625" customWidth="1"/>
    <col min="13" max="13" width="12.6640625" bestFit="1" customWidth="1"/>
    <col min="14" max="14" width="4.44140625" customWidth="1"/>
    <col min="15" max="15" width="12.6640625" bestFit="1" customWidth="1"/>
    <col min="16" max="16" width="11.88671875" hidden="1" customWidth="1"/>
    <col min="17" max="17" width="15.44140625" bestFit="1" customWidth="1"/>
    <col min="18" max="18" width="11" bestFit="1" customWidth="1"/>
    <col min="19" max="19" width="11.109375" hidden="1" customWidth="1"/>
  </cols>
  <sheetData>
    <row r="1" spans="1:19" s="85" customFormat="1" ht="13.95" customHeight="1">
      <c r="A1" s="82" t="s">
        <v>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O1" s="269" t="s">
        <v>82</v>
      </c>
      <c r="P1" s="270"/>
      <c r="Q1" s="270"/>
      <c r="R1" s="271"/>
      <c r="S1" s="85" t="s">
        <v>38</v>
      </c>
    </row>
    <row r="2" spans="1:19" s="85" customFormat="1" ht="13.95" customHeight="1">
      <c r="A2" s="6"/>
      <c r="B2" s="4" t="s">
        <v>83</v>
      </c>
      <c r="C2" s="4" t="s">
        <v>84</v>
      </c>
      <c r="D2" s="4" t="s">
        <v>85</v>
      </c>
      <c r="E2" s="4" t="s">
        <v>86</v>
      </c>
      <c r="F2" s="4" t="s">
        <v>87</v>
      </c>
      <c r="G2" s="4" t="s">
        <v>88</v>
      </c>
      <c r="H2" s="4" t="s">
        <v>89</v>
      </c>
      <c r="I2" s="4" t="s">
        <v>90</v>
      </c>
      <c r="J2" s="4" t="s">
        <v>91</v>
      </c>
      <c r="K2" s="4" t="s">
        <v>92</v>
      </c>
      <c r="L2" s="4" t="s">
        <v>93</v>
      </c>
      <c r="M2" s="34" t="s">
        <v>11</v>
      </c>
      <c r="O2" s="27" t="s">
        <v>94</v>
      </c>
      <c r="P2" s="4" t="s">
        <v>95</v>
      </c>
      <c r="Q2" s="4" t="s">
        <v>96</v>
      </c>
      <c r="R2" s="28" t="s">
        <v>97</v>
      </c>
    </row>
    <row r="3" spans="1:19" s="10" customFormat="1" ht="13.95" customHeight="1" collapsed="1">
      <c r="A3" s="194" t="s">
        <v>14</v>
      </c>
      <c r="B3" s="2"/>
      <c r="C3" s="125">
        <f t="shared" ref="C3:L3" si="0">SUM(C5,C6,C11)</f>
        <v>378073.20000000007</v>
      </c>
      <c r="D3" s="125">
        <f t="shared" si="0"/>
        <v>16275824.08</v>
      </c>
      <c r="E3" s="125">
        <f t="shared" si="0"/>
        <v>31553668.181600001</v>
      </c>
      <c r="F3" s="125">
        <f t="shared" si="0"/>
        <v>43154383.249587998</v>
      </c>
      <c r="G3" s="125">
        <f t="shared" si="0"/>
        <v>53234698.74707564</v>
      </c>
      <c r="H3" s="125">
        <f t="shared" si="0"/>
        <v>53337508.709487908</v>
      </c>
      <c r="I3" s="125">
        <f t="shared" si="0"/>
        <v>53443402.97077255</v>
      </c>
      <c r="J3" s="125">
        <f t="shared" si="0"/>
        <v>53552474.059895724</v>
      </c>
      <c r="K3" s="125">
        <f t="shared" si="0"/>
        <v>53664817.281692594</v>
      </c>
      <c r="L3" s="125">
        <f t="shared" si="0"/>
        <v>53780530.800143376</v>
      </c>
      <c r="M3" s="126">
        <f>SUM(C3:L3)</f>
        <v>412375381.28025579</v>
      </c>
      <c r="O3" s="128">
        <f>SUM(O5:O12)</f>
        <v>86042397.279999986</v>
      </c>
      <c r="P3" s="129">
        <f>SUM(P5:P12)</f>
        <v>0</v>
      </c>
      <c r="Q3" s="129">
        <f>SUM(Q5:Q12)</f>
        <v>322392984.00025576</v>
      </c>
      <c r="R3" s="130">
        <f>SUM(R5:R12)</f>
        <v>3940000</v>
      </c>
      <c r="S3" s="22">
        <f>SUM(O3:R3)-M3</f>
        <v>0</v>
      </c>
    </row>
    <row r="4" spans="1:19" s="10" customFormat="1" ht="13.95" hidden="1" customHeight="1" outlineLevel="1">
      <c r="A4" s="190"/>
      <c r="B4" s="4" t="s">
        <v>83</v>
      </c>
      <c r="C4" s="4" t="s">
        <v>84</v>
      </c>
      <c r="D4" s="4" t="s">
        <v>85</v>
      </c>
      <c r="E4" s="4" t="s">
        <v>86</v>
      </c>
      <c r="F4" s="4" t="s">
        <v>87</v>
      </c>
      <c r="G4" s="4" t="s">
        <v>88</v>
      </c>
      <c r="H4" s="4" t="s">
        <v>89</v>
      </c>
      <c r="I4" s="4" t="s">
        <v>90</v>
      </c>
      <c r="J4" s="4" t="s">
        <v>91</v>
      </c>
      <c r="K4" s="4" t="s">
        <v>92</v>
      </c>
      <c r="L4" s="4" t="s">
        <v>93</v>
      </c>
      <c r="M4" s="34" t="s">
        <v>11</v>
      </c>
      <c r="O4" s="27" t="s">
        <v>94</v>
      </c>
      <c r="P4" s="4" t="s">
        <v>95</v>
      </c>
      <c r="Q4" s="4" t="s">
        <v>96</v>
      </c>
      <c r="R4" s="28" t="s">
        <v>97</v>
      </c>
    </row>
    <row r="5" spans="1:19" s="10" customFormat="1" ht="13.95" hidden="1" customHeight="1" outlineLevel="1">
      <c r="A5" s="211" t="s">
        <v>14</v>
      </c>
      <c r="B5" s="7" t="s">
        <v>98</v>
      </c>
      <c r="C5" s="36">
        <f>'Vstupy cost'!$B$36*'Vstupy cost'!$B$37*'Vstupy cost'!B39*(1-'Vstupy cost'!$B$40)</f>
        <v>0</v>
      </c>
      <c r="D5" s="36">
        <f>'Vstupy cost'!$B$36*'Vstupy cost'!$B$37*'Vstupy cost'!C39*(1-'Vstupy cost'!$B$40)</f>
        <v>14610750</v>
      </c>
      <c r="E5" s="36">
        <f>'Vstupy cost'!$B$36*'Vstupy cost'!$B$37*'Vstupy cost'!D39*(1-'Vstupy cost'!$B$40)</f>
        <v>29221500</v>
      </c>
      <c r="F5" s="36">
        <f>'Vstupy cost'!$B$36*'Vstupy cost'!$B$37*'Vstupy cost'!E39*(1-'Vstupy cost'!$B$40)</f>
        <v>38962000</v>
      </c>
      <c r="G5" s="36">
        <f>'Vstupy cost'!$B$36*'Vstupy cost'!$B$37*'Vstupy cost'!F39*(1-'Vstupy cost'!$B$40)</f>
        <v>48702500</v>
      </c>
      <c r="H5" s="36">
        <f>'Vstupy cost'!$B$36*'Vstupy cost'!$B$37*'Vstupy cost'!G39*(1-'Vstupy cost'!$B$40)</f>
        <v>48702500</v>
      </c>
      <c r="I5" s="36">
        <f>'Vstupy cost'!$B$36*'Vstupy cost'!$B$37*'Vstupy cost'!H39*(1-'Vstupy cost'!$B$40)</f>
        <v>48702500</v>
      </c>
      <c r="J5" s="36">
        <f>'Vstupy cost'!$B$36*'Vstupy cost'!$B$37*'Vstupy cost'!I39*(1-'Vstupy cost'!$B$40)</f>
        <v>48702500</v>
      </c>
      <c r="K5" s="36">
        <f>'Vstupy cost'!$B$36*'Vstupy cost'!$B$37*'Vstupy cost'!J39*(1-'Vstupy cost'!$B$40)</f>
        <v>48702500</v>
      </c>
      <c r="L5" s="36">
        <f>'Vstupy cost'!$B$36*'Vstupy cost'!$B$37*'Vstupy cost'!K39*(1-'Vstupy cost'!$B$40)</f>
        <v>48702500</v>
      </c>
      <c r="M5" s="122">
        <f>SUM(C5:L5)</f>
        <v>375009250</v>
      </c>
      <c r="O5" s="38">
        <f>SUM(C5:F5)</f>
        <v>82794250</v>
      </c>
      <c r="P5" s="25"/>
      <c r="Q5" s="25">
        <f>SUM(G5:L5)</f>
        <v>292215000</v>
      </c>
      <c r="R5" s="35"/>
      <c r="S5" s="22">
        <f>SUM(O5:R5)-M5</f>
        <v>0</v>
      </c>
    </row>
    <row r="6" spans="1:19" s="11" customFormat="1" ht="13.95" hidden="1" customHeight="1" outlineLevel="1">
      <c r="A6" s="211" t="s">
        <v>99</v>
      </c>
      <c r="B6" s="32"/>
      <c r="C6" s="36">
        <f>SUM(C7:C10)</f>
        <v>378073.20000000007</v>
      </c>
      <c r="D6" s="36">
        <f t="shared" ref="D6:L6" si="1">SUM(D7:D10)</f>
        <v>1412074.0800000003</v>
      </c>
      <c r="E6" s="36">
        <f t="shared" si="1"/>
        <v>1877168.1816000002</v>
      </c>
      <c r="F6" s="36">
        <f t="shared" si="1"/>
        <v>3442383.2495880006</v>
      </c>
      <c r="G6" s="36">
        <f t="shared" si="1"/>
        <v>3542198.7470756411</v>
      </c>
      <c r="H6" s="36">
        <f t="shared" si="1"/>
        <v>3645008.7094879099</v>
      </c>
      <c r="I6" s="36">
        <f t="shared" si="1"/>
        <v>3750902.9707725467</v>
      </c>
      <c r="J6" s="36">
        <f t="shared" si="1"/>
        <v>3859974.0598957236</v>
      </c>
      <c r="K6" s="36">
        <f t="shared" si="1"/>
        <v>3972317.2816925952</v>
      </c>
      <c r="L6" s="36">
        <f t="shared" si="1"/>
        <v>4088030.8001433732</v>
      </c>
      <c r="M6" s="37">
        <f t="shared" ref="M6" si="2">SUM(C6:L6)</f>
        <v>29968131.280255791</v>
      </c>
      <c r="O6" s="38"/>
      <c r="P6" s="25"/>
      <c r="Q6" s="25"/>
      <c r="R6" s="35"/>
      <c r="S6" s="22"/>
    </row>
    <row r="7" spans="1:19" s="10" customFormat="1" ht="13.95" hidden="1" customHeight="1" outlineLevel="1">
      <c r="A7" s="212" t="s">
        <v>100</v>
      </c>
      <c r="B7" s="7" t="s">
        <v>98</v>
      </c>
      <c r="C7" s="25"/>
      <c r="D7" s="25">
        <f>'Vstupy cost'!$B$97*'Vstupy cost'!$B$98*1.2*12</f>
        <v>115200</v>
      </c>
      <c r="E7" s="25">
        <f>'Vstupy cost'!$B$97*'Vstupy cost'!$B$98*1.2*12</f>
        <v>115200</v>
      </c>
      <c r="F7" s="25">
        <f>'Vstupy cost'!$B$97*'Vstupy cost'!$B$98*1.2*12</f>
        <v>115200</v>
      </c>
      <c r="G7" s="25">
        <f>'Vstupy cost'!$B$97*'Vstupy cost'!$B$98*1.2*12</f>
        <v>115200</v>
      </c>
      <c r="H7" s="25">
        <f>'Vstupy cost'!$B$97*'Vstupy cost'!$B$98*1.2*12</f>
        <v>115200</v>
      </c>
      <c r="I7" s="25">
        <f>'Vstupy cost'!$B$97*'Vstupy cost'!$B$98*1.2*12</f>
        <v>115200</v>
      </c>
      <c r="J7" s="25">
        <f>'Vstupy cost'!$B$97*'Vstupy cost'!$B$98*1.2*12</f>
        <v>115200</v>
      </c>
      <c r="K7" s="25">
        <f>'Vstupy cost'!$B$97*'Vstupy cost'!$B$98*1.2*12</f>
        <v>115200</v>
      </c>
      <c r="L7" s="25">
        <f>'Vstupy cost'!$B$97*'Vstupy cost'!$B$98*1.2*12</f>
        <v>115200</v>
      </c>
      <c r="M7" s="123">
        <f t="shared" ref="M7:M9" si="3">SUM(C7:L7)</f>
        <v>1036800</v>
      </c>
      <c r="O7" s="38">
        <f t="shared" ref="O7:O9" si="4">SUM(C7:D7)</f>
        <v>115200</v>
      </c>
      <c r="P7" s="25"/>
      <c r="Q7" s="25">
        <f t="shared" ref="Q7:Q9" si="5">SUM(E7:L7)</f>
        <v>921600</v>
      </c>
      <c r="R7" s="35"/>
      <c r="S7" s="22">
        <f t="shared" ref="S7:S9" si="6">SUM(O7:R7)-M7</f>
        <v>0</v>
      </c>
    </row>
    <row r="8" spans="1:19" s="10" customFormat="1" ht="13.95" hidden="1" customHeight="1" outlineLevel="1">
      <c r="A8" s="212" t="s">
        <v>101</v>
      </c>
      <c r="B8" s="7" t="s">
        <v>98</v>
      </c>
      <c r="C8" s="124">
        <f>'Vstupy cost'!B86*'Vstupy cost'!B85*12*1.398</f>
        <v>221443.20000000004</v>
      </c>
      <c r="D8" s="124">
        <f>'Vstupy cost'!C86*'Vstupy cost'!C85*12*1.398</f>
        <v>285108.12000000005</v>
      </c>
      <c r="E8" s="124">
        <f>'Vstupy cost'!D86*'Vstupy cost'!D85*12*1.398</f>
        <v>293661.36359999998</v>
      </c>
      <c r="F8" s="124">
        <f>'Vstupy cost'!E86*'Vstupy cost'!E85*12*1.398</f>
        <v>302471.20450800005</v>
      </c>
      <c r="G8" s="124">
        <f>'Vstupy cost'!F86*'Vstupy cost'!F85*12*1.398</f>
        <v>311545.34064324002</v>
      </c>
      <c r="H8" s="124">
        <f>'Vstupy cost'!G86*'Vstupy cost'!G85*12*1.398</f>
        <v>320891.70086253725</v>
      </c>
      <c r="I8" s="124">
        <f>'Vstupy cost'!H86*'Vstupy cost'!H85*12*1.398</f>
        <v>330518.4518884134</v>
      </c>
      <c r="J8" s="124">
        <f>'Vstupy cost'!I86*'Vstupy cost'!I85*12*1.398</f>
        <v>340434.00544506579</v>
      </c>
      <c r="K8" s="124">
        <f>'Vstupy cost'!J86*'Vstupy cost'!J85*12*1.398</f>
        <v>350647.02560841775</v>
      </c>
      <c r="L8" s="124">
        <f>'Vstupy cost'!K86*'Vstupy cost'!K85*12*1.398</f>
        <v>361166.43637667032</v>
      </c>
      <c r="M8" s="123">
        <f t="shared" si="3"/>
        <v>3117886.8489323445</v>
      </c>
      <c r="O8" s="38">
        <f t="shared" si="4"/>
        <v>506551.32000000007</v>
      </c>
      <c r="P8" s="25"/>
      <c r="Q8" s="25">
        <f>SUM(E8:L8)-R8</f>
        <v>1611335.5289323446</v>
      </c>
      <c r="R8" s="35">
        <v>1000000</v>
      </c>
      <c r="S8" s="22">
        <f t="shared" si="6"/>
        <v>0</v>
      </c>
    </row>
    <row r="9" spans="1:19" s="10" customFormat="1" ht="13.95" hidden="1" customHeight="1" outlineLevel="1">
      <c r="A9" s="212" t="s">
        <v>102</v>
      </c>
      <c r="B9" s="7" t="s">
        <v>98</v>
      </c>
      <c r="C9" s="124">
        <f>'Vstupy cost'!B87*'Vstupy cost'!B85*12*1.398</f>
        <v>0</v>
      </c>
      <c r="D9" s="124">
        <f>'Vstupy cost'!C87*'Vstupy cost'!C85*12*1.398</f>
        <v>855324.3600000001</v>
      </c>
      <c r="E9" s="124">
        <f>'Vstupy cost'!D87*'Vstupy cost'!D85*12*1.398</f>
        <v>1468306.8180000002</v>
      </c>
      <c r="F9" s="124">
        <f>'Vstupy cost'!E87*'Vstupy cost'!E85*12*1.398</f>
        <v>3024712.0450800005</v>
      </c>
      <c r="G9" s="124">
        <f>'Vstupy cost'!F87*'Vstupy cost'!F85*12*1.398</f>
        <v>3115453.4064324009</v>
      </c>
      <c r="H9" s="124">
        <f>'Vstupy cost'!G87*'Vstupy cost'!G85*12*1.398</f>
        <v>3208917.0086253728</v>
      </c>
      <c r="I9" s="124">
        <f>'Vstupy cost'!H87*'Vstupy cost'!H85*12*1.398</f>
        <v>3305184.5188841335</v>
      </c>
      <c r="J9" s="124">
        <f>'Vstupy cost'!I87*'Vstupy cost'!I85*12*1.398</f>
        <v>3404340.0544506577</v>
      </c>
      <c r="K9" s="124">
        <f>'Vstupy cost'!J87*'Vstupy cost'!J85*12*1.398</f>
        <v>3506470.2560841776</v>
      </c>
      <c r="L9" s="124">
        <f>'Vstupy cost'!K87*'Vstupy cost'!K85*12*1.398</f>
        <v>3611664.3637667028</v>
      </c>
      <c r="M9" s="123">
        <f t="shared" si="3"/>
        <v>25500372.831323449</v>
      </c>
      <c r="O9" s="38">
        <f t="shared" si="4"/>
        <v>855324.3600000001</v>
      </c>
      <c r="P9" s="25"/>
      <c r="Q9" s="25">
        <f t="shared" si="5"/>
        <v>24645048.471323449</v>
      </c>
      <c r="R9" s="35"/>
      <c r="S9" s="22">
        <f t="shared" si="6"/>
        <v>0</v>
      </c>
    </row>
    <row r="10" spans="1:19" s="10" customFormat="1" ht="13.95" hidden="1" customHeight="1" outlineLevel="1">
      <c r="A10" s="196" t="s">
        <v>103</v>
      </c>
      <c r="B10" s="24" t="s">
        <v>98</v>
      </c>
      <c r="C10" s="25">
        <f>'Vstupy cost'!$B$117*1.2+'Vstupy cost'!$B$119*1.39</f>
        <v>156630</v>
      </c>
      <c r="D10" s="25">
        <f>'Vstupy cost'!$B$118*1.2</f>
        <v>156441.60000000001</v>
      </c>
      <c r="E10" s="25"/>
      <c r="F10" s="25"/>
      <c r="G10" s="25"/>
      <c r="H10" s="25"/>
      <c r="I10" s="25"/>
      <c r="J10" s="25"/>
      <c r="K10" s="25"/>
      <c r="L10" s="25"/>
      <c r="M10" s="35">
        <f>SUM(C10:L10)</f>
        <v>313071.59999999998</v>
      </c>
      <c r="O10" s="38">
        <f>SUM(C10:D10)</f>
        <v>313071.59999999998</v>
      </c>
      <c r="P10" s="25"/>
      <c r="Q10" s="25">
        <f>SUM(E10:L10)</f>
        <v>0</v>
      </c>
      <c r="R10" s="35"/>
      <c r="S10" s="22">
        <f>SUM(O10:R10)-M10</f>
        <v>0</v>
      </c>
    </row>
    <row r="11" spans="1:19" s="10" customFormat="1" ht="13.95" hidden="1" customHeight="1" outlineLevel="1">
      <c r="A11" s="211" t="s">
        <v>80</v>
      </c>
      <c r="B11" s="32"/>
      <c r="C11" s="36">
        <f t="shared" ref="C11:L11" si="7">SUM(C12:C12)</f>
        <v>0</v>
      </c>
      <c r="D11" s="36">
        <f t="shared" si="7"/>
        <v>253000</v>
      </c>
      <c r="E11" s="36">
        <f t="shared" si="7"/>
        <v>455000</v>
      </c>
      <c r="F11" s="36">
        <f t="shared" si="7"/>
        <v>750000</v>
      </c>
      <c r="G11" s="36">
        <f t="shared" si="7"/>
        <v>990000</v>
      </c>
      <c r="H11" s="36">
        <f t="shared" si="7"/>
        <v>990000</v>
      </c>
      <c r="I11" s="36">
        <f t="shared" si="7"/>
        <v>990000</v>
      </c>
      <c r="J11" s="36">
        <f t="shared" si="7"/>
        <v>990000</v>
      </c>
      <c r="K11" s="36">
        <f t="shared" si="7"/>
        <v>990000</v>
      </c>
      <c r="L11" s="36">
        <f t="shared" si="7"/>
        <v>990000</v>
      </c>
      <c r="M11" s="37">
        <f>SUM(C11:L11)</f>
        <v>7398000</v>
      </c>
      <c r="O11" s="38"/>
      <c r="P11" s="25"/>
      <c r="Q11" s="25"/>
      <c r="R11" s="35"/>
      <c r="S11" s="22"/>
    </row>
    <row r="12" spans="1:19" ht="13.95" hidden="1" customHeight="1" outlineLevel="1" thickBot="1">
      <c r="A12" s="213" t="s">
        <v>104</v>
      </c>
      <c r="B12" s="39"/>
      <c r="C12" s="39">
        <f>'Vstupy cost'!$B$113</f>
        <v>0</v>
      </c>
      <c r="D12" s="39">
        <f>'Vstupy cost'!$C$113</f>
        <v>253000</v>
      </c>
      <c r="E12" s="39">
        <f>'Vstupy cost'!$D$113</f>
        <v>455000</v>
      </c>
      <c r="F12" s="39">
        <f>'Vstupy cost'!$E$113</f>
        <v>750000</v>
      </c>
      <c r="G12" s="39">
        <f>'Vstupy cost'!$F$113</f>
        <v>990000</v>
      </c>
      <c r="H12" s="39">
        <f>'Vstupy cost'!$G$113</f>
        <v>990000</v>
      </c>
      <c r="I12" s="39">
        <f>'Vstupy cost'!$H$113</f>
        <v>990000</v>
      </c>
      <c r="J12" s="39">
        <f>'Vstupy cost'!$I$113</f>
        <v>990000</v>
      </c>
      <c r="K12" s="39">
        <f>'Vstupy cost'!$J$113</f>
        <v>990000</v>
      </c>
      <c r="L12" s="39">
        <f>'Vstupy cost'!$K$113</f>
        <v>990000</v>
      </c>
      <c r="M12" s="40">
        <f t="shared" ref="M12" si="8">SUM(C12:L12)</f>
        <v>7398000</v>
      </c>
      <c r="O12" s="188">
        <f>SUM(C12:F12)</f>
        <v>1458000</v>
      </c>
      <c r="P12" s="39"/>
      <c r="Q12" s="39">
        <v>3000000</v>
      </c>
      <c r="R12" s="40">
        <f>SUM(G12:L12)-Q12</f>
        <v>2940000</v>
      </c>
      <c r="S12" s="22">
        <f t="shared" ref="S12" si="9">SUM(O12:R12)-M12</f>
        <v>0</v>
      </c>
    </row>
    <row r="13" spans="1:19" ht="13.95" hidden="1" customHeight="1" outlineLevel="1"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S13" s="22"/>
    </row>
    <row r="14" spans="1:19" s="10" customFormat="1" ht="13.95" hidden="1" customHeight="1" collapsed="1">
      <c r="A14" s="1" t="s">
        <v>15</v>
      </c>
      <c r="B14" s="2"/>
      <c r="C14" s="125">
        <f>SUM(C16,C22,C33,C38)</f>
        <v>267351.60000000003</v>
      </c>
      <c r="D14" s="125">
        <f t="shared" ref="D14:L14" si="10">SUM(D16,D22,D33,D38)</f>
        <v>1551030.8320000004</v>
      </c>
      <c r="E14" s="125">
        <f t="shared" si="10"/>
        <v>2379180.9089600001</v>
      </c>
      <c r="F14" s="125">
        <f t="shared" si="10"/>
        <v>33105241.360228799</v>
      </c>
      <c r="G14" s="125">
        <f t="shared" si="10"/>
        <v>8743402.2983156648</v>
      </c>
      <c r="H14" s="125">
        <f t="shared" si="10"/>
        <v>8777049.1951051354</v>
      </c>
      <c r="I14" s="125">
        <f t="shared" si="10"/>
        <v>8811705.4987982884</v>
      </c>
      <c r="J14" s="125">
        <f t="shared" si="10"/>
        <v>8847401.4916022383</v>
      </c>
      <c r="K14" s="125">
        <f t="shared" si="10"/>
        <v>9725668.3641903047</v>
      </c>
      <c r="L14" s="125">
        <f t="shared" si="10"/>
        <v>9763538.2429560144</v>
      </c>
      <c r="M14" s="126">
        <f>SUM(C14:L14)</f>
        <v>91971569.792156458</v>
      </c>
      <c r="O14" s="128">
        <f>SUM(O16:O39)</f>
        <v>28597695.901188802</v>
      </c>
      <c r="P14" s="129">
        <f>SUM(P16:P39)</f>
        <v>22347283.29680407</v>
      </c>
      <c r="Q14" s="129">
        <f>SUM(Q16:Q39)</f>
        <v>37086590.594163574</v>
      </c>
      <c r="R14" s="130">
        <f>SUM(R16:R39)</f>
        <v>3940000</v>
      </c>
      <c r="S14" s="22">
        <f>SUM(O14:R14)-M14</f>
        <v>0</v>
      </c>
    </row>
    <row r="15" spans="1:19" s="10" customFormat="1" ht="13.95" hidden="1" customHeight="1" outlineLevel="1">
      <c r="A15" s="6"/>
      <c r="B15" s="4" t="s">
        <v>83</v>
      </c>
      <c r="C15" s="4" t="s">
        <v>84</v>
      </c>
      <c r="D15" s="4" t="s">
        <v>85</v>
      </c>
      <c r="E15" s="4" t="s">
        <v>86</v>
      </c>
      <c r="F15" s="4" t="s">
        <v>87</v>
      </c>
      <c r="G15" s="4" t="s">
        <v>88</v>
      </c>
      <c r="H15" s="4" t="s">
        <v>89</v>
      </c>
      <c r="I15" s="4" t="s">
        <v>90</v>
      </c>
      <c r="J15" s="4" t="s">
        <v>91</v>
      </c>
      <c r="K15" s="4" t="s">
        <v>92</v>
      </c>
      <c r="L15" s="4" t="s">
        <v>93</v>
      </c>
      <c r="M15" s="34" t="s">
        <v>11</v>
      </c>
      <c r="O15" s="27" t="s">
        <v>94</v>
      </c>
      <c r="P15" s="4" t="s">
        <v>95</v>
      </c>
      <c r="Q15" s="4" t="s">
        <v>96</v>
      </c>
      <c r="R15" s="28" t="s">
        <v>97</v>
      </c>
    </row>
    <row r="16" spans="1:19" s="11" customFormat="1" ht="13.95" hidden="1" customHeight="1" outlineLevel="1">
      <c r="A16" s="33" t="s">
        <v>105</v>
      </c>
      <c r="B16" s="32"/>
      <c r="C16" s="36">
        <f>SUM(C17:C21)</f>
        <v>0</v>
      </c>
      <c r="D16" s="36">
        <f t="shared" ref="D16:L16" si="11">SUM(D17:D21)</f>
        <v>0</v>
      </c>
      <c r="E16" s="36">
        <f t="shared" si="11"/>
        <v>151800</v>
      </c>
      <c r="F16" s="36">
        <f t="shared" si="11"/>
        <v>28355850</v>
      </c>
      <c r="G16" s="36">
        <f t="shared" si="11"/>
        <v>167850</v>
      </c>
      <c r="H16" s="36">
        <f t="shared" si="11"/>
        <v>167850</v>
      </c>
      <c r="I16" s="36">
        <f t="shared" si="11"/>
        <v>167850</v>
      </c>
      <c r="J16" s="36">
        <f t="shared" si="11"/>
        <v>167850</v>
      </c>
      <c r="K16" s="36">
        <f t="shared" si="11"/>
        <v>1009350</v>
      </c>
      <c r="L16" s="36">
        <f t="shared" si="11"/>
        <v>1009350</v>
      </c>
      <c r="M16" s="37">
        <f t="shared" ref="M16:M39" si="12">SUM(C16:L16)</f>
        <v>31197750</v>
      </c>
      <c r="O16" s="38"/>
      <c r="P16" s="25"/>
      <c r="Q16" s="25"/>
      <c r="R16" s="149"/>
      <c r="S16" s="22"/>
    </row>
    <row r="17" spans="1:19" ht="13.95" hidden="1" customHeight="1" outlineLevel="1">
      <c r="A17" s="5" t="s">
        <v>106</v>
      </c>
      <c r="B17" s="24" t="s">
        <v>107</v>
      </c>
      <c r="C17" s="25"/>
      <c r="D17" s="25"/>
      <c r="E17" s="25">
        <f>'Vstupy cost'!$M$4*1.2</f>
        <v>0</v>
      </c>
      <c r="F17" s="25">
        <f>'Vstupy cost'!$N$4*1.2</f>
        <v>28050000</v>
      </c>
      <c r="G17" s="25"/>
      <c r="H17" s="25"/>
      <c r="I17" s="25"/>
      <c r="J17" s="25"/>
      <c r="K17" s="25"/>
      <c r="L17" s="25"/>
      <c r="M17" s="35">
        <f t="shared" si="12"/>
        <v>28050000</v>
      </c>
      <c r="O17" s="38">
        <f>SUM(C17:E17)+0.65*F17</f>
        <v>18232500</v>
      </c>
      <c r="P17" s="25">
        <f>SUM(F17:K17)*0.35</f>
        <v>9817500</v>
      </c>
      <c r="Q17" s="25">
        <f>SUM(H17:L17)*0.65</f>
        <v>0</v>
      </c>
      <c r="R17" s="35"/>
      <c r="S17" s="22">
        <f t="shared" ref="S17:S20" si="13">SUM(O17:R17)-M17</f>
        <v>0</v>
      </c>
    </row>
    <row r="18" spans="1:19" ht="13.95" hidden="1" customHeight="1" outlineLevel="1">
      <c r="A18" s="5" t="s">
        <v>108</v>
      </c>
      <c r="B18" s="24" t="s">
        <v>107</v>
      </c>
      <c r="C18" s="25"/>
      <c r="D18" s="25"/>
      <c r="E18" s="25">
        <f>ROUND('Vstupy cost'!$C$188*1.2,-3)</f>
        <v>138000</v>
      </c>
      <c r="F18" s="25">
        <f>ROUND('Vstupy cost'!$C$188*1.2,-3)</f>
        <v>138000</v>
      </c>
      <c r="G18" s="25"/>
      <c r="H18" s="25"/>
      <c r="I18" s="25"/>
      <c r="J18" s="25"/>
      <c r="K18" s="25"/>
      <c r="L18" s="25"/>
      <c r="M18" s="35">
        <f t="shared" si="12"/>
        <v>276000</v>
      </c>
      <c r="O18" s="38">
        <f>SUM(C18:E18)+F18*0.65</f>
        <v>227700</v>
      </c>
      <c r="P18" s="25">
        <f>SUM(F18:K18)*0.35</f>
        <v>48300</v>
      </c>
      <c r="Q18" s="25">
        <f>SUM(H18:L18)*0.65</f>
        <v>0</v>
      </c>
      <c r="R18" s="35"/>
      <c r="S18" s="22">
        <f t="shared" si="13"/>
        <v>0</v>
      </c>
    </row>
    <row r="19" spans="1:19" ht="13.95" hidden="1" customHeight="1" outlineLevel="1">
      <c r="A19" s="5" t="s">
        <v>109</v>
      </c>
      <c r="B19" s="24" t="s">
        <v>98</v>
      </c>
      <c r="C19" s="25"/>
      <c r="D19" s="25"/>
      <c r="E19" s="25"/>
      <c r="F19" s="25"/>
      <c r="G19" s="25"/>
      <c r="H19" s="25"/>
      <c r="I19" s="25"/>
      <c r="J19" s="25">
        <f>$E$17*'Vstupy cost'!$B$48</f>
        <v>0</v>
      </c>
      <c r="K19" s="25">
        <f>SUM($E$17:$F$17)*'Vstupy cost'!$B$48</f>
        <v>841500</v>
      </c>
      <c r="L19" s="25">
        <f>SUM($E$17:$F$17)*'Vstupy cost'!$B$48</f>
        <v>841500</v>
      </c>
      <c r="M19" s="35">
        <f t="shared" si="12"/>
        <v>1683000</v>
      </c>
      <c r="O19" s="38">
        <f t="shared" ref="O19" si="14">SUM(C19:F19)</f>
        <v>0</v>
      </c>
      <c r="P19" s="25"/>
      <c r="Q19" s="25">
        <f>SUM(H19:L19)</f>
        <v>1683000</v>
      </c>
      <c r="R19" s="35"/>
      <c r="S19" s="22">
        <f t="shared" si="13"/>
        <v>0</v>
      </c>
    </row>
    <row r="20" spans="1:19" ht="13.95" hidden="1" customHeight="1" outlineLevel="1">
      <c r="A20" s="5" t="s">
        <v>110</v>
      </c>
      <c r="B20" s="24" t="s">
        <v>98</v>
      </c>
      <c r="C20" s="25"/>
      <c r="D20" s="25"/>
      <c r="E20" s="25">
        <f>$E$18*'Vstupy cost'!$B$190</f>
        <v>13800</v>
      </c>
      <c r="F20" s="25">
        <f>SUM($E$18,$F$18)*'Vstupy cost'!$B$190</f>
        <v>27600</v>
      </c>
      <c r="G20" s="25">
        <f>SUM($E$18,$F$18)*'Vstupy cost'!$B$190</f>
        <v>27600</v>
      </c>
      <c r="H20" s="25">
        <f>SUM($E$18,$F$18)*'Vstupy cost'!$B$190</f>
        <v>27600</v>
      </c>
      <c r="I20" s="25">
        <f>SUM($E$18,$F$18)*'Vstupy cost'!$B$190</f>
        <v>27600</v>
      </c>
      <c r="J20" s="25">
        <f>SUM($E$18,$F$18)*'Vstupy cost'!$B$190</f>
        <v>27600</v>
      </c>
      <c r="K20" s="25">
        <f>SUM($E$18,$F$18)*'Vstupy cost'!$B$190</f>
        <v>27600</v>
      </c>
      <c r="L20" s="25">
        <f>SUM($E$18,$F$18)*'Vstupy cost'!$B$190</f>
        <v>27600</v>
      </c>
      <c r="M20" s="35">
        <f t="shared" si="12"/>
        <v>207000</v>
      </c>
      <c r="O20" s="38">
        <f>SUM(C20:G20)</f>
        <v>69000</v>
      </c>
      <c r="P20" s="25"/>
      <c r="Q20" s="25">
        <f>SUM(H20:L20)</f>
        <v>138000</v>
      </c>
      <c r="R20" s="35"/>
      <c r="S20" s="22">
        <f t="shared" si="13"/>
        <v>0</v>
      </c>
    </row>
    <row r="21" spans="1:19" ht="13.95" hidden="1" customHeight="1" outlineLevel="1">
      <c r="A21" s="5" t="s">
        <v>111</v>
      </c>
      <c r="B21" s="24" t="s">
        <v>98</v>
      </c>
      <c r="C21" s="25"/>
      <c r="D21" s="25"/>
      <c r="E21" s="25">
        <f>'Vstupy cost'!$R$4*1.2</f>
        <v>0</v>
      </c>
      <c r="F21" s="25">
        <f>'Vstupy cost'!$S$4*1.2</f>
        <v>140250</v>
      </c>
      <c r="G21" s="25">
        <f>'Vstupy cost'!$S$4*1.2</f>
        <v>140250</v>
      </c>
      <c r="H21" s="25">
        <f>'Vstupy cost'!$S$4*1.2</f>
        <v>140250</v>
      </c>
      <c r="I21" s="25">
        <f>'Vstupy cost'!$S$4*1.2</f>
        <v>140250</v>
      </c>
      <c r="J21" s="25">
        <f>'Vstupy cost'!$S$4*1.2</f>
        <v>140250</v>
      </c>
      <c r="K21" s="25">
        <f>'Vstupy cost'!$S$4*1.2</f>
        <v>140250</v>
      </c>
      <c r="L21" s="25">
        <f>'Vstupy cost'!$S$4*1.2</f>
        <v>140250</v>
      </c>
      <c r="M21" s="35">
        <f t="shared" si="12"/>
        <v>981750</v>
      </c>
      <c r="O21" s="38">
        <f>SUM(E21:G21)</f>
        <v>280500</v>
      </c>
      <c r="P21" s="25"/>
      <c r="Q21" s="25">
        <f>SUM(H21:L21)</f>
        <v>701250</v>
      </c>
      <c r="R21" s="35"/>
      <c r="S21" s="22"/>
    </row>
    <row r="22" spans="1:19" s="23" customFormat="1" ht="13.95" hidden="1" customHeight="1" outlineLevel="1">
      <c r="A22" s="33" t="s">
        <v>112</v>
      </c>
      <c r="B22" s="32"/>
      <c r="C22" s="36">
        <f>SUM(C23:C31)</f>
        <v>0</v>
      </c>
      <c r="D22" s="36">
        <f t="shared" ref="D22:L22" si="15">SUM(D23:D31)</f>
        <v>0</v>
      </c>
      <c r="E22" s="36">
        <f>SUM(E23:E31)</f>
        <v>600000</v>
      </c>
      <c r="F22" s="36">
        <f t="shared" si="15"/>
        <v>2795295.0240000002</v>
      </c>
      <c r="G22" s="36">
        <f t="shared" si="15"/>
        <v>6348789.0720000006</v>
      </c>
      <c r="H22" s="36">
        <f t="shared" si="15"/>
        <v>6348789.0720000006</v>
      </c>
      <c r="I22" s="36">
        <f t="shared" si="15"/>
        <v>6348789.0720000006</v>
      </c>
      <c r="J22" s="36">
        <f t="shared" si="15"/>
        <v>6348789.0720000006</v>
      </c>
      <c r="K22" s="36">
        <f t="shared" si="15"/>
        <v>6348789.0720000006</v>
      </c>
      <c r="L22" s="36">
        <f t="shared" si="15"/>
        <v>6348789.0720000006</v>
      </c>
      <c r="M22" s="37">
        <f t="shared" si="12"/>
        <v>41488029.456</v>
      </c>
      <c r="O22" s="38"/>
      <c r="P22" s="25"/>
      <c r="Q22" s="25"/>
      <c r="R22" s="35"/>
      <c r="S22" s="22"/>
    </row>
    <row r="23" spans="1:19" s="10" customFormat="1" ht="13.95" hidden="1" customHeight="1" outlineLevel="1">
      <c r="A23" s="5" t="s">
        <v>113</v>
      </c>
      <c r="B23" s="24" t="s">
        <v>107</v>
      </c>
      <c r="C23" s="25"/>
      <c r="D23" s="25"/>
      <c r="E23" s="25">
        <f>'Vstupy cost'!O4*1.2</f>
        <v>600000</v>
      </c>
      <c r="G23" s="25"/>
      <c r="H23" s="25"/>
      <c r="I23" s="25"/>
      <c r="J23" s="25"/>
      <c r="K23" s="25"/>
      <c r="L23" s="25"/>
      <c r="M23" s="35">
        <f t="shared" si="12"/>
        <v>600000</v>
      </c>
      <c r="O23" s="38">
        <f>E23</f>
        <v>600000</v>
      </c>
      <c r="P23" s="25"/>
      <c r="Q23" s="25"/>
      <c r="R23" s="35"/>
      <c r="S23" s="22">
        <f t="shared" ref="S23:S24" si="16">SUM(O23:R23)-M23</f>
        <v>0</v>
      </c>
    </row>
    <row r="24" spans="1:19" s="10" customFormat="1" ht="13.95" hidden="1" customHeight="1" outlineLevel="1">
      <c r="A24" s="5" t="s">
        <v>114</v>
      </c>
      <c r="B24" s="24" t="s">
        <v>98</v>
      </c>
      <c r="C24" s="25"/>
      <c r="D24" s="25"/>
      <c r="E24" s="25"/>
      <c r="F24" s="25">
        <f>'Vstupy cost'!$B$52*12*1.2/2</f>
        <v>2037096</v>
      </c>
      <c r="G24" s="25">
        <f>'Vstupy cost'!$B$52*12*1.2</f>
        <v>4074192</v>
      </c>
      <c r="H24" s="25">
        <f>'Vstupy cost'!$B$52*12*1.2</f>
        <v>4074192</v>
      </c>
      <c r="I24" s="25">
        <f>'Vstupy cost'!$B$52*12*1.2</f>
        <v>4074192</v>
      </c>
      <c r="J24" s="25">
        <f>'Vstupy cost'!$B$52*12*1.2</f>
        <v>4074192</v>
      </c>
      <c r="K24" s="25">
        <f>'Vstupy cost'!$B$52*12*1.2</f>
        <v>4074192</v>
      </c>
      <c r="L24" s="25">
        <f>'Vstupy cost'!$B$52*12*1.2</f>
        <v>4074192</v>
      </c>
      <c r="M24" s="35">
        <f t="shared" si="12"/>
        <v>26482248</v>
      </c>
      <c r="O24" s="38">
        <f>SUM(F24:G24)*0.65</f>
        <v>3972337.2</v>
      </c>
      <c r="P24" s="25">
        <f>SUM(F24:J24)*0.35</f>
        <v>6416852.3999999994</v>
      </c>
      <c r="Q24" s="25">
        <f>SUM(H24:J24)*0.65+SUM(K24:L24)</f>
        <v>16093058.4</v>
      </c>
      <c r="R24" s="35"/>
      <c r="S24" s="22">
        <f t="shared" si="16"/>
        <v>0</v>
      </c>
    </row>
    <row r="25" spans="1:19" ht="13.95" hidden="1" customHeight="1" outlineLevel="1">
      <c r="A25" s="5" t="s">
        <v>115</v>
      </c>
      <c r="B25" s="24" t="s">
        <v>107</v>
      </c>
      <c r="C25" s="25"/>
      <c r="E25" s="25"/>
      <c r="F25" s="25"/>
      <c r="G25" s="25"/>
      <c r="H25" s="25"/>
      <c r="I25" s="25"/>
      <c r="J25" s="25"/>
      <c r="K25" s="25"/>
      <c r="L25" s="25"/>
      <c r="M25" s="35">
        <f t="shared" si="12"/>
        <v>0</v>
      </c>
      <c r="O25" s="38">
        <f>SUM(C25:F25)</f>
        <v>0</v>
      </c>
      <c r="P25" s="25">
        <f>SUM(H25:K25)*0.35</f>
        <v>0</v>
      </c>
      <c r="Q25" s="25">
        <f>SUM(H25:K25)*0.65+L25</f>
        <v>0</v>
      </c>
      <c r="R25" s="35"/>
      <c r="S25" s="22">
        <f t="shared" ref="S25" si="17">SUM(O25:R25)-M25</f>
        <v>0</v>
      </c>
    </row>
    <row r="26" spans="1:19" ht="13.95" hidden="1" customHeight="1" outlineLevel="1">
      <c r="A26" s="5" t="s">
        <v>116</v>
      </c>
      <c r="B26" s="24" t="s">
        <v>107</v>
      </c>
      <c r="C26" s="80"/>
      <c r="D26" s="25"/>
      <c r="E26" s="25"/>
      <c r="F26" s="25"/>
      <c r="G26" s="25"/>
      <c r="H26" s="25"/>
      <c r="I26" s="25"/>
      <c r="J26" s="25"/>
      <c r="K26" s="25"/>
      <c r="L26" s="25"/>
      <c r="M26" s="35">
        <f t="shared" si="12"/>
        <v>0</v>
      </c>
      <c r="O26" s="38">
        <f t="shared" ref="O26:O27" si="18">SUM(C26:F26)</f>
        <v>0</v>
      </c>
      <c r="P26" s="25"/>
      <c r="Q26" s="25"/>
      <c r="R26" s="35"/>
      <c r="S26" s="22">
        <f t="shared" ref="S26:S27" si="19">SUM(O26:R26)-M26</f>
        <v>0</v>
      </c>
    </row>
    <row r="27" spans="1:19" ht="13.95" hidden="1" customHeight="1" outlineLevel="1">
      <c r="A27" s="5" t="s">
        <v>117</v>
      </c>
      <c r="B27" s="24" t="s">
        <v>107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5">
        <f t="shared" si="12"/>
        <v>0</v>
      </c>
      <c r="O27" s="38">
        <f t="shared" si="18"/>
        <v>0</v>
      </c>
      <c r="P27" s="25"/>
      <c r="Q27" s="25"/>
      <c r="R27" s="35"/>
      <c r="S27" s="22">
        <f t="shared" si="19"/>
        <v>0</v>
      </c>
    </row>
    <row r="28" spans="1:19" s="10" customFormat="1" ht="13.95" hidden="1" customHeight="1" outlineLevel="1">
      <c r="A28" s="5" t="s">
        <v>118</v>
      </c>
      <c r="B28" s="24" t="s">
        <v>107</v>
      </c>
      <c r="C28" s="25"/>
      <c r="D28" s="25"/>
      <c r="E28" s="25">
        <f>'Vstupy cost'!$K$4*1.2</f>
        <v>0</v>
      </c>
      <c r="F28" s="25">
        <f>'Vstupy cost'!$L$4*1.2</f>
        <v>0</v>
      </c>
      <c r="H28" s="25"/>
      <c r="I28" s="25"/>
      <c r="J28" s="25"/>
      <c r="K28" s="25"/>
      <c r="L28" s="25"/>
      <c r="M28" s="35">
        <f t="shared" si="12"/>
        <v>0</v>
      </c>
      <c r="O28" s="38">
        <f>SUM(C28:E28)+F28*0.65</f>
        <v>0</v>
      </c>
      <c r="P28" s="25">
        <f>SUM(F28:L28)*0.35</f>
        <v>0</v>
      </c>
      <c r="Q28" s="25">
        <f>SUM(H28:L28)*0.65</f>
        <v>0</v>
      </c>
      <c r="R28" s="35"/>
      <c r="S28" s="22">
        <f t="shared" ref="S28:S32" si="20">SUM(O28:R28)-M28</f>
        <v>0</v>
      </c>
    </row>
    <row r="29" spans="1:19" ht="13.95" hidden="1" customHeight="1" outlineLevel="1">
      <c r="A29" s="5" t="s">
        <v>119</v>
      </c>
      <c r="B29" s="24" t="s">
        <v>98</v>
      </c>
      <c r="C29" s="25"/>
      <c r="D29" s="25"/>
      <c r="E29" s="25">
        <f>'Vstupy cost'!$E$4*'Vstupy cost'!$B$19*1.2*24*365</f>
        <v>0</v>
      </c>
      <c r="F29" s="25">
        <f>SUM('Vstupy cost'!$E$4*'Vstupy cost'!$B$19*1.2*24*365,'Vstupy cost'!$F$4*'Vstupy cost'!$B$19*1.2*24*365/3)</f>
        <v>758199.02400000009</v>
      </c>
      <c r="G29" s="25">
        <f>'Vstupy cost'!$F$4*'Vstupy cost'!$B$19*1.2*24*365</f>
        <v>2274597.0720000002</v>
      </c>
      <c r="H29" s="25">
        <f>'Vstupy cost'!$F$4*'Vstupy cost'!$B$19*1.2*24*365</f>
        <v>2274597.0720000002</v>
      </c>
      <c r="I29" s="25">
        <f>'Vstupy cost'!$F$4*'Vstupy cost'!$B$19*1.2*24*365</f>
        <v>2274597.0720000002</v>
      </c>
      <c r="J29" s="25">
        <f>'Vstupy cost'!$F$4*'Vstupy cost'!$B$19*1.2*24*365</f>
        <v>2274597.0720000002</v>
      </c>
      <c r="K29" s="25">
        <f>'Vstupy cost'!$F$4*'Vstupy cost'!$B$19*1.2*24*365</f>
        <v>2274597.0720000002</v>
      </c>
      <c r="L29" s="25">
        <f>'Vstupy cost'!$F$4*'Vstupy cost'!$B$19*1.2*24*365</f>
        <v>2274597.0720000002</v>
      </c>
      <c r="M29" s="35">
        <f t="shared" si="12"/>
        <v>14405781.456000002</v>
      </c>
      <c r="O29" s="38">
        <f>SUM(C29:F29)</f>
        <v>758199.02400000009</v>
      </c>
      <c r="P29" s="25">
        <f>SUM(G29:K29)*0.35</f>
        <v>3980544.8760000002</v>
      </c>
      <c r="Q29" s="25">
        <f>SUM(G29:K29)*0.65+L29</f>
        <v>9667037.5560000017</v>
      </c>
      <c r="R29" s="35"/>
      <c r="S29" s="22">
        <f t="shared" si="20"/>
        <v>0</v>
      </c>
    </row>
    <row r="30" spans="1:19" s="10" customFormat="1" ht="13.95" hidden="1" customHeight="1" outlineLevel="1">
      <c r="A30" s="5" t="s">
        <v>120</v>
      </c>
      <c r="B30" s="24" t="s">
        <v>107</v>
      </c>
      <c r="C30" s="80"/>
      <c r="D30" s="25"/>
      <c r="F30" s="25">
        <f>'Vstupy cost'!$I$4*1.2</f>
        <v>0</v>
      </c>
      <c r="G30" s="25"/>
      <c r="H30" s="25"/>
      <c r="I30" s="25"/>
      <c r="J30" s="25"/>
      <c r="K30" s="25"/>
      <c r="L30" s="25"/>
      <c r="M30" s="35">
        <f t="shared" si="12"/>
        <v>0</v>
      </c>
      <c r="O30" s="38">
        <f>SUM(C30:G30)</f>
        <v>0</v>
      </c>
      <c r="P30" s="25">
        <f>SUM(H30:L30)*0.35</f>
        <v>0</v>
      </c>
      <c r="Q30" s="25">
        <f>SUM(H30:L30)*0.65</f>
        <v>0</v>
      </c>
      <c r="R30" s="35"/>
      <c r="S30" s="22">
        <f t="shared" si="20"/>
        <v>0</v>
      </c>
    </row>
    <row r="31" spans="1:19" s="10" customFormat="1" ht="13.95" hidden="1" customHeight="1" outlineLevel="1">
      <c r="A31" s="5" t="s">
        <v>121</v>
      </c>
      <c r="B31" s="24" t="s">
        <v>98</v>
      </c>
      <c r="C31" s="41"/>
      <c r="D31" s="41"/>
      <c r="E31" s="41"/>
      <c r="F31" s="41"/>
      <c r="G31" s="41">
        <f>IF($F$30=0,0,-'Vstupy cost'!$H$4*'Vstupy cost'!$B$19*1.2*12)</f>
        <v>0</v>
      </c>
      <c r="H31" s="41">
        <f>IF($F$30=0,0,-'Vstupy cost'!$H$4*'Vstupy cost'!$B$19*1.2*12)</f>
        <v>0</v>
      </c>
      <c r="I31" s="41">
        <f>IF($F$30=0,0,-'Vstupy cost'!$H$4*'Vstupy cost'!$B$19*1.2*12)</f>
        <v>0</v>
      </c>
      <c r="J31" s="41">
        <f>IF($F$30=0,0,-'Vstupy cost'!$H$4*'Vstupy cost'!$B$19*1.2*12)</f>
        <v>0</v>
      </c>
      <c r="K31" s="41">
        <f>IF($F$30=0,0,-'Vstupy cost'!$H$4*'Vstupy cost'!$B$19*1.2*12)</f>
        <v>0</v>
      </c>
      <c r="L31" s="41">
        <f>IF($F$30=0,0,-'Vstupy cost'!$H$4*'Vstupy cost'!$B$19*1.2*12)</f>
        <v>0</v>
      </c>
      <c r="M31" s="42">
        <f t="shared" si="12"/>
        <v>0</v>
      </c>
      <c r="O31" s="38">
        <f>SUM(C31:F31)</f>
        <v>0</v>
      </c>
      <c r="P31" s="25"/>
      <c r="Q31" s="25">
        <f>SUM(G31:L31)</f>
        <v>0</v>
      </c>
      <c r="R31" s="35"/>
      <c r="S31" s="22">
        <f t="shared" si="20"/>
        <v>0</v>
      </c>
    </row>
    <row r="32" spans="1:19" ht="13.95" hidden="1" customHeight="1" outlineLevel="1">
      <c r="A32" s="5" t="s">
        <v>122</v>
      </c>
      <c r="B32" s="24" t="s">
        <v>98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35">
        <f t="shared" si="12"/>
        <v>0</v>
      </c>
      <c r="O32" s="38">
        <f>SUM(C32:F32)</f>
        <v>0</v>
      </c>
      <c r="P32" s="25">
        <f>SUM(G32:K32)*0.35</f>
        <v>0</v>
      </c>
      <c r="Q32" s="25">
        <f>SUM(G32:K32)*0.65+L32</f>
        <v>0</v>
      </c>
      <c r="R32" s="35"/>
      <c r="S32" s="22">
        <f t="shared" si="20"/>
        <v>0</v>
      </c>
    </row>
    <row r="33" spans="1:19" s="11" customFormat="1" ht="13.95" hidden="1" customHeight="1" outlineLevel="1">
      <c r="A33" s="33" t="s">
        <v>99</v>
      </c>
      <c r="B33" s="32"/>
      <c r="C33" s="36">
        <f>SUM(C34:C37)</f>
        <v>267351.60000000003</v>
      </c>
      <c r="D33" s="36">
        <f t="shared" ref="D33:L33" si="21">SUM(D34:D37)</f>
        <v>1298030.8320000004</v>
      </c>
      <c r="E33" s="36">
        <f t="shared" si="21"/>
        <v>1172380.9089600001</v>
      </c>
      <c r="F33" s="36">
        <f t="shared" si="21"/>
        <v>1204096.3362288002</v>
      </c>
      <c r="G33" s="36">
        <f t="shared" si="21"/>
        <v>1236763.2263156641</v>
      </c>
      <c r="H33" s="36">
        <f t="shared" si="21"/>
        <v>1270410.1231051341</v>
      </c>
      <c r="I33" s="36">
        <f t="shared" si="21"/>
        <v>1305066.4267982882</v>
      </c>
      <c r="J33" s="36">
        <f t="shared" si="21"/>
        <v>1340762.4196022367</v>
      </c>
      <c r="K33" s="36">
        <f t="shared" si="21"/>
        <v>1377529.292190304</v>
      </c>
      <c r="L33" s="36">
        <f t="shared" si="21"/>
        <v>1415399.1709560133</v>
      </c>
      <c r="M33" s="37">
        <f t="shared" si="12"/>
        <v>11887790.336156443</v>
      </c>
      <c r="O33" s="38"/>
      <c r="P33" s="25"/>
      <c r="Q33" s="25"/>
      <c r="R33" s="35"/>
      <c r="S33" s="22"/>
    </row>
    <row r="34" spans="1:19" s="10" customFormat="1" ht="13.95" hidden="1" customHeight="1" outlineLevel="1">
      <c r="A34" s="5" t="s">
        <v>100</v>
      </c>
      <c r="B34" s="24" t="s">
        <v>98</v>
      </c>
      <c r="C34" s="25"/>
      <c r="D34" s="25">
        <f>'Vstupy cost'!$B$97*'Vstupy cost'!$B$98*1.2*12</f>
        <v>115200</v>
      </c>
      <c r="E34" s="25">
        <f>'Vstupy cost'!$B$97*'Vstupy cost'!$B$98*1.2*12</f>
        <v>115200</v>
      </c>
      <c r="F34" s="25">
        <f>'Vstupy cost'!$B$97*'Vstupy cost'!$B$98*1.2*12</f>
        <v>115200</v>
      </c>
      <c r="G34" s="25">
        <f>'Vstupy cost'!$B$97*'Vstupy cost'!$B$98*1.2*12</f>
        <v>115200</v>
      </c>
      <c r="H34" s="25">
        <f>'Vstupy cost'!$B$97*'Vstupy cost'!$B$98*1.2*12</f>
        <v>115200</v>
      </c>
      <c r="I34" s="25">
        <f>'Vstupy cost'!$B$97*'Vstupy cost'!$B$98*1.2*12</f>
        <v>115200</v>
      </c>
      <c r="J34" s="25">
        <f>'Vstupy cost'!$B$97*'Vstupy cost'!$B$98*1.2*12</f>
        <v>115200</v>
      </c>
      <c r="K34" s="25">
        <f>'Vstupy cost'!$B$97*'Vstupy cost'!$B$98*1.2*12</f>
        <v>115200</v>
      </c>
      <c r="L34" s="25">
        <f>'Vstupy cost'!$B$97*'Vstupy cost'!$B$98*1.2*12</f>
        <v>115200</v>
      </c>
      <c r="M34" s="35">
        <f t="shared" si="12"/>
        <v>1036800</v>
      </c>
      <c r="O34" s="38">
        <f>SUM(C34:F34)+G34*0.5</f>
        <v>403200</v>
      </c>
      <c r="P34" s="25"/>
      <c r="Q34" s="25">
        <f>SUM(H34:L34)+G34*0.5</f>
        <v>633600</v>
      </c>
      <c r="R34" s="35"/>
      <c r="S34" s="22">
        <f t="shared" ref="S34" si="22">SUM(O34:R34)-M34</f>
        <v>0</v>
      </c>
    </row>
    <row r="35" spans="1:19" s="10" customFormat="1" ht="13.95" hidden="1" customHeight="1" outlineLevel="1">
      <c r="A35" s="5" t="s">
        <v>101</v>
      </c>
      <c r="B35" s="24" t="s">
        <v>98</v>
      </c>
      <c r="C35" s="8">
        <f>'Vstupy cost'!B88*'Vstupy cost'!B85*12*1.398</f>
        <v>110721.60000000002</v>
      </c>
      <c r="D35" s="8">
        <f>'Vstupy cost'!C88*'Vstupy cost'!C85*12*1.398</f>
        <v>456172.99200000003</v>
      </c>
      <c r="E35" s="8">
        <f>'Vstupy cost'!D88*'Vstupy cost'!D85*12*1.398</f>
        <v>469858.18176000006</v>
      </c>
      <c r="F35" s="8">
        <f>'Vstupy cost'!E88*'Vstupy cost'!E85*12*1.398</f>
        <v>483953.92721280007</v>
      </c>
      <c r="G35" s="8">
        <f>'Vstupy cost'!F88*'Vstupy cost'!F85*12*1.398</f>
        <v>498472.54502918414</v>
      </c>
      <c r="H35" s="8">
        <f>'Vstupy cost'!G88*'Vstupy cost'!G85*12*1.398</f>
        <v>513426.72138005961</v>
      </c>
      <c r="I35" s="8">
        <f>'Vstupy cost'!H88*'Vstupy cost'!H85*12*1.398</f>
        <v>528829.52302146144</v>
      </c>
      <c r="J35" s="8">
        <f>'Vstupy cost'!I88*'Vstupy cost'!I85*12*1.398</f>
        <v>544694.40871210524</v>
      </c>
      <c r="K35" s="8">
        <f>'Vstupy cost'!J88*'Vstupy cost'!J85*12*1.398</f>
        <v>561035.24097346852</v>
      </c>
      <c r="L35" s="8">
        <f>'Vstupy cost'!K88*'Vstupy cost'!K85*12*1.398</f>
        <v>577866.29820267251</v>
      </c>
      <c r="M35" s="35">
        <f t="shared" si="12"/>
        <v>4745031.4382917508</v>
      </c>
      <c r="O35" s="38">
        <f>SUM(C35:F35)</f>
        <v>1520706.7009728001</v>
      </c>
      <c r="P35" s="25">
        <f t="shared" ref="P35:P36" si="23">SUM(G35:K35)*0.35</f>
        <v>926260.45369069744</v>
      </c>
      <c r="Q35" s="25">
        <f t="shared" ref="Q35:Q36" si="24">SUM(G35:K35)*0.65+L35</f>
        <v>2298064.2836282537</v>
      </c>
      <c r="R35" s="35"/>
      <c r="S35" s="22">
        <f>SUM(O35:R35)-M35</f>
        <v>0</v>
      </c>
    </row>
    <row r="36" spans="1:19" s="10" customFormat="1" ht="13.95" hidden="1" customHeight="1" outlineLevel="1">
      <c r="A36" s="5" t="s">
        <v>102</v>
      </c>
      <c r="B36" s="24" t="s">
        <v>98</v>
      </c>
      <c r="C36" s="8">
        <f>'Vstupy cost'!B89*'Vstupy cost'!B85*12*1.398</f>
        <v>0</v>
      </c>
      <c r="D36" s="8">
        <f>'Vstupy cost'!C89*'Vstupy cost'!C85*12*1.398</f>
        <v>570216.24000000011</v>
      </c>
      <c r="E36" s="8">
        <f>'Vstupy cost'!D89*'Vstupy cost'!D85*12*1.398</f>
        <v>587322.72719999996</v>
      </c>
      <c r="F36" s="8">
        <f>'Vstupy cost'!E89*'Vstupy cost'!E85*12*1.398</f>
        <v>604942.40901600011</v>
      </c>
      <c r="G36" s="8">
        <f>'Vstupy cost'!F89*'Vstupy cost'!F85*12*1.398</f>
        <v>623090.68128648004</v>
      </c>
      <c r="H36" s="8">
        <f>'Vstupy cost'!G89*'Vstupy cost'!G85*12*1.398</f>
        <v>641783.40172507451</v>
      </c>
      <c r="I36" s="8">
        <f>'Vstupy cost'!H89*'Vstupy cost'!H85*12*1.398</f>
        <v>661036.9037768268</v>
      </c>
      <c r="J36" s="8">
        <f>'Vstupy cost'!I89*'Vstupy cost'!I85*12*1.398</f>
        <v>680868.01089013158</v>
      </c>
      <c r="K36" s="8">
        <f>'Vstupy cost'!J89*'Vstupy cost'!J85*12*1.398</f>
        <v>701294.05121683551</v>
      </c>
      <c r="L36" s="8">
        <f>'Vstupy cost'!K89*'Vstupy cost'!K85*12*1.398</f>
        <v>722332.87275334063</v>
      </c>
      <c r="M36" s="35">
        <f t="shared" si="12"/>
        <v>5792887.2978646886</v>
      </c>
      <c r="O36" s="38">
        <f>SUM(C36:F36)-1000000</f>
        <v>762481.37621600018</v>
      </c>
      <c r="P36" s="25">
        <f t="shared" si="23"/>
        <v>1157825.5671133718</v>
      </c>
      <c r="Q36" s="25">
        <f t="shared" si="24"/>
        <v>2872580.354535317</v>
      </c>
      <c r="R36" s="35">
        <v>1000000</v>
      </c>
      <c r="S36" s="22">
        <f t="shared" ref="S36:S37" si="25">SUM(O36:R36)-M36</f>
        <v>0</v>
      </c>
    </row>
    <row r="37" spans="1:19" s="10" customFormat="1" ht="13.95" hidden="1" customHeight="1" outlineLevel="1">
      <c r="A37" s="5" t="s">
        <v>103</v>
      </c>
      <c r="B37" s="24" t="s">
        <v>98</v>
      </c>
      <c r="C37" s="25">
        <f>'Vstupy cost'!$B$117*1.2+'Vstupy cost'!$B$119*1.39</f>
        <v>156630</v>
      </c>
      <c r="D37" s="25">
        <f>'Vstupy cost'!$B$118*1.2</f>
        <v>156441.60000000001</v>
      </c>
      <c r="E37" s="25"/>
      <c r="F37" s="25"/>
      <c r="G37" s="25"/>
      <c r="H37" s="25"/>
      <c r="I37" s="25"/>
      <c r="J37" s="25"/>
      <c r="K37" s="25"/>
      <c r="L37" s="25"/>
      <c r="M37" s="35">
        <f t="shared" si="12"/>
        <v>313071.59999999998</v>
      </c>
      <c r="O37" s="38">
        <f t="shared" ref="O37" si="26">SUM(C37:G37)</f>
        <v>313071.59999999998</v>
      </c>
      <c r="P37" s="25"/>
      <c r="Q37" s="25">
        <f t="shared" ref="Q37" si="27">SUM(H37:L37)</f>
        <v>0</v>
      </c>
      <c r="R37" s="35"/>
      <c r="S37" s="22">
        <f t="shared" si="25"/>
        <v>0</v>
      </c>
    </row>
    <row r="38" spans="1:19" s="10" customFormat="1" ht="13.95" hidden="1" customHeight="1" outlineLevel="1">
      <c r="A38" s="33" t="s">
        <v>80</v>
      </c>
      <c r="B38" s="32"/>
      <c r="C38" s="36">
        <f t="shared" ref="C38:L38" si="28">SUM(C39:C39)</f>
        <v>0</v>
      </c>
      <c r="D38" s="36">
        <f t="shared" si="28"/>
        <v>253000</v>
      </c>
      <c r="E38" s="36">
        <f t="shared" si="28"/>
        <v>455000</v>
      </c>
      <c r="F38" s="36">
        <f t="shared" si="28"/>
        <v>750000</v>
      </c>
      <c r="G38" s="36">
        <f t="shared" si="28"/>
        <v>990000</v>
      </c>
      <c r="H38" s="36">
        <f t="shared" si="28"/>
        <v>990000</v>
      </c>
      <c r="I38" s="36">
        <f t="shared" si="28"/>
        <v>990000</v>
      </c>
      <c r="J38" s="36">
        <f t="shared" si="28"/>
        <v>990000</v>
      </c>
      <c r="K38" s="36">
        <f t="shared" si="28"/>
        <v>990000</v>
      </c>
      <c r="L38" s="36">
        <f t="shared" si="28"/>
        <v>990000</v>
      </c>
      <c r="M38" s="37">
        <f t="shared" si="12"/>
        <v>7398000</v>
      </c>
      <c r="O38" s="38"/>
      <c r="P38" s="25"/>
      <c r="Q38" s="25"/>
      <c r="R38" s="35"/>
      <c r="S38" s="22"/>
    </row>
    <row r="39" spans="1:19" ht="13.95" hidden="1" customHeight="1" outlineLevel="1" thickBot="1">
      <c r="A39" s="9" t="s">
        <v>104</v>
      </c>
      <c r="B39" s="39"/>
      <c r="C39" s="39">
        <f>'Vstupy cost'!$B$113</f>
        <v>0</v>
      </c>
      <c r="D39" s="39">
        <f>'Vstupy cost'!$C$113</f>
        <v>253000</v>
      </c>
      <c r="E39" s="39">
        <f>'Vstupy cost'!$D$113</f>
        <v>455000</v>
      </c>
      <c r="F39" s="39">
        <f>'Vstupy cost'!$E$113</f>
        <v>750000</v>
      </c>
      <c r="G39" s="39">
        <f>'Vstupy cost'!$F$113</f>
        <v>990000</v>
      </c>
      <c r="H39" s="39">
        <f>'Vstupy cost'!$G$113</f>
        <v>990000</v>
      </c>
      <c r="I39" s="39">
        <f>'Vstupy cost'!$H$113</f>
        <v>990000</v>
      </c>
      <c r="J39" s="39">
        <f>'Vstupy cost'!$I$113</f>
        <v>990000</v>
      </c>
      <c r="K39" s="39">
        <f>'Vstupy cost'!$J$113</f>
        <v>990000</v>
      </c>
      <c r="L39" s="39">
        <f>'Vstupy cost'!$K$113</f>
        <v>990000</v>
      </c>
      <c r="M39" s="40">
        <f t="shared" si="12"/>
        <v>7398000</v>
      </c>
      <c r="O39" s="188">
        <f>SUM(C39:F39)</f>
        <v>1458000</v>
      </c>
      <c r="P39" s="39"/>
      <c r="Q39" s="39">
        <v>3000000</v>
      </c>
      <c r="R39" s="40">
        <f>SUM(G39:L39)-Q39</f>
        <v>2940000</v>
      </c>
      <c r="S39" s="22">
        <f t="shared" ref="S39" si="29">SUM(O39:R39)-M39</f>
        <v>0</v>
      </c>
    </row>
    <row r="40" spans="1:19" ht="13.95" hidden="1" customHeight="1" outlineLevel="1">
      <c r="S40" s="22"/>
    </row>
    <row r="41" spans="1:19" s="10" customFormat="1" ht="13.95" hidden="1" customHeight="1" collapsed="1">
      <c r="A41" s="1" t="s">
        <v>16</v>
      </c>
      <c r="B41" s="2"/>
      <c r="C41" s="125">
        <f>SUM(C43,C49,C60,C65)</f>
        <v>267351.60000000003</v>
      </c>
      <c r="D41" s="125">
        <f t="shared" ref="D41:L41" si="30">SUM(D43,D49,D60,D65)</f>
        <v>1551030.8320000004</v>
      </c>
      <c r="E41" s="125">
        <f t="shared" si="30"/>
        <v>6917393.6129599996</v>
      </c>
      <c r="F41" s="125">
        <f t="shared" si="30"/>
        <v>12021621.040228801</v>
      </c>
      <c r="G41" s="125">
        <f t="shared" si="30"/>
        <v>10192411.226315664</v>
      </c>
      <c r="H41" s="125">
        <f t="shared" si="30"/>
        <v>10226058.123105135</v>
      </c>
      <c r="I41" s="125">
        <f t="shared" si="30"/>
        <v>10260714.426798288</v>
      </c>
      <c r="J41" s="125">
        <f t="shared" si="30"/>
        <v>10410026.419602238</v>
      </c>
      <c r="K41" s="125">
        <f t="shared" si="30"/>
        <v>10621177.292190304</v>
      </c>
      <c r="L41" s="125">
        <f t="shared" si="30"/>
        <v>10659047.170956014</v>
      </c>
      <c r="M41" s="126">
        <f>SUM(C41:L41)</f>
        <v>83126831.744156435</v>
      </c>
      <c r="O41" s="128">
        <f>SUM(O43:O66)</f>
        <v>19743058.285188802</v>
      </c>
      <c r="P41" s="129">
        <f>SUM(P43:P66)</f>
        <v>17261466.420804068</v>
      </c>
      <c r="Q41" s="129">
        <f>SUM(Q43:Q66)</f>
        <v>42182307.038163573</v>
      </c>
      <c r="R41" s="130">
        <f>SUM(R43:R66)</f>
        <v>3940000</v>
      </c>
      <c r="S41" s="22">
        <f>SUM(O41:R41)-M41</f>
        <v>0</v>
      </c>
    </row>
    <row r="42" spans="1:19" s="10" customFormat="1" ht="13.95" hidden="1" customHeight="1" outlineLevel="1">
      <c r="A42" s="6"/>
      <c r="B42" s="4" t="s">
        <v>83</v>
      </c>
      <c r="C42" s="4" t="s">
        <v>84</v>
      </c>
      <c r="D42" s="4" t="s">
        <v>85</v>
      </c>
      <c r="E42" s="4" t="s">
        <v>86</v>
      </c>
      <c r="F42" s="4" t="s">
        <v>87</v>
      </c>
      <c r="G42" s="4" t="s">
        <v>88</v>
      </c>
      <c r="H42" s="4" t="s">
        <v>89</v>
      </c>
      <c r="I42" s="4" t="s">
        <v>90</v>
      </c>
      <c r="J42" s="4" t="s">
        <v>91</v>
      </c>
      <c r="K42" s="4" t="s">
        <v>92</v>
      </c>
      <c r="L42" s="4" t="s">
        <v>93</v>
      </c>
      <c r="M42" s="34" t="s">
        <v>11</v>
      </c>
      <c r="O42" s="27" t="s">
        <v>94</v>
      </c>
      <c r="P42" s="4" t="s">
        <v>95</v>
      </c>
      <c r="Q42" s="4" t="s">
        <v>96</v>
      </c>
      <c r="R42" s="28" t="s">
        <v>97</v>
      </c>
    </row>
    <row r="43" spans="1:19" s="11" customFormat="1" ht="13.95" hidden="1" customHeight="1" outlineLevel="1" collapsed="1">
      <c r="A43" s="33" t="s">
        <v>105</v>
      </c>
      <c r="B43" s="32"/>
      <c r="C43" s="36">
        <f>SUM(C44:C48)</f>
        <v>0</v>
      </c>
      <c r="D43" s="36">
        <f t="shared" ref="D43:L43" si="31">SUM(D44:D48)</f>
        <v>0</v>
      </c>
      <c r="E43" s="36">
        <f t="shared" si="31"/>
        <v>3957936</v>
      </c>
      <c r="F43" s="36">
        <f t="shared" si="31"/>
        <v>6026400</v>
      </c>
      <c r="G43" s="36">
        <f t="shared" si="31"/>
        <v>75600</v>
      </c>
      <c r="H43" s="36">
        <f t="shared" si="31"/>
        <v>75600</v>
      </c>
      <c r="I43" s="36">
        <f t="shared" si="31"/>
        <v>75600</v>
      </c>
      <c r="J43" s="36">
        <f t="shared" si="31"/>
        <v>189216</v>
      </c>
      <c r="K43" s="36">
        <f t="shared" si="31"/>
        <v>363600</v>
      </c>
      <c r="L43" s="36">
        <f t="shared" si="31"/>
        <v>363600</v>
      </c>
      <c r="M43" s="37">
        <f t="shared" ref="M43:M66" si="32">SUM(C43:L43)</f>
        <v>11127552</v>
      </c>
      <c r="O43" s="38"/>
      <c r="P43" s="25"/>
      <c r="Q43" s="25"/>
      <c r="R43" s="149"/>
      <c r="S43" s="22"/>
    </row>
    <row r="44" spans="1:19" ht="13.95" hidden="1" customHeight="1" outlineLevel="1">
      <c r="A44" s="5" t="s">
        <v>106</v>
      </c>
      <c r="B44" s="24" t="s">
        <v>107</v>
      </c>
      <c r="C44" s="25"/>
      <c r="D44" s="25"/>
      <c r="E44" s="25">
        <f>'Vstupy cost'!$M$5*1.2</f>
        <v>3787200</v>
      </c>
      <c r="F44" s="25">
        <f>'Vstupy cost'!$N$5*1.2</f>
        <v>5812800</v>
      </c>
      <c r="G44" s="25"/>
      <c r="H44" s="25"/>
      <c r="I44" s="25"/>
      <c r="J44" s="25"/>
      <c r="K44" s="25"/>
      <c r="L44" s="25"/>
      <c r="M44" s="35">
        <f t="shared" si="32"/>
        <v>9600000</v>
      </c>
      <c r="O44" s="38">
        <f>SUM(C44:E44)+0.65*F44</f>
        <v>7565520</v>
      </c>
      <c r="P44" s="25">
        <f>SUM(F44:K44)*0.35</f>
        <v>2034479.9999999998</v>
      </c>
      <c r="Q44" s="25">
        <f>SUM(H44:L44)*0.65</f>
        <v>0</v>
      </c>
      <c r="R44" s="35"/>
      <c r="S44" s="22">
        <f t="shared" ref="S44:S47" si="33">SUM(O44:R44)-M44</f>
        <v>0</v>
      </c>
    </row>
    <row r="45" spans="1:19" ht="13.95" hidden="1" customHeight="1" outlineLevel="1">
      <c r="A45" s="5" t="s">
        <v>108</v>
      </c>
      <c r="B45" s="24" t="s">
        <v>107</v>
      </c>
      <c r="C45" s="25"/>
      <c r="D45" s="25"/>
      <c r="E45" s="25">
        <f>ROUND('Vstupy cost'!$C$188*1.2,-3)</f>
        <v>138000</v>
      </c>
      <c r="F45" s="25">
        <f>ROUND('Vstupy cost'!$C$188*1.2,-3)</f>
        <v>138000</v>
      </c>
      <c r="G45" s="25"/>
      <c r="H45" s="25"/>
      <c r="I45" s="25"/>
      <c r="J45" s="25"/>
      <c r="K45" s="25"/>
      <c r="L45" s="25"/>
      <c r="M45" s="35">
        <f t="shared" si="32"/>
        <v>276000</v>
      </c>
      <c r="O45" s="38">
        <f>SUM(C45:E45)+F45*0.65</f>
        <v>227700</v>
      </c>
      <c r="P45" s="25">
        <f>SUM(F45:K45)*0.35</f>
        <v>48300</v>
      </c>
      <c r="Q45" s="25">
        <f>SUM(H45:L45)*0.65</f>
        <v>0</v>
      </c>
      <c r="R45" s="35"/>
      <c r="S45" s="22">
        <f t="shared" si="33"/>
        <v>0</v>
      </c>
    </row>
    <row r="46" spans="1:19" ht="13.95" hidden="1" customHeight="1" outlineLevel="1">
      <c r="A46" s="5" t="s">
        <v>109</v>
      </c>
      <c r="B46" s="24" t="s">
        <v>98</v>
      </c>
      <c r="C46" s="25"/>
      <c r="D46" s="25"/>
      <c r="E46" s="25"/>
      <c r="F46" s="25"/>
      <c r="G46" s="25"/>
      <c r="H46" s="25"/>
      <c r="I46" s="25"/>
      <c r="J46" s="25">
        <f>$E$44*'Vstupy cost'!$B$48</f>
        <v>113616</v>
      </c>
      <c r="K46" s="25">
        <f>SUM($E$44:$F$44)*'Vstupy cost'!$B$48</f>
        <v>288000</v>
      </c>
      <c r="L46" s="25">
        <f>SUM($E$44:$F$44)*'Vstupy cost'!$B$48</f>
        <v>288000</v>
      </c>
      <c r="M46" s="35">
        <f t="shared" si="32"/>
        <v>689616</v>
      </c>
      <c r="O46" s="38">
        <f t="shared" ref="O46" si="34">SUM(C46:F46)</f>
        <v>0</v>
      </c>
      <c r="P46" s="25"/>
      <c r="Q46" s="25">
        <f>SUM(H46:L46)</f>
        <v>689616</v>
      </c>
      <c r="R46" s="35"/>
      <c r="S46" s="22">
        <f t="shared" si="33"/>
        <v>0</v>
      </c>
    </row>
    <row r="47" spans="1:19" ht="13.95" hidden="1" customHeight="1" outlineLevel="1">
      <c r="A47" s="5" t="s">
        <v>110</v>
      </c>
      <c r="B47" s="24" t="s">
        <v>98</v>
      </c>
      <c r="C47" s="25"/>
      <c r="D47" s="25"/>
      <c r="E47" s="25">
        <f>$E$45*'Vstupy cost'!$B$190</f>
        <v>13800</v>
      </c>
      <c r="F47" s="25">
        <f>SUM($E$45,$F$45)*'Vstupy cost'!$B$190</f>
        <v>27600</v>
      </c>
      <c r="G47" s="25">
        <f>SUM($E$45,$F$45)*'Vstupy cost'!$B$190</f>
        <v>27600</v>
      </c>
      <c r="H47" s="25">
        <f>SUM($E$45,$F$45)*'Vstupy cost'!$B$190</f>
        <v>27600</v>
      </c>
      <c r="I47" s="25">
        <f>SUM($E$45,$F$45)*'Vstupy cost'!$B$190</f>
        <v>27600</v>
      </c>
      <c r="J47" s="25">
        <f>SUM($E$45,$F$45)*'Vstupy cost'!$B$190</f>
        <v>27600</v>
      </c>
      <c r="K47" s="25">
        <f>SUM($E$45,$F$45)*'Vstupy cost'!$B$190</f>
        <v>27600</v>
      </c>
      <c r="L47" s="25">
        <f>SUM($E$45,$F$45)*'Vstupy cost'!$B$190</f>
        <v>27600</v>
      </c>
      <c r="M47" s="35">
        <f t="shared" si="32"/>
        <v>207000</v>
      </c>
      <c r="O47" s="38">
        <f>SUM(C47:G47)</f>
        <v>69000</v>
      </c>
      <c r="P47" s="25"/>
      <c r="Q47" s="25">
        <f>SUM(H47:L47)</f>
        <v>138000</v>
      </c>
      <c r="R47" s="35"/>
      <c r="S47" s="22">
        <f t="shared" si="33"/>
        <v>0</v>
      </c>
    </row>
    <row r="48" spans="1:19" ht="13.95" hidden="1" customHeight="1" outlineLevel="1">
      <c r="A48" s="5" t="s">
        <v>111</v>
      </c>
      <c r="B48" s="24" t="s">
        <v>98</v>
      </c>
      <c r="C48" s="25"/>
      <c r="D48" s="25"/>
      <c r="E48" s="25">
        <f>'Vstupy cost'!$R$5*1.2</f>
        <v>18936</v>
      </c>
      <c r="F48" s="25">
        <f>'Vstupy cost'!$S$5*1.2</f>
        <v>48000</v>
      </c>
      <c r="G48" s="25">
        <f>'Vstupy cost'!$S$5*1.2</f>
        <v>48000</v>
      </c>
      <c r="H48" s="25">
        <f>'Vstupy cost'!$S$5*1.2</f>
        <v>48000</v>
      </c>
      <c r="I48" s="25">
        <f>'Vstupy cost'!$S$5*1.2</f>
        <v>48000</v>
      </c>
      <c r="J48" s="25">
        <f>'Vstupy cost'!$S$5*1.2</f>
        <v>48000</v>
      </c>
      <c r="K48" s="25">
        <f>'Vstupy cost'!$S$5*1.2</f>
        <v>48000</v>
      </c>
      <c r="L48" s="25">
        <f>'Vstupy cost'!$S$5*1.2</f>
        <v>48000</v>
      </c>
      <c r="M48" s="35">
        <f t="shared" si="32"/>
        <v>354936</v>
      </c>
      <c r="O48" s="38">
        <f>SUM(E48:G48)</f>
        <v>114936</v>
      </c>
      <c r="P48" s="25"/>
      <c r="Q48" s="25">
        <f>SUM(H48:L48)</f>
        <v>240000</v>
      </c>
      <c r="R48" s="35"/>
      <c r="S48" s="22"/>
    </row>
    <row r="49" spans="1:19" s="23" customFormat="1" ht="13.95" hidden="1" customHeight="1" outlineLevel="1" collapsed="1">
      <c r="A49" s="33" t="s">
        <v>112</v>
      </c>
      <c r="B49" s="32"/>
      <c r="C49" s="36">
        <f>SUM(C50:C58)</f>
        <v>0</v>
      </c>
      <c r="D49" s="36">
        <f t="shared" ref="D49:L49" si="35">SUM(D50:D58)</f>
        <v>0</v>
      </c>
      <c r="E49" s="36">
        <f>SUM(E50:E58)</f>
        <v>1332076.7039999999</v>
      </c>
      <c r="F49" s="36">
        <f t="shared" si="35"/>
        <v>4041124.7039999999</v>
      </c>
      <c r="G49" s="36">
        <f t="shared" si="35"/>
        <v>7890048</v>
      </c>
      <c r="H49" s="36">
        <f t="shared" si="35"/>
        <v>7890048</v>
      </c>
      <c r="I49" s="36">
        <f t="shared" si="35"/>
        <v>7890048</v>
      </c>
      <c r="J49" s="36">
        <f t="shared" si="35"/>
        <v>7890048</v>
      </c>
      <c r="K49" s="36">
        <f t="shared" si="35"/>
        <v>7890048</v>
      </c>
      <c r="L49" s="36">
        <f t="shared" si="35"/>
        <v>7890048</v>
      </c>
      <c r="M49" s="37">
        <f t="shared" si="32"/>
        <v>52713489.408</v>
      </c>
      <c r="O49" s="38"/>
      <c r="P49" s="25"/>
      <c r="Q49" s="25"/>
      <c r="R49" s="35"/>
      <c r="S49" s="22"/>
    </row>
    <row r="50" spans="1:19" s="10" customFormat="1" ht="13.95" hidden="1" customHeight="1" outlineLevel="1">
      <c r="A50" s="5" t="s">
        <v>113</v>
      </c>
      <c r="B50" s="24" t="s">
        <v>107</v>
      </c>
      <c r="C50" s="25"/>
      <c r="D50" s="25"/>
      <c r="E50" s="25">
        <f>'Vstupy cost'!O5*1.2</f>
        <v>600000</v>
      </c>
      <c r="G50" s="25"/>
      <c r="H50" s="25"/>
      <c r="I50" s="25"/>
      <c r="J50" s="25"/>
      <c r="K50" s="25"/>
      <c r="L50" s="25"/>
      <c r="M50" s="35">
        <f t="shared" si="32"/>
        <v>600000</v>
      </c>
      <c r="O50" s="38">
        <f>E50</f>
        <v>600000</v>
      </c>
      <c r="P50" s="25"/>
      <c r="Q50" s="25"/>
      <c r="R50" s="35"/>
      <c r="S50" s="22">
        <f t="shared" ref="S50:S51" si="36">SUM(O50:R50)-M50</f>
        <v>0</v>
      </c>
    </row>
    <row r="51" spans="1:19" s="10" customFormat="1" ht="13.95" hidden="1" customHeight="1" outlineLevel="1">
      <c r="A51" s="5" t="s">
        <v>114</v>
      </c>
      <c r="B51" s="24" t="s">
        <v>98</v>
      </c>
      <c r="C51" s="25"/>
      <c r="D51" s="25"/>
      <c r="F51" s="25">
        <f>'Vstupy cost'!$B$52*12*1.2/2</f>
        <v>2037096</v>
      </c>
      <c r="G51" s="25">
        <f>'Vstupy cost'!$B$52*12*1.2</f>
        <v>4074192</v>
      </c>
      <c r="H51" s="25">
        <f>'Vstupy cost'!$B$52*12*1.2</f>
        <v>4074192</v>
      </c>
      <c r="I51" s="25">
        <f>'Vstupy cost'!$B$52*12*1.2</f>
        <v>4074192</v>
      </c>
      <c r="J51" s="25">
        <f>'Vstupy cost'!$B$52*12*1.2</f>
        <v>4074192</v>
      </c>
      <c r="K51" s="25">
        <f>'Vstupy cost'!$B$52*12*1.2</f>
        <v>4074192</v>
      </c>
      <c r="L51" s="25">
        <f>'Vstupy cost'!$B$52*12*1.2</f>
        <v>4074192</v>
      </c>
      <c r="M51" s="35">
        <f t="shared" si="32"/>
        <v>26482248</v>
      </c>
      <c r="O51" s="38">
        <f>SUM(F51:G51)*0.65</f>
        <v>3972337.2</v>
      </c>
      <c r="P51" s="25">
        <f>SUM(F51:J51)*0.35</f>
        <v>6416852.3999999994</v>
      </c>
      <c r="Q51" s="25">
        <f>SUM(H51:J51)*0.65+SUM(K51:L51)</f>
        <v>16093058.4</v>
      </c>
      <c r="R51" s="35"/>
      <c r="S51" s="22">
        <f t="shared" si="36"/>
        <v>0</v>
      </c>
    </row>
    <row r="52" spans="1:19" ht="13.95" hidden="1" customHeight="1" outlineLevel="1">
      <c r="A52" s="5" t="s">
        <v>115</v>
      </c>
      <c r="B52" s="24" t="s">
        <v>107</v>
      </c>
      <c r="C52" s="25"/>
      <c r="E52" s="25"/>
      <c r="F52" s="25"/>
      <c r="G52" s="25"/>
      <c r="H52" s="25"/>
      <c r="I52" s="25"/>
      <c r="J52" s="25"/>
      <c r="K52" s="25"/>
      <c r="L52" s="25"/>
      <c r="M52" s="35">
        <f t="shared" si="32"/>
        <v>0</v>
      </c>
      <c r="O52" s="38">
        <f>SUM(C52:F52)</f>
        <v>0</v>
      </c>
      <c r="P52" s="25">
        <f>SUM(H52:K52)*0.35</f>
        <v>0</v>
      </c>
      <c r="Q52" s="25">
        <f>SUM(H52:K52)*0.65+L52</f>
        <v>0</v>
      </c>
      <c r="R52" s="35"/>
      <c r="S52" s="22">
        <f t="shared" ref="S52" si="37">SUM(O52:R52)-M52</f>
        <v>0</v>
      </c>
    </row>
    <row r="53" spans="1:19" ht="13.95" hidden="1" customHeight="1" outlineLevel="1">
      <c r="A53" s="5" t="s">
        <v>116</v>
      </c>
      <c r="B53" s="24" t="s">
        <v>107</v>
      </c>
      <c r="C53" s="80"/>
      <c r="D53" s="25"/>
      <c r="E53" s="25"/>
      <c r="F53" s="25"/>
      <c r="G53" s="25"/>
      <c r="H53" s="25"/>
      <c r="I53" s="25"/>
      <c r="J53" s="25"/>
      <c r="K53" s="25"/>
      <c r="L53" s="25"/>
      <c r="M53" s="35">
        <f t="shared" si="32"/>
        <v>0</v>
      </c>
      <c r="O53" s="38">
        <f t="shared" ref="O53:O54" si="38">SUM(C53:F53)</f>
        <v>0</v>
      </c>
      <c r="P53" s="25"/>
      <c r="Q53" s="25"/>
      <c r="R53" s="35"/>
      <c r="S53" s="22">
        <f t="shared" ref="S53:S54" si="39">SUM(O53:R53)-M53</f>
        <v>0</v>
      </c>
    </row>
    <row r="54" spans="1:19" ht="13.95" hidden="1" customHeight="1" outlineLevel="1">
      <c r="A54" s="5" t="s">
        <v>117</v>
      </c>
      <c r="B54" s="24" t="s">
        <v>107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5">
        <f t="shared" si="32"/>
        <v>0</v>
      </c>
      <c r="O54" s="38">
        <f t="shared" si="38"/>
        <v>0</v>
      </c>
      <c r="P54" s="25"/>
      <c r="Q54" s="25"/>
      <c r="R54" s="35"/>
      <c r="S54" s="22">
        <f t="shared" si="39"/>
        <v>0</v>
      </c>
    </row>
    <row r="55" spans="1:19" s="10" customFormat="1" ht="13.95" hidden="1" customHeight="1" outlineLevel="1">
      <c r="A55" s="5" t="s">
        <v>118</v>
      </c>
      <c r="B55" s="24" t="s">
        <v>107</v>
      </c>
      <c r="C55" s="80"/>
      <c r="D55" s="25"/>
      <c r="E55" s="25">
        <f>'Vstupy cost'!$K$5*1.2</f>
        <v>0</v>
      </c>
      <c r="F55" s="25">
        <f>'Vstupy cost'!$L$5*1.2</f>
        <v>0</v>
      </c>
      <c r="H55" s="25"/>
      <c r="I55" s="25"/>
      <c r="J55" s="25"/>
      <c r="K55" s="25"/>
      <c r="L55" s="25"/>
      <c r="M55" s="35">
        <f t="shared" si="32"/>
        <v>0</v>
      </c>
      <c r="O55" s="38">
        <f>SUM(C55:E55)+F55*0.65</f>
        <v>0</v>
      </c>
      <c r="P55" s="25">
        <f>SUM(F55:L55)*0.35</f>
        <v>0</v>
      </c>
      <c r="Q55" s="25">
        <f>SUM(H55:L55)*0.65</f>
        <v>0</v>
      </c>
      <c r="R55" s="35"/>
      <c r="S55" s="22">
        <f t="shared" ref="S55:S59" si="40">SUM(O55:R55)-M55</f>
        <v>0</v>
      </c>
    </row>
    <row r="56" spans="1:19" ht="13.95" hidden="1" customHeight="1" outlineLevel="1">
      <c r="A56" s="5" t="s">
        <v>119</v>
      </c>
      <c r="B56" s="24" t="s">
        <v>98</v>
      </c>
      <c r="C56" s="25"/>
      <c r="D56" s="25"/>
      <c r="E56" s="25">
        <f>'Vstupy cost'!$E$5*'Vstupy cost'!$B$19*1.2*24*365</f>
        <v>732076.70399999991</v>
      </c>
      <c r="F56" s="25">
        <f>SUM('Vstupy cost'!$E$5*'Vstupy cost'!$B$19*1.2*24*365,'Vstupy cost'!$F$5*'Vstupy cost'!$B$19*1.2*24*365/3)</f>
        <v>2004028.7039999999</v>
      </c>
      <c r="G56" s="25">
        <f>'Vstupy cost'!$F$5*'Vstupy cost'!$B$19*1.2*24*365</f>
        <v>3815856</v>
      </c>
      <c r="H56" s="25">
        <f>'Vstupy cost'!$F$5*'Vstupy cost'!$B$19*1.2*24*365</f>
        <v>3815856</v>
      </c>
      <c r="I56" s="25">
        <f>'Vstupy cost'!$F$5*'Vstupy cost'!$B$19*1.2*24*365</f>
        <v>3815856</v>
      </c>
      <c r="J56" s="25">
        <f>'Vstupy cost'!$F$5*'Vstupy cost'!$B$19*1.2*24*365</f>
        <v>3815856</v>
      </c>
      <c r="K56" s="25">
        <f>'Vstupy cost'!$F$5*'Vstupy cost'!$B$19*1.2*24*365</f>
        <v>3815856</v>
      </c>
      <c r="L56" s="25">
        <f>'Vstupy cost'!$F$5*'Vstupy cost'!$B$19*1.2*24*365</f>
        <v>3815856</v>
      </c>
      <c r="M56" s="35">
        <f t="shared" si="32"/>
        <v>25631241.408</v>
      </c>
      <c r="O56" s="38">
        <f>SUM(C56:F56)</f>
        <v>2736105.4079999998</v>
      </c>
      <c r="P56" s="25">
        <f>SUM(G56:K56)*0.35</f>
        <v>6677748</v>
      </c>
      <c r="Q56" s="25">
        <f>SUM(G56:K56)*0.65+L56</f>
        <v>16217388</v>
      </c>
      <c r="R56" s="35"/>
      <c r="S56" s="22">
        <f t="shared" si="40"/>
        <v>0</v>
      </c>
    </row>
    <row r="57" spans="1:19" s="10" customFormat="1" ht="13.95" hidden="1" customHeight="1" outlineLevel="1">
      <c r="A57" s="5" t="s">
        <v>120</v>
      </c>
      <c r="B57" s="24" t="s">
        <v>107</v>
      </c>
      <c r="C57" s="25"/>
      <c r="D57" s="25"/>
      <c r="F57" s="25">
        <f>'Vstupy cost'!$I$5*1.2</f>
        <v>0</v>
      </c>
      <c r="G57" s="25"/>
      <c r="H57" s="25"/>
      <c r="I57" s="25"/>
      <c r="J57" s="25"/>
      <c r="K57" s="25"/>
      <c r="L57" s="25"/>
      <c r="M57" s="35">
        <f t="shared" si="32"/>
        <v>0</v>
      </c>
      <c r="O57" s="38">
        <f>SUM(C57:G57)</f>
        <v>0</v>
      </c>
      <c r="P57" s="25">
        <f>SUM(H57:L57)*0.35</f>
        <v>0</v>
      </c>
      <c r="Q57" s="25">
        <f>SUM(H57:L57)*0.65</f>
        <v>0</v>
      </c>
      <c r="R57" s="35"/>
      <c r="S57" s="22">
        <f t="shared" si="40"/>
        <v>0</v>
      </c>
    </row>
    <row r="58" spans="1:19" s="10" customFormat="1" ht="13.95" hidden="1" customHeight="1" outlineLevel="1">
      <c r="A58" s="5" t="s">
        <v>121</v>
      </c>
      <c r="B58" s="24" t="s">
        <v>98</v>
      </c>
      <c r="C58" s="41"/>
      <c r="D58" s="41"/>
      <c r="E58" s="41"/>
      <c r="F58" s="41"/>
      <c r="G58" s="41">
        <f>IF($F$57=0,0,-'Vstupy cost'!$H$5*'Vstupy cost'!$B$19*1.2*12)</f>
        <v>0</v>
      </c>
      <c r="H58" s="41">
        <f>IF($F$57=0,0,-'Vstupy cost'!$H$5*'Vstupy cost'!$B$19*1.2*12)</f>
        <v>0</v>
      </c>
      <c r="I58" s="41">
        <f>IF($F$57=0,0,-'Vstupy cost'!$H$5*'Vstupy cost'!$B$19*1.2*12)</f>
        <v>0</v>
      </c>
      <c r="J58" s="41">
        <f>IF($F$57=0,0,-'Vstupy cost'!$H$5*'Vstupy cost'!$B$19*1.2*12)</f>
        <v>0</v>
      </c>
      <c r="K58" s="41">
        <f>IF($F$57=0,0,-'Vstupy cost'!$H$5*'Vstupy cost'!$B$19*1.2*12)</f>
        <v>0</v>
      </c>
      <c r="L58" s="41">
        <f>IF($F$57=0,0,-'Vstupy cost'!$H$5*'Vstupy cost'!$B$19*1.2*12)</f>
        <v>0</v>
      </c>
      <c r="M58" s="42">
        <f t="shared" si="32"/>
        <v>0</v>
      </c>
      <c r="O58" s="38">
        <f>SUM(C58:F58)</f>
        <v>0</v>
      </c>
      <c r="P58" s="25"/>
      <c r="Q58" s="25">
        <f>SUM(G58:L58)</f>
        <v>0</v>
      </c>
      <c r="R58" s="35"/>
      <c r="S58" s="22">
        <f t="shared" si="40"/>
        <v>0</v>
      </c>
    </row>
    <row r="59" spans="1:19" ht="13.95" hidden="1" customHeight="1" outlineLevel="1">
      <c r="A59" s="5" t="s">
        <v>122</v>
      </c>
      <c r="B59" s="24" t="s">
        <v>98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35">
        <f t="shared" si="32"/>
        <v>0</v>
      </c>
      <c r="O59" s="38">
        <f>SUM(C59:F59)</f>
        <v>0</v>
      </c>
      <c r="P59" s="25">
        <f>SUM(G59:K59)*0.35</f>
        <v>0</v>
      </c>
      <c r="Q59" s="25">
        <f>SUM(G59:K59)*0.65+L59</f>
        <v>0</v>
      </c>
      <c r="R59" s="35"/>
      <c r="S59" s="22">
        <f t="shared" si="40"/>
        <v>0</v>
      </c>
    </row>
    <row r="60" spans="1:19" s="11" customFormat="1" ht="13.95" hidden="1" customHeight="1" outlineLevel="1" collapsed="1">
      <c r="A60" s="33" t="s">
        <v>99</v>
      </c>
      <c r="B60" s="32"/>
      <c r="C60" s="36">
        <f>SUM(C61:C64)</f>
        <v>267351.60000000003</v>
      </c>
      <c r="D60" s="36">
        <f t="shared" ref="D60:L60" si="41">SUM(D61:D64)</f>
        <v>1298030.8320000004</v>
      </c>
      <c r="E60" s="36">
        <f t="shared" si="41"/>
        <v>1172380.9089600001</v>
      </c>
      <c r="F60" s="36">
        <f t="shared" si="41"/>
        <v>1204096.3362288002</v>
      </c>
      <c r="G60" s="36">
        <f t="shared" si="41"/>
        <v>1236763.2263156641</v>
      </c>
      <c r="H60" s="36">
        <f t="shared" si="41"/>
        <v>1270410.1231051341</v>
      </c>
      <c r="I60" s="36">
        <f t="shared" si="41"/>
        <v>1305066.4267982882</v>
      </c>
      <c r="J60" s="36">
        <f t="shared" si="41"/>
        <v>1340762.4196022367</v>
      </c>
      <c r="K60" s="36">
        <f t="shared" si="41"/>
        <v>1377529.292190304</v>
      </c>
      <c r="L60" s="36">
        <f t="shared" si="41"/>
        <v>1415399.1709560133</v>
      </c>
      <c r="M60" s="37">
        <f t="shared" si="32"/>
        <v>11887790.336156443</v>
      </c>
      <c r="O60" s="38"/>
      <c r="P60" s="25"/>
      <c r="Q60" s="25"/>
      <c r="R60" s="35"/>
      <c r="S60" s="22"/>
    </row>
    <row r="61" spans="1:19" s="10" customFormat="1" ht="13.95" hidden="1" customHeight="1" outlineLevel="1">
      <c r="A61" s="5" t="s">
        <v>100</v>
      </c>
      <c r="B61" s="24" t="s">
        <v>98</v>
      </c>
      <c r="C61" s="25"/>
      <c r="D61" s="25">
        <f>'Vstupy cost'!$B$97*'Vstupy cost'!$B$98*1.2*12</f>
        <v>115200</v>
      </c>
      <c r="E61" s="25">
        <f>'Vstupy cost'!$B$97*'Vstupy cost'!$B$98*1.2*12</f>
        <v>115200</v>
      </c>
      <c r="F61" s="25">
        <f>'Vstupy cost'!$B$97*'Vstupy cost'!$B$98*1.2*12</f>
        <v>115200</v>
      </c>
      <c r="G61" s="25">
        <f>'Vstupy cost'!$B$97*'Vstupy cost'!$B$98*1.2*12</f>
        <v>115200</v>
      </c>
      <c r="H61" s="25">
        <f>'Vstupy cost'!$B$97*'Vstupy cost'!$B$98*1.2*12</f>
        <v>115200</v>
      </c>
      <c r="I61" s="25">
        <f>'Vstupy cost'!$B$97*'Vstupy cost'!$B$98*1.2*12</f>
        <v>115200</v>
      </c>
      <c r="J61" s="25">
        <f>'Vstupy cost'!$B$97*'Vstupy cost'!$B$98*1.2*12</f>
        <v>115200</v>
      </c>
      <c r="K61" s="25">
        <f>'Vstupy cost'!$B$97*'Vstupy cost'!$B$98*1.2*12</f>
        <v>115200</v>
      </c>
      <c r="L61" s="25">
        <f>'Vstupy cost'!$B$97*'Vstupy cost'!$B$98*1.2*12</f>
        <v>115200</v>
      </c>
      <c r="M61" s="35">
        <f t="shared" si="32"/>
        <v>1036800</v>
      </c>
      <c r="O61" s="38">
        <f>SUM(C61:F61)+G61*0.5</f>
        <v>403200</v>
      </c>
      <c r="P61" s="25"/>
      <c r="Q61" s="25">
        <f>SUM(H61:L61)+G61*0.5</f>
        <v>633600</v>
      </c>
      <c r="R61" s="35"/>
      <c r="S61" s="22">
        <f t="shared" ref="S61" si="42">SUM(O61:R61)-M61</f>
        <v>0</v>
      </c>
    </row>
    <row r="62" spans="1:19" s="10" customFormat="1" ht="13.95" hidden="1" customHeight="1" outlineLevel="1">
      <c r="A62" s="5" t="s">
        <v>101</v>
      </c>
      <c r="B62" s="24" t="s">
        <v>98</v>
      </c>
      <c r="C62" s="25">
        <f>'Vstupy cost'!B88*'Vstupy cost'!B85*12*1.398</f>
        <v>110721.60000000002</v>
      </c>
      <c r="D62" s="25">
        <f>'Vstupy cost'!C88*'Vstupy cost'!C85*12*1.398</f>
        <v>456172.99200000003</v>
      </c>
      <c r="E62" s="25">
        <f>'Vstupy cost'!D88*'Vstupy cost'!D85*12*1.398</f>
        <v>469858.18176000006</v>
      </c>
      <c r="F62" s="25">
        <f>'Vstupy cost'!E88*'Vstupy cost'!E85*12*1.398</f>
        <v>483953.92721280007</v>
      </c>
      <c r="G62" s="25">
        <f>'Vstupy cost'!F88*'Vstupy cost'!F85*12*1.398</f>
        <v>498472.54502918414</v>
      </c>
      <c r="H62" s="25">
        <f>'Vstupy cost'!G88*'Vstupy cost'!G85*12*1.398</f>
        <v>513426.72138005961</v>
      </c>
      <c r="I62" s="25">
        <f>'Vstupy cost'!H88*'Vstupy cost'!H85*12*1.398</f>
        <v>528829.52302146144</v>
      </c>
      <c r="J62" s="25">
        <f>'Vstupy cost'!I88*'Vstupy cost'!I85*12*1.398</f>
        <v>544694.40871210524</v>
      </c>
      <c r="K62" s="25">
        <f>'Vstupy cost'!J88*'Vstupy cost'!J85*12*1.398</f>
        <v>561035.24097346852</v>
      </c>
      <c r="L62" s="25">
        <f>'Vstupy cost'!K88*'Vstupy cost'!K85*12*1.398</f>
        <v>577866.29820267251</v>
      </c>
      <c r="M62" s="35">
        <f t="shared" si="32"/>
        <v>4745031.4382917508</v>
      </c>
      <c r="O62" s="38">
        <f>SUM(C62:F62)</f>
        <v>1520706.7009728001</v>
      </c>
      <c r="P62" s="25">
        <f t="shared" ref="P62:P63" si="43">SUM(G62:K62)*0.35</f>
        <v>926260.45369069744</v>
      </c>
      <c r="Q62" s="25">
        <f t="shared" ref="Q62:Q63" si="44">SUM(G62:K62)*0.65+L62</f>
        <v>2298064.2836282537</v>
      </c>
      <c r="R62" s="35"/>
      <c r="S62" s="22">
        <f>SUM(O62:R62)-M62</f>
        <v>0</v>
      </c>
    </row>
    <row r="63" spans="1:19" s="10" customFormat="1" ht="13.95" hidden="1" customHeight="1" outlineLevel="1">
      <c r="A63" s="5" t="s">
        <v>102</v>
      </c>
      <c r="B63" s="24" t="s">
        <v>98</v>
      </c>
      <c r="C63" s="25">
        <f>'Vstupy cost'!B89*'Vstupy cost'!B85*12*1.398</f>
        <v>0</v>
      </c>
      <c r="D63" s="25">
        <f>'Vstupy cost'!C89*'Vstupy cost'!C85*12*1.398</f>
        <v>570216.24000000011</v>
      </c>
      <c r="E63" s="25">
        <f>'Vstupy cost'!D89*'Vstupy cost'!D85*12*1.398</f>
        <v>587322.72719999996</v>
      </c>
      <c r="F63" s="25">
        <f>'Vstupy cost'!E89*'Vstupy cost'!E85*12*1.398</f>
        <v>604942.40901600011</v>
      </c>
      <c r="G63" s="25">
        <f>'Vstupy cost'!F89*'Vstupy cost'!F85*12*1.398</f>
        <v>623090.68128648004</v>
      </c>
      <c r="H63" s="25">
        <f>'Vstupy cost'!G89*'Vstupy cost'!G85*12*1.398</f>
        <v>641783.40172507451</v>
      </c>
      <c r="I63" s="25">
        <f>'Vstupy cost'!H89*'Vstupy cost'!H85*12*1.398</f>
        <v>661036.9037768268</v>
      </c>
      <c r="J63" s="25">
        <f>'Vstupy cost'!I89*'Vstupy cost'!I85*12*1.398</f>
        <v>680868.01089013158</v>
      </c>
      <c r="K63" s="25">
        <f>'Vstupy cost'!J89*'Vstupy cost'!J85*12*1.398</f>
        <v>701294.05121683551</v>
      </c>
      <c r="L63" s="25">
        <f>'Vstupy cost'!K89*'Vstupy cost'!K85*12*1.398</f>
        <v>722332.87275334063</v>
      </c>
      <c r="M63" s="35">
        <f t="shared" si="32"/>
        <v>5792887.2978646886</v>
      </c>
      <c r="O63" s="38">
        <f>SUM(C63:F63)-1000000</f>
        <v>762481.37621600018</v>
      </c>
      <c r="P63" s="25">
        <f t="shared" si="43"/>
        <v>1157825.5671133718</v>
      </c>
      <c r="Q63" s="25">
        <f t="shared" si="44"/>
        <v>2872580.354535317</v>
      </c>
      <c r="R63" s="35">
        <v>1000000</v>
      </c>
      <c r="S63" s="22">
        <f t="shared" ref="S63:S64" si="45">SUM(O63:R63)-M63</f>
        <v>0</v>
      </c>
    </row>
    <row r="64" spans="1:19" s="10" customFormat="1" ht="13.95" hidden="1" customHeight="1" outlineLevel="1">
      <c r="A64" s="5" t="s">
        <v>103</v>
      </c>
      <c r="B64" s="24" t="s">
        <v>98</v>
      </c>
      <c r="C64" s="25">
        <f>'Vstupy cost'!$B$117*1.2+'Vstupy cost'!$B$119*1.39</f>
        <v>156630</v>
      </c>
      <c r="D64" s="25">
        <f>'Vstupy cost'!$B$118*1.2</f>
        <v>156441.60000000001</v>
      </c>
      <c r="E64" s="25"/>
      <c r="F64" s="25"/>
      <c r="G64" s="25"/>
      <c r="H64" s="25"/>
      <c r="I64" s="25"/>
      <c r="J64" s="25"/>
      <c r="K64" s="25"/>
      <c r="L64" s="25"/>
      <c r="M64" s="35">
        <f t="shared" si="32"/>
        <v>313071.59999999998</v>
      </c>
      <c r="O64" s="38">
        <f t="shared" ref="O64" si="46">SUM(C64:G64)</f>
        <v>313071.59999999998</v>
      </c>
      <c r="P64" s="25"/>
      <c r="Q64" s="25">
        <f t="shared" ref="Q64" si="47">SUM(H64:L64)</f>
        <v>0</v>
      </c>
      <c r="R64" s="35"/>
      <c r="S64" s="22">
        <f t="shared" si="45"/>
        <v>0</v>
      </c>
    </row>
    <row r="65" spans="1:19" s="10" customFormat="1" ht="13.95" hidden="1" customHeight="1" outlineLevel="1" collapsed="1">
      <c r="A65" s="33" t="s">
        <v>80</v>
      </c>
      <c r="B65" s="32"/>
      <c r="C65" s="36">
        <f t="shared" ref="C65:L65" si="48">SUM(C66:C66)</f>
        <v>0</v>
      </c>
      <c r="D65" s="36">
        <f t="shared" si="48"/>
        <v>253000</v>
      </c>
      <c r="E65" s="36">
        <f t="shared" si="48"/>
        <v>455000</v>
      </c>
      <c r="F65" s="36">
        <f t="shared" si="48"/>
        <v>750000</v>
      </c>
      <c r="G65" s="36">
        <f t="shared" si="48"/>
        <v>990000</v>
      </c>
      <c r="H65" s="36">
        <f t="shared" si="48"/>
        <v>990000</v>
      </c>
      <c r="I65" s="36">
        <f t="shared" si="48"/>
        <v>990000</v>
      </c>
      <c r="J65" s="36">
        <f t="shared" si="48"/>
        <v>990000</v>
      </c>
      <c r="K65" s="36">
        <f t="shared" si="48"/>
        <v>990000</v>
      </c>
      <c r="L65" s="36">
        <f t="shared" si="48"/>
        <v>990000</v>
      </c>
      <c r="M65" s="37">
        <f t="shared" si="32"/>
        <v>7398000</v>
      </c>
      <c r="O65" s="38"/>
      <c r="P65" s="25"/>
      <c r="Q65" s="25"/>
      <c r="R65" s="35"/>
      <c r="S65" s="22"/>
    </row>
    <row r="66" spans="1:19" ht="13.95" hidden="1" customHeight="1" outlineLevel="1" thickBot="1">
      <c r="A66" s="9" t="s">
        <v>104</v>
      </c>
      <c r="B66" s="39"/>
      <c r="C66" s="39">
        <f>'Vstupy cost'!$B$113</f>
        <v>0</v>
      </c>
      <c r="D66" s="39">
        <f>'Vstupy cost'!$C$113</f>
        <v>253000</v>
      </c>
      <c r="E66" s="39">
        <f>'Vstupy cost'!$D$113</f>
        <v>455000</v>
      </c>
      <c r="F66" s="39">
        <f>'Vstupy cost'!$E$113</f>
        <v>750000</v>
      </c>
      <c r="G66" s="39">
        <f>'Vstupy cost'!$F$113</f>
        <v>990000</v>
      </c>
      <c r="H66" s="39">
        <f>'Vstupy cost'!$G$113</f>
        <v>990000</v>
      </c>
      <c r="I66" s="39">
        <f>'Vstupy cost'!$H$113</f>
        <v>990000</v>
      </c>
      <c r="J66" s="39">
        <f>'Vstupy cost'!$I$113</f>
        <v>990000</v>
      </c>
      <c r="K66" s="39">
        <f>'Vstupy cost'!$J$113</f>
        <v>990000</v>
      </c>
      <c r="L66" s="39">
        <f>'Vstupy cost'!$K$113</f>
        <v>990000</v>
      </c>
      <c r="M66" s="40">
        <f t="shared" si="32"/>
        <v>7398000</v>
      </c>
      <c r="O66" s="188">
        <f>SUM(C66:F66)</f>
        <v>1458000</v>
      </c>
      <c r="P66" s="39"/>
      <c r="Q66" s="39">
        <v>3000000</v>
      </c>
      <c r="R66" s="40">
        <f>SUM(G66:L66)-Q66</f>
        <v>2940000</v>
      </c>
      <c r="S66" s="22">
        <f t="shared" ref="S66" si="49">SUM(O66:R66)-M66</f>
        <v>0</v>
      </c>
    </row>
    <row r="67" spans="1:19" ht="13.95" hidden="1" customHeight="1" outlineLevel="1">
      <c r="S67" s="22"/>
    </row>
    <row r="68" spans="1:19" s="10" customFormat="1" ht="13.95" hidden="1" customHeight="1" collapsed="1">
      <c r="A68" s="1" t="s">
        <v>17</v>
      </c>
      <c r="B68" s="2"/>
      <c r="C68" s="125">
        <f>SUM(C70,C76,C87,C92)</f>
        <v>378073.20000000007</v>
      </c>
      <c r="D68" s="125">
        <f t="shared" ref="D68" si="50">SUM(D70,D76,D87,D92)</f>
        <v>1950182.2000000002</v>
      </c>
      <c r="E68" s="125">
        <f t="shared" ref="E68" si="51">SUM(E70,E76,E87,E92)</f>
        <v>10833379.164799999</v>
      </c>
      <c r="F68" s="125">
        <f t="shared" ref="F68" si="52">SUM(F70,F76,F87,F92)</f>
        <v>69668802.719111994</v>
      </c>
      <c r="G68" s="125">
        <f t="shared" ref="G68" si="53">SUM(G70,G76,G87,G92)</f>
        <v>24306965.709648602</v>
      </c>
      <c r="H68" s="125">
        <f t="shared" ref="H68" si="54">SUM(H70,H76,H87,H92)</f>
        <v>24447161.112938061</v>
      </c>
      <c r="I68" s="125">
        <f t="shared" ref="I68" si="55">SUM(I70,I76,I87,I92)</f>
        <v>24591562.3783262</v>
      </c>
      <c r="J68" s="125">
        <f t="shared" ref="J68" si="56">SUM(J70,J76,J87,J92)</f>
        <v>24740295.681675989</v>
      </c>
      <c r="K68" s="125">
        <f t="shared" ref="K68" si="57">SUM(K70,K76,K87,K92)</f>
        <v>25085730.98412627</v>
      </c>
      <c r="L68" s="125">
        <f t="shared" ref="L68" si="58">SUM(L70,L76,L87,L92)</f>
        <v>26923282.145650055</v>
      </c>
      <c r="M68" s="126">
        <f>SUM(C68:L68)</f>
        <v>232925435.29627717</v>
      </c>
      <c r="O68" s="128">
        <f>SUM(O70:O93)</f>
        <v>66328070.123912007</v>
      </c>
      <c r="P68" s="129">
        <f>SUM(P70:P93)</f>
        <v>58779836.033350289</v>
      </c>
      <c r="Q68" s="129">
        <f>SUM(Q70:Q93)</f>
        <v>103877529.13901488</v>
      </c>
      <c r="R68" s="130">
        <f>SUM(R70:R93)</f>
        <v>3940000</v>
      </c>
      <c r="S68" s="22">
        <f t="shared" ref="S68" si="59">SUM(O68:R68)-M68</f>
        <v>0</v>
      </c>
    </row>
    <row r="69" spans="1:19" s="10" customFormat="1" ht="13.95" hidden="1" customHeight="1" outlineLevel="1">
      <c r="A69" s="6"/>
      <c r="B69" s="4" t="s">
        <v>83</v>
      </c>
      <c r="C69" s="4" t="s">
        <v>84</v>
      </c>
      <c r="D69" s="4" t="s">
        <v>85</v>
      </c>
      <c r="E69" s="4" t="s">
        <v>86</v>
      </c>
      <c r="F69" s="4" t="s">
        <v>87</v>
      </c>
      <c r="G69" s="4" t="s">
        <v>88</v>
      </c>
      <c r="H69" s="4" t="s">
        <v>89</v>
      </c>
      <c r="I69" s="4" t="s">
        <v>90</v>
      </c>
      <c r="J69" s="4" t="s">
        <v>91</v>
      </c>
      <c r="K69" s="4" t="s">
        <v>92</v>
      </c>
      <c r="L69" s="4" t="s">
        <v>93</v>
      </c>
      <c r="M69" s="34" t="s">
        <v>11</v>
      </c>
      <c r="O69" s="27" t="s">
        <v>94</v>
      </c>
      <c r="P69" s="4" t="s">
        <v>95</v>
      </c>
      <c r="Q69" s="4" t="s">
        <v>96</v>
      </c>
      <c r="R69" s="28" t="s">
        <v>97</v>
      </c>
    </row>
    <row r="70" spans="1:19" s="11" customFormat="1" ht="13.95" hidden="1" customHeight="1" outlineLevel="1">
      <c r="A70" s="33" t="s">
        <v>105</v>
      </c>
      <c r="B70" s="32"/>
      <c r="C70" s="36">
        <f>SUM(C71:C75)</f>
        <v>0</v>
      </c>
      <c r="D70" s="36">
        <f t="shared" ref="D70:L70" si="60">SUM(D71:D75)</f>
        <v>0</v>
      </c>
      <c r="E70" s="36">
        <f t="shared" si="60"/>
        <v>6591840</v>
      </c>
      <c r="F70" s="36">
        <f t="shared" si="60"/>
        <v>56469600</v>
      </c>
      <c r="G70" s="36">
        <f t="shared" si="60"/>
        <v>339600</v>
      </c>
      <c r="H70" s="36">
        <f t="shared" si="60"/>
        <v>339600</v>
      </c>
      <c r="I70" s="36">
        <f t="shared" si="60"/>
        <v>339600</v>
      </c>
      <c r="J70" s="36">
        <f t="shared" si="60"/>
        <v>339600</v>
      </c>
      <c r="K70" s="36">
        <f t="shared" si="60"/>
        <v>531840</v>
      </c>
      <c r="L70" s="36">
        <f t="shared" si="60"/>
        <v>2211600</v>
      </c>
      <c r="M70" s="37">
        <f t="shared" ref="M70:M92" si="61">SUM(C70:L70)</f>
        <v>67163280</v>
      </c>
      <c r="O70" s="38"/>
      <c r="P70" s="25"/>
      <c r="Q70" s="25"/>
      <c r="R70" s="149"/>
      <c r="S70" s="22"/>
    </row>
    <row r="71" spans="1:19" ht="13.95" hidden="1" customHeight="1" outlineLevel="1">
      <c r="A71" s="5" t="s">
        <v>106</v>
      </c>
      <c r="B71" s="24" t="s">
        <v>107</v>
      </c>
      <c r="C71" s="25"/>
      <c r="D71" s="25"/>
      <c r="E71" s="25">
        <f>'Vstupy cost'!$M$6*1.2</f>
        <v>6408000</v>
      </c>
      <c r="F71" s="25">
        <f>'Vstupy cost'!$N$6*1.2</f>
        <v>55992000</v>
      </c>
      <c r="G71" s="25"/>
      <c r="H71" s="25"/>
      <c r="I71" s="25"/>
      <c r="J71" s="25"/>
      <c r="K71" s="25"/>
      <c r="L71" s="25"/>
      <c r="M71" s="35">
        <f t="shared" si="61"/>
        <v>62400000</v>
      </c>
      <c r="O71" s="38">
        <f>SUM(C71:E71)+0.65*F71</f>
        <v>42802800</v>
      </c>
      <c r="P71" s="25">
        <f>SUM(F71:K71)*0.35</f>
        <v>19597200</v>
      </c>
      <c r="Q71" s="25">
        <f>SUM(H71:L71)*0.65</f>
        <v>0</v>
      </c>
      <c r="R71" s="35"/>
      <c r="S71" s="22">
        <f t="shared" ref="S71:S74" si="62">SUM(O71:R71)-M71</f>
        <v>0</v>
      </c>
    </row>
    <row r="72" spans="1:19" ht="13.95" hidden="1" customHeight="1" outlineLevel="1">
      <c r="A72" s="5" t="s">
        <v>108</v>
      </c>
      <c r="B72" s="24" t="s">
        <v>107</v>
      </c>
      <c r="C72" s="25"/>
      <c r="D72" s="25"/>
      <c r="E72" s="25">
        <f>ROUND('Vstupy cost'!$C$188*1.2,-3)</f>
        <v>138000</v>
      </c>
      <c r="F72" s="25">
        <f>ROUND('Vstupy cost'!$C$188*1.2,-3)</f>
        <v>138000</v>
      </c>
      <c r="G72" s="25"/>
      <c r="H72" s="25"/>
      <c r="I72" s="25"/>
      <c r="J72" s="25"/>
      <c r="K72" s="25"/>
      <c r="L72" s="25"/>
      <c r="M72" s="35">
        <f t="shared" si="61"/>
        <v>276000</v>
      </c>
      <c r="O72" s="38">
        <f>SUM(C72:E72)+F72*0.65</f>
        <v>227700</v>
      </c>
      <c r="P72" s="25">
        <f>SUM(F72:K72)*0.35</f>
        <v>48300</v>
      </c>
      <c r="Q72" s="25">
        <f>SUM(H72:L72)*0.65</f>
        <v>0</v>
      </c>
      <c r="R72" s="35"/>
      <c r="S72" s="22">
        <f t="shared" si="62"/>
        <v>0</v>
      </c>
    </row>
    <row r="73" spans="1:19" ht="13.95" hidden="1" customHeight="1" outlineLevel="1">
      <c r="A73" s="5" t="s">
        <v>109</v>
      </c>
      <c r="B73" s="24" t="s">
        <v>98</v>
      </c>
      <c r="C73" s="25"/>
      <c r="D73" s="25"/>
      <c r="E73" s="25"/>
      <c r="F73" s="25"/>
      <c r="G73" s="25"/>
      <c r="H73" s="25"/>
      <c r="I73" s="25"/>
      <c r="J73" s="80"/>
      <c r="K73" s="25">
        <f>$E$71*'Vstupy cost'!$B$48</f>
        <v>192240</v>
      </c>
      <c r="L73" s="25">
        <f>SUM($E$71:F71)*'Vstupy cost'!$B$48</f>
        <v>1872000</v>
      </c>
      <c r="M73" s="35">
        <f t="shared" si="61"/>
        <v>2064240</v>
      </c>
      <c r="O73" s="38">
        <f t="shared" ref="O73" si="63">SUM(C73:F73)</f>
        <v>0</v>
      </c>
      <c r="P73" s="25"/>
      <c r="Q73" s="25">
        <f>SUM(H73:L73)</f>
        <v>2064240</v>
      </c>
      <c r="R73" s="35"/>
      <c r="S73" s="22">
        <f t="shared" si="62"/>
        <v>0</v>
      </c>
    </row>
    <row r="74" spans="1:19" ht="13.95" hidden="1" customHeight="1" outlineLevel="1">
      <c r="A74" s="5" t="s">
        <v>110</v>
      </c>
      <c r="B74" s="24" t="s">
        <v>98</v>
      </c>
      <c r="C74" s="25"/>
      <c r="D74" s="25"/>
      <c r="E74" s="25">
        <f>$E$72*'Vstupy cost'!$B$190</f>
        <v>13800</v>
      </c>
      <c r="F74" s="25">
        <f>SUM($E$72,$F$72)*'Vstupy cost'!$B$190</f>
        <v>27600</v>
      </c>
      <c r="G74" s="25">
        <f>SUM($E$72,$F$72)*'Vstupy cost'!$B$190</f>
        <v>27600</v>
      </c>
      <c r="H74" s="25">
        <f>SUM($E$72,$F$72)*'Vstupy cost'!$B$190</f>
        <v>27600</v>
      </c>
      <c r="I74" s="25">
        <f>SUM($E$72,$F$72)*'Vstupy cost'!$B$190</f>
        <v>27600</v>
      </c>
      <c r="J74" s="25">
        <f>SUM($E$72,$F$72)*'Vstupy cost'!$B$190</f>
        <v>27600</v>
      </c>
      <c r="K74" s="25">
        <f>SUM($E$72,$F$72)*'Vstupy cost'!$B$190</f>
        <v>27600</v>
      </c>
      <c r="L74" s="25">
        <f>SUM($E$72,$F$72)*'Vstupy cost'!$B$190</f>
        <v>27600</v>
      </c>
      <c r="M74" s="35">
        <f t="shared" si="61"/>
        <v>207000</v>
      </c>
      <c r="O74" s="38">
        <f>SUM(C74:G74)</f>
        <v>69000</v>
      </c>
      <c r="P74" s="25"/>
      <c r="Q74" s="25">
        <f>SUM(H74:L74)</f>
        <v>138000</v>
      </c>
      <c r="R74" s="35"/>
      <c r="S74" s="22">
        <f t="shared" si="62"/>
        <v>0</v>
      </c>
    </row>
    <row r="75" spans="1:19" ht="13.95" hidden="1" customHeight="1" outlineLevel="1">
      <c r="A75" s="5" t="s">
        <v>111</v>
      </c>
      <c r="B75" s="24" t="s">
        <v>98</v>
      </c>
      <c r="C75" s="25"/>
      <c r="D75" s="25"/>
      <c r="E75" s="25">
        <f>'Vstupy cost'!$R$6*1.2</f>
        <v>32040</v>
      </c>
      <c r="F75" s="25">
        <f>'Vstupy cost'!$S$6*1.2</f>
        <v>312000</v>
      </c>
      <c r="G75" s="25">
        <f>'Vstupy cost'!$S$6*1.2</f>
        <v>312000</v>
      </c>
      <c r="H75" s="25">
        <f>'Vstupy cost'!$S$6*1.2</f>
        <v>312000</v>
      </c>
      <c r="I75" s="25">
        <f>'Vstupy cost'!$S$6*1.2</f>
        <v>312000</v>
      </c>
      <c r="J75" s="25">
        <f>'Vstupy cost'!$S$6*1.2</f>
        <v>312000</v>
      </c>
      <c r="K75" s="25">
        <f>'Vstupy cost'!$S$6*1.2</f>
        <v>312000</v>
      </c>
      <c r="L75" s="25">
        <f>'Vstupy cost'!$S$6*1.2</f>
        <v>312000</v>
      </c>
      <c r="M75" s="35">
        <f t="shared" si="61"/>
        <v>2216040</v>
      </c>
      <c r="O75" s="38">
        <f>SUM(E75:G75)</f>
        <v>656040</v>
      </c>
      <c r="P75" s="25"/>
      <c r="Q75" s="25">
        <f>SUM(H75:L75)</f>
        <v>1560000</v>
      </c>
      <c r="R75" s="35"/>
      <c r="S75" s="22"/>
    </row>
    <row r="76" spans="1:19" s="23" customFormat="1" ht="13.95" hidden="1" customHeight="1" outlineLevel="1">
      <c r="A76" s="33" t="s">
        <v>112</v>
      </c>
      <c r="B76" s="32"/>
      <c r="C76" s="36">
        <f>SUM(C77:C85)</f>
        <v>0</v>
      </c>
      <c r="D76" s="36">
        <f t="shared" ref="D76:L76" si="64">SUM(D77:D85)</f>
        <v>0</v>
      </c>
      <c r="E76" s="36">
        <f>SUM(E77:E85)</f>
        <v>1322048.2560000001</v>
      </c>
      <c r="F76" s="36">
        <f t="shared" si="64"/>
        <v>8099405.8560000006</v>
      </c>
      <c r="G76" s="36">
        <f t="shared" si="64"/>
        <v>18188985.600000001</v>
      </c>
      <c r="H76" s="36">
        <f t="shared" si="64"/>
        <v>18188985.600000001</v>
      </c>
      <c r="I76" s="36">
        <f t="shared" si="64"/>
        <v>18188985.600000001</v>
      </c>
      <c r="J76" s="36">
        <f t="shared" si="64"/>
        <v>18188985.600000001</v>
      </c>
      <c r="K76" s="36">
        <f t="shared" si="64"/>
        <v>18188985.600000001</v>
      </c>
      <c r="L76" s="36">
        <f t="shared" si="64"/>
        <v>18188985.600000001</v>
      </c>
      <c r="M76" s="37">
        <f t="shared" si="61"/>
        <v>118555367.71200001</v>
      </c>
      <c r="O76" s="38"/>
      <c r="P76" s="25"/>
      <c r="Q76" s="25"/>
      <c r="R76" s="35"/>
      <c r="S76" s="22"/>
    </row>
    <row r="77" spans="1:19" s="10" customFormat="1" ht="13.95" hidden="1" customHeight="1" outlineLevel="1">
      <c r="A77" s="5" t="s">
        <v>113</v>
      </c>
      <c r="B77" s="24" t="s">
        <v>107</v>
      </c>
      <c r="C77" s="25"/>
      <c r="D77" s="25"/>
      <c r="E77" s="25">
        <f>'Vstupy cost'!O6*1.2</f>
        <v>600000</v>
      </c>
      <c r="G77" s="25"/>
      <c r="H77" s="25"/>
      <c r="I77" s="25"/>
      <c r="J77" s="25"/>
      <c r="K77" s="25"/>
      <c r="L77" s="25"/>
      <c r="M77" s="35">
        <f t="shared" si="61"/>
        <v>600000</v>
      </c>
      <c r="O77" s="38">
        <f>E77</f>
        <v>600000</v>
      </c>
      <c r="P77" s="25"/>
      <c r="Q77" s="25"/>
      <c r="R77" s="35"/>
      <c r="S77" s="22">
        <f t="shared" ref="S77:S78" si="65">SUM(O77:R77)-M77</f>
        <v>0</v>
      </c>
    </row>
    <row r="78" spans="1:19" s="10" customFormat="1" ht="13.95" hidden="1" customHeight="1" outlineLevel="1">
      <c r="A78" s="5" t="s">
        <v>114</v>
      </c>
      <c r="B78" s="24" t="s">
        <v>98</v>
      </c>
      <c r="C78" s="25"/>
      <c r="D78" s="25"/>
      <c r="E78" s="25"/>
      <c r="F78" s="25">
        <f>'Vstupy cost'!$B$53*12*1.2/2</f>
        <v>3943087.1999999997</v>
      </c>
      <c r="G78" s="25">
        <f>'Vstupy cost'!$B$53*12*1.2</f>
        <v>7886174.3999999994</v>
      </c>
      <c r="H78" s="25">
        <f>'Vstupy cost'!$B$53*12*1.2</f>
        <v>7886174.3999999994</v>
      </c>
      <c r="I78" s="25">
        <f>'Vstupy cost'!$B$53*12*1.2</f>
        <v>7886174.3999999994</v>
      </c>
      <c r="J78" s="25">
        <f>'Vstupy cost'!$B$53*12*1.2</f>
        <v>7886174.3999999994</v>
      </c>
      <c r="K78" s="25">
        <f>'Vstupy cost'!$B$53*12*1.2</f>
        <v>7886174.3999999994</v>
      </c>
      <c r="L78" s="25">
        <f>'Vstupy cost'!$B$53*12*1.2</f>
        <v>7886174.3999999994</v>
      </c>
      <c r="M78" s="35">
        <f t="shared" si="61"/>
        <v>51260133.599999994</v>
      </c>
      <c r="O78" s="38">
        <f>SUM(F78:G78)*0.65</f>
        <v>7689020.04</v>
      </c>
      <c r="P78" s="25">
        <f>SUM(F78:J78)*0.35</f>
        <v>12420724.679999998</v>
      </c>
      <c r="Q78" s="25">
        <f>SUM(H78:J78)*0.65+SUM(K78:L78)</f>
        <v>31150388.879999999</v>
      </c>
      <c r="R78" s="35"/>
      <c r="S78" s="22">
        <f t="shared" si="65"/>
        <v>0</v>
      </c>
    </row>
    <row r="79" spans="1:19" ht="13.95" hidden="1" customHeight="1" outlineLevel="1">
      <c r="A79" s="5" t="s">
        <v>115</v>
      </c>
      <c r="B79" s="24" t="s">
        <v>107</v>
      </c>
      <c r="C79" s="25"/>
      <c r="E79" s="25"/>
      <c r="F79" s="25"/>
      <c r="G79" s="25"/>
      <c r="H79" s="25"/>
      <c r="I79" s="25"/>
      <c r="J79" s="25"/>
      <c r="K79" s="25"/>
      <c r="L79" s="25"/>
      <c r="M79" s="35">
        <f t="shared" si="61"/>
        <v>0</v>
      </c>
      <c r="O79" s="38">
        <f>SUM(C79:F79)</f>
        <v>0</v>
      </c>
      <c r="P79" s="25">
        <f>SUM(H79:K79)*0.35</f>
        <v>0</v>
      </c>
      <c r="Q79" s="25">
        <f>SUM(H79:K79)*0.65+L79</f>
        <v>0</v>
      </c>
      <c r="R79" s="35"/>
      <c r="S79" s="22">
        <f t="shared" ref="S79" si="66">SUM(O79:R79)-M79</f>
        <v>0</v>
      </c>
    </row>
    <row r="80" spans="1:19" ht="13.95" hidden="1" customHeight="1" outlineLevel="1">
      <c r="A80" s="5" t="s">
        <v>116</v>
      </c>
      <c r="B80" s="24" t="s">
        <v>107</v>
      </c>
      <c r="C80" s="80"/>
      <c r="D80" s="25"/>
      <c r="E80" s="25"/>
      <c r="F80" s="25"/>
      <c r="G80" s="25"/>
      <c r="H80" s="25"/>
      <c r="I80" s="25"/>
      <c r="J80" s="25"/>
      <c r="K80" s="25"/>
      <c r="L80" s="25"/>
      <c r="M80" s="35">
        <f t="shared" si="61"/>
        <v>0</v>
      </c>
      <c r="O80" s="38">
        <f t="shared" ref="O80:O81" si="67">SUM(C80:F80)</f>
        <v>0</v>
      </c>
      <c r="P80" s="25"/>
      <c r="Q80" s="25"/>
      <c r="R80" s="35"/>
      <c r="S80" s="22">
        <f t="shared" ref="S80:S81" si="68">SUM(O80:R80)-M80</f>
        <v>0</v>
      </c>
    </row>
    <row r="81" spans="1:19" ht="13.95" hidden="1" customHeight="1" outlineLevel="1">
      <c r="A81" s="5" t="s">
        <v>117</v>
      </c>
      <c r="B81" s="24" t="s">
        <v>107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35">
        <f t="shared" si="61"/>
        <v>0</v>
      </c>
      <c r="O81" s="38">
        <f t="shared" si="67"/>
        <v>0</v>
      </c>
      <c r="P81" s="25"/>
      <c r="Q81" s="25"/>
      <c r="R81" s="35"/>
      <c r="S81" s="22">
        <f t="shared" si="68"/>
        <v>0</v>
      </c>
    </row>
    <row r="82" spans="1:19" s="10" customFormat="1" ht="13.95" hidden="1" customHeight="1" outlineLevel="1">
      <c r="A82" s="5" t="s">
        <v>118</v>
      </c>
      <c r="B82" s="24" t="s">
        <v>107</v>
      </c>
      <c r="C82" s="80"/>
      <c r="D82" s="25"/>
      <c r="E82" s="25">
        <f>'Vstupy cost'!$K$6*1.2</f>
        <v>0</v>
      </c>
      <c r="G82" s="25">
        <v>0</v>
      </c>
      <c r="H82" s="25"/>
      <c r="I82" s="25"/>
      <c r="J82" s="25"/>
      <c r="K82" s="25"/>
      <c r="L82" s="25"/>
      <c r="M82" s="35">
        <f t="shared" si="61"/>
        <v>0</v>
      </c>
      <c r="O82" s="38">
        <f>SUM(C82:E82)+F82*0.65</f>
        <v>0</v>
      </c>
      <c r="P82" s="25">
        <f>SUM(F82:L82)*0.35</f>
        <v>0</v>
      </c>
      <c r="Q82" s="25">
        <f>SUM(H82:L82)*0.65</f>
        <v>0</v>
      </c>
      <c r="R82" s="35"/>
      <c r="S82" s="22">
        <f t="shared" ref="S82:S86" si="69">SUM(O82:R82)-M82</f>
        <v>0</v>
      </c>
    </row>
    <row r="83" spans="1:19" ht="13.95" hidden="1" customHeight="1" outlineLevel="1">
      <c r="A83" s="5" t="s">
        <v>119</v>
      </c>
      <c r="B83" s="24" t="s">
        <v>98</v>
      </c>
      <c r="C83" s="25"/>
      <c r="D83" s="25"/>
      <c r="E83" s="25">
        <f>'Vstupy cost'!$E$6*'Vstupy cost'!$B$19*1.2*24*365</f>
        <v>722048.25600000005</v>
      </c>
      <c r="F83" s="25">
        <f>SUM('Vstupy cost'!$E$6*'Vstupy cost'!$B$19*1.2*24*365,'Vstupy cost'!$F$6*'Vstupy cost'!$B$19*1.2*24*365/3)</f>
        <v>4156318.6560000004</v>
      </c>
      <c r="G83" s="25">
        <f>'Vstupy cost'!$F$6*'Vstupy cost'!$B$19*1.2*24*365</f>
        <v>10302811.200000001</v>
      </c>
      <c r="H83" s="25">
        <f>'Vstupy cost'!$F$6*'Vstupy cost'!$B$19*1.2*24*365</f>
        <v>10302811.200000001</v>
      </c>
      <c r="I83" s="25">
        <f>'Vstupy cost'!$F$6*'Vstupy cost'!$B$19*1.2*24*365</f>
        <v>10302811.200000001</v>
      </c>
      <c r="J83" s="25">
        <f>'Vstupy cost'!$F$6*'Vstupy cost'!$B$19*1.2*24*365</f>
        <v>10302811.200000001</v>
      </c>
      <c r="K83" s="25">
        <f>'Vstupy cost'!$F$6*'Vstupy cost'!$B$19*1.2*24*365</f>
        <v>10302811.200000001</v>
      </c>
      <c r="L83" s="25">
        <f>'Vstupy cost'!$F$6*'Vstupy cost'!$B$19*1.2*24*365</f>
        <v>10302811.200000001</v>
      </c>
      <c r="M83" s="35">
        <f t="shared" si="61"/>
        <v>66695234.112000011</v>
      </c>
      <c r="O83" s="38">
        <f>SUM(C83:F83)</f>
        <v>4878366.9120000005</v>
      </c>
      <c r="P83" s="25">
        <f>SUM(G83:K83)*0.35</f>
        <v>18029919.600000001</v>
      </c>
      <c r="Q83" s="25">
        <f>SUM(G83:K83)*0.65+L83</f>
        <v>43786947.600000009</v>
      </c>
      <c r="R83" s="35"/>
      <c r="S83" s="22">
        <f t="shared" si="69"/>
        <v>0</v>
      </c>
    </row>
    <row r="84" spans="1:19" s="10" customFormat="1" ht="13.95" hidden="1" customHeight="1" outlineLevel="1">
      <c r="A84" s="5" t="s">
        <v>120</v>
      </c>
      <c r="B84" s="24" t="s">
        <v>107</v>
      </c>
      <c r="C84" s="25"/>
      <c r="D84" s="25"/>
      <c r="F84" s="25">
        <f>'Vstupy cost'!$I$6*1.2</f>
        <v>0</v>
      </c>
      <c r="G84" s="25"/>
      <c r="H84" s="25"/>
      <c r="I84" s="25"/>
      <c r="J84" s="25"/>
      <c r="K84" s="25"/>
      <c r="L84" s="25"/>
      <c r="M84" s="35">
        <f t="shared" si="61"/>
        <v>0</v>
      </c>
      <c r="O84" s="38">
        <f>SUM(C84:G84)</f>
        <v>0</v>
      </c>
      <c r="P84" s="25">
        <f>SUM(H84:L84)*0.35</f>
        <v>0</v>
      </c>
      <c r="Q84" s="25">
        <f>SUM(H84:L84)*0.65</f>
        <v>0</v>
      </c>
      <c r="R84" s="35"/>
      <c r="S84" s="22">
        <f t="shared" si="69"/>
        <v>0</v>
      </c>
    </row>
    <row r="85" spans="1:19" s="10" customFormat="1" ht="13.95" hidden="1" customHeight="1" outlineLevel="1">
      <c r="A85" s="5" t="s">
        <v>121</v>
      </c>
      <c r="B85" s="24" t="s">
        <v>98</v>
      </c>
      <c r="C85" s="41"/>
      <c r="D85" s="41"/>
      <c r="E85" s="41"/>
      <c r="F85" s="41"/>
      <c r="G85" s="41">
        <f>IF($F$84=0,0,-'Vstupy cost'!$H$6*'Vstupy cost'!$B$19*1.2*12)</f>
        <v>0</v>
      </c>
      <c r="H85" s="41">
        <f>IF($F$84=0,0,-'Vstupy cost'!$H$6*'Vstupy cost'!$B$19*1.2*12)</f>
        <v>0</v>
      </c>
      <c r="I85" s="41">
        <f>IF($F$84=0,0,-'Vstupy cost'!$H$6*'Vstupy cost'!$B$19*1.2*12)</f>
        <v>0</v>
      </c>
      <c r="J85" s="41">
        <f>IF($F$84=0,0,-'Vstupy cost'!$H$6*'Vstupy cost'!$B$19*1.2*12)</f>
        <v>0</v>
      </c>
      <c r="K85" s="41">
        <f>IF($F$84=0,0,-'Vstupy cost'!$H$6*'Vstupy cost'!$B$19*1.2*12)</f>
        <v>0</v>
      </c>
      <c r="L85" s="41">
        <f>IF($F$84=0,0,-'Vstupy cost'!$H$6*'Vstupy cost'!$B$19*1.2*12)</f>
        <v>0</v>
      </c>
      <c r="M85" s="42">
        <f t="shared" si="61"/>
        <v>0</v>
      </c>
      <c r="O85" s="38">
        <f>SUM(C85:F85)</f>
        <v>0</v>
      </c>
      <c r="P85" s="25"/>
      <c r="Q85" s="25">
        <f>SUM(G85:L85)</f>
        <v>0</v>
      </c>
      <c r="R85" s="35"/>
      <c r="S85" s="22">
        <f t="shared" si="69"/>
        <v>0</v>
      </c>
    </row>
    <row r="86" spans="1:19" ht="13.95" hidden="1" customHeight="1" outlineLevel="1">
      <c r="A86" s="5" t="s">
        <v>122</v>
      </c>
      <c r="B86" s="24" t="s">
        <v>98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35">
        <f t="shared" si="61"/>
        <v>0</v>
      </c>
      <c r="O86" s="38">
        <f>SUM(C86:F86)</f>
        <v>0</v>
      </c>
      <c r="P86" s="25">
        <f>SUM(G86:K86)*0.35</f>
        <v>0</v>
      </c>
      <c r="Q86" s="25">
        <f>SUM(G86:K86)*0.65+L86</f>
        <v>0</v>
      </c>
      <c r="R86" s="35"/>
      <c r="S86" s="22">
        <f t="shared" si="69"/>
        <v>0</v>
      </c>
    </row>
    <row r="87" spans="1:19" s="11" customFormat="1" ht="13.95" hidden="1" customHeight="1" outlineLevel="1">
      <c r="A87" s="33" t="s">
        <v>99</v>
      </c>
      <c r="B87" s="32"/>
      <c r="C87" s="36">
        <f>SUM(C88:C91)</f>
        <v>378073.20000000007</v>
      </c>
      <c r="D87" s="36">
        <f t="shared" ref="D87:L87" si="70">SUM(D88:D91)</f>
        <v>1697182.2000000002</v>
      </c>
      <c r="E87" s="36">
        <f t="shared" si="70"/>
        <v>2464490.9088000003</v>
      </c>
      <c r="F87" s="36">
        <f t="shared" si="70"/>
        <v>4349796.8631120007</v>
      </c>
      <c r="G87" s="36">
        <f t="shared" si="70"/>
        <v>4788380.1096486012</v>
      </c>
      <c r="H87" s="36">
        <f t="shared" si="70"/>
        <v>4928575.5129380589</v>
      </c>
      <c r="I87" s="36">
        <f t="shared" si="70"/>
        <v>5072976.7783262003</v>
      </c>
      <c r="J87" s="36">
        <f t="shared" si="70"/>
        <v>5221710.0816759868</v>
      </c>
      <c r="K87" s="36">
        <f t="shared" si="70"/>
        <v>5374905.3841262665</v>
      </c>
      <c r="L87" s="36">
        <f t="shared" si="70"/>
        <v>5532696.5456500538</v>
      </c>
      <c r="M87" s="37">
        <f t="shared" si="61"/>
        <v>39808787.584277168</v>
      </c>
      <c r="O87" s="38"/>
      <c r="P87" s="25"/>
      <c r="Q87" s="25"/>
      <c r="R87" s="35"/>
      <c r="S87" s="22"/>
    </row>
    <row r="88" spans="1:19" s="10" customFormat="1" ht="13.95" hidden="1" customHeight="1" outlineLevel="1">
      <c r="A88" s="5" t="s">
        <v>100</v>
      </c>
      <c r="B88" s="24" t="s">
        <v>98</v>
      </c>
      <c r="C88" s="25"/>
      <c r="D88" s="25">
        <f>'Vstupy cost'!$B$97*'Vstupy cost'!$B$98*1.2*12</f>
        <v>115200</v>
      </c>
      <c r="E88" s="25">
        <f>'Vstupy cost'!$B$97*'Vstupy cost'!$B$98*1.2*12</f>
        <v>115200</v>
      </c>
      <c r="F88" s="25">
        <f>'Vstupy cost'!$B$97*'Vstupy cost'!$B$98*1.2*12</f>
        <v>115200</v>
      </c>
      <c r="G88" s="25">
        <f>'Vstupy cost'!$B$97*'Vstupy cost'!$B$98*1.2*12</f>
        <v>115200</v>
      </c>
      <c r="H88" s="25">
        <f>'Vstupy cost'!$B$97*'Vstupy cost'!$B$98*1.2*12</f>
        <v>115200</v>
      </c>
      <c r="I88" s="25">
        <f>'Vstupy cost'!$B$97*'Vstupy cost'!$B$98*1.2*12</f>
        <v>115200</v>
      </c>
      <c r="J88" s="25">
        <f>'Vstupy cost'!$B$97*'Vstupy cost'!$B$98*1.2*12</f>
        <v>115200</v>
      </c>
      <c r="K88" s="25">
        <f>'Vstupy cost'!$B$97*'Vstupy cost'!$B$98*1.2*12</f>
        <v>115200</v>
      </c>
      <c r="L88" s="25">
        <f>'Vstupy cost'!$B$97*'Vstupy cost'!$B$98*1.2*12</f>
        <v>115200</v>
      </c>
      <c r="M88" s="35">
        <f t="shared" si="61"/>
        <v>1036800</v>
      </c>
      <c r="O88" s="38">
        <f>SUM(C88:F88)+G88*0.5</f>
        <v>403200</v>
      </c>
      <c r="P88" s="25"/>
      <c r="Q88" s="25">
        <f>SUM(H88:L88)+G88*0.5</f>
        <v>633600</v>
      </c>
      <c r="R88" s="35"/>
      <c r="S88" s="22">
        <f t="shared" ref="S88" si="71">SUM(O88:R88)-M88</f>
        <v>0</v>
      </c>
    </row>
    <row r="89" spans="1:19" s="10" customFormat="1" ht="13.95" hidden="1" customHeight="1" outlineLevel="1">
      <c r="A89" s="5" t="s">
        <v>101</v>
      </c>
      <c r="B89" s="24" t="s">
        <v>98</v>
      </c>
      <c r="C89" s="25">
        <f>'Vstupy cost'!B90*'Vstupy cost'!B85*12*1.398</f>
        <v>221443.20000000004</v>
      </c>
      <c r="D89" s="25">
        <f>'Vstupy cost'!C90*'Vstupy cost'!C85*12*1.398</f>
        <v>570216.24000000011</v>
      </c>
      <c r="E89" s="25">
        <f>'Vstupy cost'!D90*'Vstupy cost'!D85*12*1.398</f>
        <v>880984.09080000012</v>
      </c>
      <c r="F89" s="25">
        <f>'Vstupy cost'!E90*'Vstupy cost'!E85*12*1.398</f>
        <v>1209884.8180320002</v>
      </c>
      <c r="G89" s="25">
        <f>'Vstupy cost'!F90*'Vstupy cost'!F85*12*1.398</f>
        <v>1557726.7032162005</v>
      </c>
      <c r="H89" s="25">
        <f>'Vstupy cost'!G90*'Vstupy cost'!G85*12*1.398</f>
        <v>1604458.5043126864</v>
      </c>
      <c r="I89" s="25">
        <f>'Vstupy cost'!H90*'Vstupy cost'!H85*12*1.398</f>
        <v>1652592.2594420668</v>
      </c>
      <c r="J89" s="25">
        <f>'Vstupy cost'!I90*'Vstupy cost'!I85*12*1.398</f>
        <v>1702170.0272253288</v>
      </c>
      <c r="K89" s="25">
        <f>'Vstupy cost'!J90*'Vstupy cost'!J85*12*1.398</f>
        <v>1753235.1280420888</v>
      </c>
      <c r="L89" s="25">
        <f>'Vstupy cost'!K90*'Vstupy cost'!K85*12*1.398</f>
        <v>1805832.1818833514</v>
      </c>
      <c r="M89" s="35">
        <f t="shared" si="61"/>
        <v>12958543.152953723</v>
      </c>
      <c r="O89" s="38">
        <f>SUM(C89:F89)</f>
        <v>2882528.3488320005</v>
      </c>
      <c r="P89" s="25">
        <f t="shared" ref="P89:P90" si="72">SUM(G89:K89)*0.35</f>
        <v>2894563.9177834298</v>
      </c>
      <c r="Q89" s="25">
        <f t="shared" ref="Q89:Q90" si="73">SUM(G89:K89)*0.65+L89</f>
        <v>7181450.8863382936</v>
      </c>
      <c r="R89" s="35"/>
      <c r="S89" s="22">
        <f>SUM(O89:R89)-M89</f>
        <v>0</v>
      </c>
    </row>
    <row r="90" spans="1:19" s="10" customFormat="1" ht="13.95" hidden="1" customHeight="1" outlineLevel="1">
      <c r="A90" s="5" t="s">
        <v>102</v>
      </c>
      <c r="B90" s="24" t="s">
        <v>98</v>
      </c>
      <c r="C90" s="25">
        <f>'Vstupy cost'!B91*'Vstupy cost'!B85*12*1.398</f>
        <v>0</v>
      </c>
      <c r="D90" s="25">
        <f>'Vstupy cost'!C91*'Vstupy cost'!C85*12*1.398</f>
        <v>855324.3600000001</v>
      </c>
      <c r="E90" s="25">
        <f>'Vstupy cost'!D91*'Vstupy cost'!D85*12*1.398</f>
        <v>1468306.8180000002</v>
      </c>
      <c r="F90" s="25">
        <f>'Vstupy cost'!E91*'Vstupy cost'!E85*12*1.398</f>
        <v>3024712.0450800005</v>
      </c>
      <c r="G90" s="25">
        <f>'Vstupy cost'!F91*'Vstupy cost'!F85*12*1.398</f>
        <v>3115453.4064324009</v>
      </c>
      <c r="H90" s="25">
        <f>'Vstupy cost'!G91*'Vstupy cost'!G85*12*1.398</f>
        <v>3208917.0086253728</v>
      </c>
      <c r="I90" s="25">
        <f>'Vstupy cost'!H91*'Vstupy cost'!H85*12*1.398</f>
        <v>3305184.5188841335</v>
      </c>
      <c r="J90" s="25">
        <f>'Vstupy cost'!I91*'Vstupy cost'!I85*12*1.398</f>
        <v>3404340.0544506577</v>
      </c>
      <c r="K90" s="25">
        <f>'Vstupy cost'!J91*'Vstupy cost'!J85*12*1.398</f>
        <v>3506470.2560841776</v>
      </c>
      <c r="L90" s="25">
        <f>'Vstupy cost'!K91*'Vstupy cost'!K85*12*1.398</f>
        <v>3611664.3637667028</v>
      </c>
      <c r="M90" s="35">
        <f t="shared" si="61"/>
        <v>25500372.831323449</v>
      </c>
      <c r="O90" s="38">
        <f>SUM(C90:F90)-1000000</f>
        <v>4348343.2230800008</v>
      </c>
      <c r="P90" s="25">
        <f t="shared" si="72"/>
        <v>5789127.8355668597</v>
      </c>
      <c r="Q90" s="25">
        <f t="shared" si="73"/>
        <v>14362901.772676587</v>
      </c>
      <c r="R90" s="35">
        <v>1000000</v>
      </c>
      <c r="S90" s="22">
        <f t="shared" ref="S90:S91" si="74">SUM(O90:R90)-M90</f>
        <v>0</v>
      </c>
    </row>
    <row r="91" spans="1:19" s="10" customFormat="1" ht="13.95" hidden="1" customHeight="1" outlineLevel="1">
      <c r="A91" s="5" t="s">
        <v>103</v>
      </c>
      <c r="B91" s="24" t="s">
        <v>98</v>
      </c>
      <c r="C91" s="25">
        <f>'Vstupy cost'!$B$117*1.2+'Vstupy cost'!$B$119*1.39</f>
        <v>156630</v>
      </c>
      <c r="D91" s="25">
        <f>'Vstupy cost'!$B$118*1.2</f>
        <v>156441.60000000001</v>
      </c>
      <c r="E91" s="25"/>
      <c r="F91" s="25"/>
      <c r="G91" s="25"/>
      <c r="H91" s="25"/>
      <c r="I91" s="25"/>
      <c r="J91" s="25"/>
      <c r="K91" s="25"/>
      <c r="L91" s="25"/>
      <c r="M91" s="35">
        <f t="shared" si="61"/>
        <v>313071.59999999998</v>
      </c>
      <c r="O91" s="38">
        <f t="shared" ref="O91" si="75">SUM(C91:G91)</f>
        <v>313071.59999999998</v>
      </c>
      <c r="P91" s="25"/>
      <c r="Q91" s="25">
        <f t="shared" ref="Q91" si="76">SUM(H91:L91)</f>
        <v>0</v>
      </c>
      <c r="R91" s="35"/>
      <c r="S91" s="22">
        <f t="shared" si="74"/>
        <v>0</v>
      </c>
    </row>
    <row r="92" spans="1:19" s="10" customFormat="1" ht="13.95" hidden="1" customHeight="1" outlineLevel="1">
      <c r="A92" s="33" t="s">
        <v>80</v>
      </c>
      <c r="B92" s="32"/>
      <c r="C92" s="36">
        <f t="shared" ref="C92:L92" si="77">SUM(C93:C93)</f>
        <v>0</v>
      </c>
      <c r="D92" s="36">
        <f t="shared" si="77"/>
        <v>253000</v>
      </c>
      <c r="E92" s="36">
        <f t="shared" si="77"/>
        <v>455000</v>
      </c>
      <c r="F92" s="36">
        <f t="shared" si="77"/>
        <v>750000</v>
      </c>
      <c r="G92" s="36">
        <f t="shared" si="77"/>
        <v>990000</v>
      </c>
      <c r="H92" s="36">
        <f t="shared" si="77"/>
        <v>990000</v>
      </c>
      <c r="I92" s="36">
        <f t="shared" si="77"/>
        <v>990000</v>
      </c>
      <c r="J92" s="36">
        <f t="shared" si="77"/>
        <v>990000</v>
      </c>
      <c r="K92" s="36">
        <f t="shared" si="77"/>
        <v>990000</v>
      </c>
      <c r="L92" s="36">
        <f t="shared" si="77"/>
        <v>990000</v>
      </c>
      <c r="M92" s="37">
        <f t="shared" si="61"/>
        <v>7398000</v>
      </c>
      <c r="O92" s="38"/>
      <c r="P92" s="25"/>
      <c r="Q92" s="25"/>
      <c r="R92" s="35"/>
      <c r="S92" s="22"/>
    </row>
    <row r="93" spans="1:19" ht="13.95" hidden="1" customHeight="1" outlineLevel="1" thickBot="1">
      <c r="A93" s="9" t="s">
        <v>104</v>
      </c>
      <c r="B93" s="39"/>
      <c r="C93" s="39">
        <f>'Vstupy cost'!$B$113</f>
        <v>0</v>
      </c>
      <c r="D93" s="39">
        <f>'Vstupy cost'!$C$113</f>
        <v>253000</v>
      </c>
      <c r="E93" s="39">
        <f>'Vstupy cost'!$D$113</f>
        <v>455000</v>
      </c>
      <c r="F93" s="39">
        <f>'Vstupy cost'!$E$113</f>
        <v>750000</v>
      </c>
      <c r="G93" s="39">
        <f>'Vstupy cost'!$F$113</f>
        <v>990000</v>
      </c>
      <c r="H93" s="39">
        <f>'Vstupy cost'!$G$113</f>
        <v>990000</v>
      </c>
      <c r="I93" s="39">
        <f>'Vstupy cost'!$H$113</f>
        <v>990000</v>
      </c>
      <c r="J93" s="39">
        <f>'Vstupy cost'!$I$113</f>
        <v>990000</v>
      </c>
      <c r="K93" s="39">
        <f>'Vstupy cost'!$J$113</f>
        <v>990000</v>
      </c>
      <c r="L93" s="39">
        <f>'Vstupy cost'!$K$113</f>
        <v>990000</v>
      </c>
      <c r="M93" s="40">
        <f t="shared" ref="M93" si="78">SUM(C93:L93)</f>
        <v>7398000</v>
      </c>
      <c r="O93" s="188">
        <f>SUM(C93:F93)</f>
        <v>1458000</v>
      </c>
      <c r="P93" s="39"/>
      <c r="Q93" s="39">
        <v>3000000</v>
      </c>
      <c r="R93" s="40">
        <f>SUM(G93:L93)-Q93</f>
        <v>2940000</v>
      </c>
      <c r="S93" s="22">
        <f t="shared" ref="S93" si="79">SUM(O93:R93)-M93</f>
        <v>0</v>
      </c>
    </row>
    <row r="94" spans="1:19" ht="13.95" hidden="1" customHeight="1" outlineLevel="1">
      <c r="S94" s="22"/>
    </row>
    <row r="95" spans="1:19" s="10" customFormat="1" ht="13.95" hidden="1" customHeight="1" collapsed="1">
      <c r="A95" s="1" t="s">
        <v>18</v>
      </c>
      <c r="B95" s="2"/>
      <c r="C95" s="125">
        <f>SUM(C97,C103,C114,C119)</f>
        <v>378073.20000000007</v>
      </c>
      <c r="D95" s="125">
        <f t="shared" ref="D95" si="80">SUM(D97,D103,D114,D119)</f>
        <v>1950182.2000000002</v>
      </c>
      <c r="E95" s="125">
        <f t="shared" ref="E95" si="81">SUM(E97,E103,E114,E119)</f>
        <v>8209503.6128000002</v>
      </c>
      <c r="F95" s="125">
        <f t="shared" ref="F95" si="82">SUM(F97,F103,F114,F119)</f>
        <v>49513055.176128</v>
      </c>
      <c r="G95" s="125">
        <f t="shared" ref="G95" si="83">SUM(G97,G103,G114,G119)</f>
        <v>26870883.054677784</v>
      </c>
      <c r="H95" s="125">
        <f t="shared" ref="H95" si="84">SUM(H97,H103,H114,H119)</f>
        <v>27026032.634318117</v>
      </c>
      <c r="I95" s="125">
        <f t="shared" ref="I95" si="85">SUM(I97,I103,I114,I119)</f>
        <v>27185836.70134766</v>
      </c>
      <c r="J95" s="125">
        <f t="shared" ref="J95" si="86">SUM(J97,J103,J114,J119)</f>
        <v>27464050.89038809</v>
      </c>
      <c r="K95" s="125">
        <f t="shared" ref="K95" si="87">SUM(K97,K103,K114,K119)</f>
        <v>28671971.025099732</v>
      </c>
      <c r="L95" s="125">
        <f t="shared" ref="L95" si="88">SUM(L97,L103,L114,L119)</f>
        <v>28846593.243852727</v>
      </c>
      <c r="M95" s="126">
        <f>SUM(C95:L95)</f>
        <v>226116181.73861212</v>
      </c>
      <c r="O95" s="128">
        <f>SUM(O97:O120)</f>
        <v>50911167.028928004</v>
      </c>
      <c r="P95" s="129">
        <f>SUM(P97:P120)</f>
        <v>56047904.88704098</v>
      </c>
      <c r="Q95" s="129">
        <f>SUM(Q97:Q120)</f>
        <v>115217109.82264313</v>
      </c>
      <c r="R95" s="130">
        <f>SUM(R97:R120)</f>
        <v>3940000</v>
      </c>
      <c r="S95" s="22">
        <f t="shared" ref="S95" si="89">SUM(O95:R95)-M95</f>
        <v>0</v>
      </c>
    </row>
    <row r="96" spans="1:19" s="10" customFormat="1" ht="13.95" hidden="1" customHeight="1" outlineLevel="1">
      <c r="A96" s="6"/>
      <c r="B96" s="4" t="s">
        <v>83</v>
      </c>
      <c r="C96" s="4" t="s">
        <v>84</v>
      </c>
      <c r="D96" s="4" t="s">
        <v>85</v>
      </c>
      <c r="E96" s="4" t="s">
        <v>86</v>
      </c>
      <c r="F96" s="4" t="s">
        <v>87</v>
      </c>
      <c r="G96" s="4" t="s">
        <v>88</v>
      </c>
      <c r="H96" s="4" t="s">
        <v>89</v>
      </c>
      <c r="I96" s="4" t="s">
        <v>90</v>
      </c>
      <c r="J96" s="4" t="s">
        <v>91</v>
      </c>
      <c r="K96" s="4" t="s">
        <v>92</v>
      </c>
      <c r="L96" s="4" t="s">
        <v>93</v>
      </c>
      <c r="M96" s="34" t="s">
        <v>11</v>
      </c>
      <c r="O96" s="27" t="s">
        <v>94</v>
      </c>
      <c r="P96" s="4" t="s">
        <v>95</v>
      </c>
      <c r="Q96" s="4" t="s">
        <v>96</v>
      </c>
      <c r="R96" s="28" t="s">
        <v>97</v>
      </c>
    </row>
    <row r="97" spans="1:19" s="11" customFormat="1" ht="13.95" hidden="1" customHeight="1" outlineLevel="1">
      <c r="A97" s="33" t="s">
        <v>105</v>
      </c>
      <c r="B97" s="32"/>
      <c r="C97" s="36">
        <f>SUM(C98:C102)</f>
        <v>0</v>
      </c>
      <c r="D97" s="36">
        <f t="shared" ref="D97:L97" si="90">SUM(D98:D102)</f>
        <v>0</v>
      </c>
      <c r="E97" s="36">
        <f t="shared" si="90"/>
        <v>3957936</v>
      </c>
      <c r="F97" s="36">
        <f t="shared" si="90"/>
        <v>34970400</v>
      </c>
      <c r="G97" s="36">
        <f t="shared" si="90"/>
        <v>219600</v>
      </c>
      <c r="H97" s="36">
        <f t="shared" si="90"/>
        <v>219600</v>
      </c>
      <c r="I97" s="36">
        <f t="shared" si="90"/>
        <v>219600</v>
      </c>
      <c r="J97" s="36">
        <f t="shared" si="90"/>
        <v>333216</v>
      </c>
      <c r="K97" s="36">
        <f t="shared" si="90"/>
        <v>1371600</v>
      </c>
      <c r="L97" s="36">
        <f t="shared" si="90"/>
        <v>1371600</v>
      </c>
      <c r="M97" s="37">
        <f t="shared" ref="M97:M119" si="91">SUM(C97:L97)</f>
        <v>42663552</v>
      </c>
      <c r="O97" s="38"/>
      <c r="P97" s="25"/>
      <c r="Q97" s="25"/>
      <c r="R97" s="149"/>
      <c r="S97" s="22"/>
    </row>
    <row r="98" spans="1:19" ht="13.95" hidden="1" customHeight="1" outlineLevel="1">
      <c r="A98" s="5" t="s">
        <v>106</v>
      </c>
      <c r="B98" s="24" t="s">
        <v>107</v>
      </c>
      <c r="C98" s="25"/>
      <c r="D98" s="25"/>
      <c r="E98" s="25">
        <f>'Vstupy cost'!$M$7*1.2</f>
        <v>3787200</v>
      </c>
      <c r="F98" s="25">
        <f>'Vstupy cost'!$N$7*1.2</f>
        <v>34612800</v>
      </c>
      <c r="G98" s="25"/>
      <c r="H98" s="25"/>
      <c r="I98" s="25"/>
      <c r="J98" s="25"/>
      <c r="K98" s="25"/>
      <c r="L98" s="25"/>
      <c r="M98" s="35">
        <f t="shared" si="91"/>
        <v>38400000</v>
      </c>
      <c r="O98" s="38">
        <f>SUM(C98:E98)+0.65*F98</f>
        <v>26285520</v>
      </c>
      <c r="P98" s="25">
        <f>SUM(F98:K98)*0.35</f>
        <v>12114480</v>
      </c>
      <c r="Q98" s="25">
        <f>SUM(H98:L98)*0.65</f>
        <v>0</v>
      </c>
      <c r="R98" s="35"/>
      <c r="S98" s="22">
        <f t="shared" ref="S98:S101" si="92">SUM(O98:R98)-M98</f>
        <v>0</v>
      </c>
    </row>
    <row r="99" spans="1:19" ht="13.95" hidden="1" customHeight="1" outlineLevel="1">
      <c r="A99" s="5" t="s">
        <v>108</v>
      </c>
      <c r="B99" s="24" t="s">
        <v>107</v>
      </c>
      <c r="C99" s="25"/>
      <c r="D99" s="25"/>
      <c r="E99" s="25">
        <f>ROUND('Vstupy cost'!$C$188*1.2,-3)</f>
        <v>138000</v>
      </c>
      <c r="F99" s="25">
        <f>ROUND('Vstupy cost'!$C$188*1.2,-3)</f>
        <v>138000</v>
      </c>
      <c r="G99" s="25"/>
      <c r="H99" s="25"/>
      <c r="I99" s="25"/>
      <c r="J99" s="25"/>
      <c r="K99" s="25"/>
      <c r="L99" s="25"/>
      <c r="M99" s="35">
        <f t="shared" si="91"/>
        <v>276000</v>
      </c>
      <c r="O99" s="38">
        <f>SUM(C99:E99)+F99*0.65</f>
        <v>227700</v>
      </c>
      <c r="P99" s="25">
        <f>SUM(F99:K99)*0.35</f>
        <v>48300</v>
      </c>
      <c r="Q99" s="25">
        <f>SUM(H99:L99)*0.65</f>
        <v>0</v>
      </c>
      <c r="R99" s="35"/>
      <c r="S99" s="22">
        <f t="shared" si="92"/>
        <v>0</v>
      </c>
    </row>
    <row r="100" spans="1:19" ht="13.95" hidden="1" customHeight="1" outlineLevel="1">
      <c r="A100" s="5" t="s">
        <v>109</v>
      </c>
      <c r="B100" s="24" t="s">
        <v>98</v>
      </c>
      <c r="C100" s="25"/>
      <c r="D100" s="25"/>
      <c r="E100" s="25"/>
      <c r="F100" s="25"/>
      <c r="G100" s="25"/>
      <c r="H100" s="25"/>
      <c r="I100" s="25"/>
      <c r="J100" s="25">
        <f>$E$98*'Vstupy cost'!$B$48</f>
        <v>113616</v>
      </c>
      <c r="K100" s="25">
        <f>SUM($E$98:$F$98)*'Vstupy cost'!$B$48</f>
        <v>1152000</v>
      </c>
      <c r="L100" s="25">
        <f>SUM($E$98:$F$98)*'Vstupy cost'!$B$48</f>
        <v>1152000</v>
      </c>
      <c r="M100" s="35">
        <f t="shared" si="91"/>
        <v>2417616</v>
      </c>
      <c r="O100" s="38">
        <f t="shared" ref="O100" si="93">SUM(C100:F100)</f>
        <v>0</v>
      </c>
      <c r="P100" s="25"/>
      <c r="Q100" s="25">
        <f>SUM(H100:L100)</f>
        <v>2417616</v>
      </c>
      <c r="R100" s="35"/>
      <c r="S100" s="22">
        <f t="shared" si="92"/>
        <v>0</v>
      </c>
    </row>
    <row r="101" spans="1:19" ht="13.95" hidden="1" customHeight="1" outlineLevel="1">
      <c r="A101" s="5" t="s">
        <v>110</v>
      </c>
      <c r="B101" s="24" t="s">
        <v>98</v>
      </c>
      <c r="C101" s="25"/>
      <c r="D101" s="25"/>
      <c r="E101" s="25">
        <f>$E$99*'Vstupy cost'!$B$190</f>
        <v>13800</v>
      </c>
      <c r="F101" s="25">
        <f>SUM($E$99,$F$99)*'Vstupy cost'!$B$190</f>
        <v>27600</v>
      </c>
      <c r="G101" s="25">
        <f>SUM($E$99,$F$99)*'Vstupy cost'!$B$190</f>
        <v>27600</v>
      </c>
      <c r="H101" s="25">
        <f>SUM($E$99,$F$99)*'Vstupy cost'!$B$190</f>
        <v>27600</v>
      </c>
      <c r="I101" s="25">
        <f>SUM($E$99,$F$99)*'Vstupy cost'!$B$190</f>
        <v>27600</v>
      </c>
      <c r="J101" s="25">
        <f>SUM($E$99,$F$99)*'Vstupy cost'!$B$190</f>
        <v>27600</v>
      </c>
      <c r="K101" s="25">
        <f>SUM($E$99,$F$99)*'Vstupy cost'!$B$190</f>
        <v>27600</v>
      </c>
      <c r="L101" s="25">
        <f>SUM($E$99,$F$99)*'Vstupy cost'!$B$190</f>
        <v>27600</v>
      </c>
      <c r="M101" s="35">
        <f t="shared" si="91"/>
        <v>207000</v>
      </c>
      <c r="O101" s="38">
        <f>SUM(C101:G101)</f>
        <v>69000</v>
      </c>
      <c r="P101" s="25"/>
      <c r="Q101" s="25">
        <f>SUM(H101:L101)</f>
        <v>138000</v>
      </c>
      <c r="R101" s="35"/>
      <c r="S101" s="22">
        <f t="shared" si="92"/>
        <v>0</v>
      </c>
    </row>
    <row r="102" spans="1:19" ht="13.95" hidden="1" customHeight="1" outlineLevel="1">
      <c r="A102" s="5" t="s">
        <v>111</v>
      </c>
      <c r="B102" s="24" t="s">
        <v>98</v>
      </c>
      <c r="C102" s="25"/>
      <c r="D102" s="25"/>
      <c r="E102" s="25">
        <f>'Vstupy cost'!$R$7*1.2</f>
        <v>18936</v>
      </c>
      <c r="F102" s="25">
        <f>'Vstupy cost'!$S$7*1.2</f>
        <v>192000</v>
      </c>
      <c r="G102" s="25">
        <f>'Vstupy cost'!$S$7*1.2</f>
        <v>192000</v>
      </c>
      <c r="H102" s="25">
        <f>'Vstupy cost'!$S$7*1.2</f>
        <v>192000</v>
      </c>
      <c r="I102" s="25">
        <f>'Vstupy cost'!$S$7*1.2</f>
        <v>192000</v>
      </c>
      <c r="J102" s="25">
        <f>'Vstupy cost'!$S$7*1.2</f>
        <v>192000</v>
      </c>
      <c r="K102" s="25">
        <f>'Vstupy cost'!$S$7*1.2</f>
        <v>192000</v>
      </c>
      <c r="L102" s="25">
        <f>'Vstupy cost'!$S$7*1.2</f>
        <v>192000</v>
      </c>
      <c r="M102" s="35">
        <f t="shared" si="91"/>
        <v>1362936</v>
      </c>
      <c r="O102" s="38">
        <f>SUM(E102:G102)</f>
        <v>402936</v>
      </c>
      <c r="P102" s="25"/>
      <c r="Q102" s="25">
        <f>SUM(H102:L102)</f>
        <v>960000</v>
      </c>
      <c r="R102" s="35"/>
      <c r="S102" s="22"/>
    </row>
    <row r="103" spans="1:19" s="23" customFormat="1" ht="13.95" hidden="1" customHeight="1" outlineLevel="1">
      <c r="A103" s="33" t="s">
        <v>112</v>
      </c>
      <c r="B103" s="32"/>
      <c r="C103" s="36">
        <f>SUM(C104:C112)</f>
        <v>0</v>
      </c>
      <c r="D103" s="36">
        <f t="shared" ref="D103:L103" si="94">SUM(D104:D112)</f>
        <v>0</v>
      </c>
      <c r="E103" s="36">
        <f>SUM(E104:E112)</f>
        <v>1332076.7039999999</v>
      </c>
      <c r="F103" s="36">
        <f t="shared" si="94"/>
        <v>8837915.9039999992</v>
      </c>
      <c r="G103" s="36">
        <f t="shared" si="94"/>
        <v>20374430.399999999</v>
      </c>
      <c r="H103" s="36">
        <f t="shared" si="94"/>
        <v>20374430.399999999</v>
      </c>
      <c r="I103" s="36">
        <f t="shared" si="94"/>
        <v>20374430.399999999</v>
      </c>
      <c r="J103" s="36">
        <f t="shared" si="94"/>
        <v>20374430.399999999</v>
      </c>
      <c r="K103" s="36">
        <f t="shared" si="94"/>
        <v>20374430.399999999</v>
      </c>
      <c r="L103" s="36">
        <f t="shared" si="94"/>
        <v>20374430.399999999</v>
      </c>
      <c r="M103" s="37">
        <f t="shared" si="91"/>
        <v>132416575.00800002</v>
      </c>
      <c r="O103" s="38"/>
      <c r="P103" s="25"/>
      <c r="Q103" s="25"/>
      <c r="R103" s="35"/>
      <c r="S103" s="22"/>
    </row>
    <row r="104" spans="1:19" s="10" customFormat="1" ht="13.95" hidden="1" customHeight="1" outlineLevel="1">
      <c r="A104" s="5" t="s">
        <v>113</v>
      </c>
      <c r="B104" s="24" t="s">
        <v>107</v>
      </c>
      <c r="C104" s="25"/>
      <c r="D104" s="25"/>
      <c r="E104" s="25">
        <f>'Vstupy cost'!O7*1.2</f>
        <v>600000</v>
      </c>
      <c r="G104" s="25"/>
      <c r="H104" s="25"/>
      <c r="I104" s="25"/>
      <c r="J104" s="25"/>
      <c r="K104" s="25"/>
      <c r="L104" s="25"/>
      <c r="M104" s="35">
        <f t="shared" si="91"/>
        <v>600000</v>
      </c>
      <c r="O104" s="38">
        <f>E104</f>
        <v>600000</v>
      </c>
      <c r="P104" s="25"/>
      <c r="Q104" s="25"/>
      <c r="R104" s="35"/>
      <c r="S104" s="22">
        <f t="shared" ref="S104:S105" si="95">SUM(O104:R104)-M104</f>
        <v>0</v>
      </c>
    </row>
    <row r="105" spans="1:19" s="10" customFormat="1" ht="13.95" hidden="1" customHeight="1" outlineLevel="1">
      <c r="A105" s="5" t="s">
        <v>114</v>
      </c>
      <c r="B105" s="24" t="s">
        <v>98</v>
      </c>
      <c r="C105" s="25"/>
      <c r="D105" s="25"/>
      <c r="E105" s="25"/>
      <c r="F105" s="25">
        <f>'Vstupy cost'!$B$53*12*1.2/2</f>
        <v>3943087.1999999997</v>
      </c>
      <c r="G105" s="25">
        <f>'Vstupy cost'!$B$53*12*1.2</f>
        <v>7886174.3999999994</v>
      </c>
      <c r="H105" s="25">
        <f>'Vstupy cost'!$B$53*12*1.2</f>
        <v>7886174.3999999994</v>
      </c>
      <c r="I105" s="25">
        <f>'Vstupy cost'!$B$53*12*1.2</f>
        <v>7886174.3999999994</v>
      </c>
      <c r="J105" s="25">
        <f>'Vstupy cost'!$B$53*12*1.2</f>
        <v>7886174.3999999994</v>
      </c>
      <c r="K105" s="25">
        <f>'Vstupy cost'!$B$53*12*1.2</f>
        <v>7886174.3999999994</v>
      </c>
      <c r="L105" s="25">
        <f>'Vstupy cost'!$B$53*12*1.2</f>
        <v>7886174.3999999994</v>
      </c>
      <c r="M105" s="35">
        <f t="shared" si="91"/>
        <v>51260133.599999994</v>
      </c>
      <c r="O105" s="38">
        <f>SUM(F105:G105)*0.65</f>
        <v>7689020.04</v>
      </c>
      <c r="P105" s="25">
        <f>SUM(F105:J105)*0.35</f>
        <v>12420724.679999998</v>
      </c>
      <c r="Q105" s="25">
        <f>SUM(H105:J105)*0.65+SUM(K105:L105)</f>
        <v>31150388.879999999</v>
      </c>
      <c r="R105" s="35"/>
      <c r="S105" s="22">
        <f t="shared" si="95"/>
        <v>0</v>
      </c>
    </row>
    <row r="106" spans="1:19" ht="13.95" hidden="1" customHeight="1" outlineLevel="1">
      <c r="A106" s="5" t="s">
        <v>115</v>
      </c>
      <c r="B106" s="24" t="s">
        <v>107</v>
      </c>
      <c r="C106" s="25"/>
      <c r="E106" s="25"/>
      <c r="F106" s="25"/>
      <c r="G106" s="25"/>
      <c r="H106" s="25"/>
      <c r="I106" s="25"/>
      <c r="J106" s="25"/>
      <c r="K106" s="25"/>
      <c r="L106" s="25"/>
      <c r="M106" s="35">
        <f t="shared" si="91"/>
        <v>0</v>
      </c>
      <c r="O106" s="38">
        <f>SUM(C106:F106)</f>
        <v>0</v>
      </c>
      <c r="P106" s="25">
        <f>SUM(H106:K106)*0.35</f>
        <v>0</v>
      </c>
      <c r="Q106" s="25">
        <f>SUM(H106:K106)*0.65+L106</f>
        <v>0</v>
      </c>
      <c r="R106" s="35"/>
      <c r="S106" s="22">
        <f t="shared" ref="S106" si="96">SUM(O106:R106)-M106</f>
        <v>0</v>
      </c>
    </row>
    <row r="107" spans="1:19" ht="13.95" hidden="1" customHeight="1" outlineLevel="1">
      <c r="A107" s="5" t="s">
        <v>116</v>
      </c>
      <c r="B107" s="24" t="s">
        <v>107</v>
      </c>
      <c r="C107" s="80"/>
      <c r="D107" s="25"/>
      <c r="E107" s="25"/>
      <c r="F107" s="25"/>
      <c r="G107" s="25"/>
      <c r="H107" s="25"/>
      <c r="I107" s="25"/>
      <c r="J107" s="25"/>
      <c r="K107" s="25"/>
      <c r="L107" s="25"/>
      <c r="M107" s="35">
        <f t="shared" si="91"/>
        <v>0</v>
      </c>
      <c r="O107" s="38">
        <f t="shared" ref="O107:O108" si="97">SUM(C107:F107)</f>
        <v>0</v>
      </c>
      <c r="P107" s="25"/>
      <c r="Q107" s="25"/>
      <c r="R107" s="35"/>
      <c r="S107" s="22">
        <f t="shared" ref="S107:S108" si="98">SUM(O107:R107)-M107</f>
        <v>0</v>
      </c>
    </row>
    <row r="108" spans="1:19" ht="13.95" hidden="1" customHeight="1" outlineLevel="1">
      <c r="A108" s="5" t="s">
        <v>117</v>
      </c>
      <c r="B108" s="24" t="s">
        <v>107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35">
        <f t="shared" si="91"/>
        <v>0</v>
      </c>
      <c r="O108" s="38">
        <f t="shared" si="97"/>
        <v>0</v>
      </c>
      <c r="P108" s="25"/>
      <c r="Q108" s="25"/>
      <c r="R108" s="35"/>
      <c r="S108" s="22">
        <f t="shared" si="98"/>
        <v>0</v>
      </c>
    </row>
    <row r="109" spans="1:19" s="10" customFormat="1" ht="13.95" hidden="1" customHeight="1" outlineLevel="1">
      <c r="A109" s="5" t="s">
        <v>118</v>
      </c>
      <c r="B109" s="24" t="s">
        <v>107</v>
      </c>
      <c r="C109" s="80"/>
      <c r="D109" s="25"/>
      <c r="F109" s="25">
        <f>'Vstupy cost'!$K$7*1.2</f>
        <v>0</v>
      </c>
      <c r="G109" s="25">
        <f>'Vstupy cost'!$L$7*1.2</f>
        <v>0</v>
      </c>
      <c r="H109" s="25"/>
      <c r="I109" s="25"/>
      <c r="J109" s="25"/>
      <c r="K109" s="25"/>
      <c r="L109" s="25"/>
      <c r="M109" s="35">
        <f t="shared" si="91"/>
        <v>0</v>
      </c>
      <c r="O109" s="38">
        <f>SUM(C109:E109)+F109*0.65</f>
        <v>0</v>
      </c>
      <c r="P109" s="25">
        <f>SUM(F109:L109)*0.35</f>
        <v>0</v>
      </c>
      <c r="Q109" s="25">
        <f>SUM(H109:L109)*0.65</f>
        <v>0</v>
      </c>
      <c r="R109" s="35"/>
      <c r="S109" s="22">
        <f t="shared" ref="S109:S113" si="99">SUM(O109:R109)-M109</f>
        <v>0</v>
      </c>
    </row>
    <row r="110" spans="1:19" ht="13.95" hidden="1" customHeight="1" outlineLevel="1">
      <c r="A110" s="5" t="s">
        <v>119</v>
      </c>
      <c r="B110" s="24" t="s">
        <v>98</v>
      </c>
      <c r="C110" s="25"/>
      <c r="D110" s="25"/>
      <c r="E110" s="25">
        <f>'Vstupy cost'!$E$7*'Vstupy cost'!$B$19*1.2*24*365</f>
        <v>732076.70399999991</v>
      </c>
      <c r="F110" s="25">
        <f>SUM('Vstupy cost'!$E$7*'Vstupy cost'!$B$19*1.2*24*365,'Vstupy cost'!$F$7*'Vstupy cost'!$B$19*1.2*24*365/3)</f>
        <v>4894828.7039999999</v>
      </c>
      <c r="G110" s="25">
        <f>'Vstupy cost'!$F$7*'Vstupy cost'!$B$19*1.2*24*365</f>
        <v>12488255.999999998</v>
      </c>
      <c r="H110" s="25">
        <f>'Vstupy cost'!$F$7*'Vstupy cost'!$B$19*1.2*24*365</f>
        <v>12488255.999999998</v>
      </c>
      <c r="I110" s="25">
        <f>'Vstupy cost'!$F$7*'Vstupy cost'!$B$19*1.2*24*365</f>
        <v>12488255.999999998</v>
      </c>
      <c r="J110" s="25">
        <f>'Vstupy cost'!$F$7*'Vstupy cost'!$B$19*1.2*24*365</f>
        <v>12488255.999999998</v>
      </c>
      <c r="K110" s="25">
        <f>'Vstupy cost'!$F$7*'Vstupy cost'!$B$19*1.2*24*365</f>
        <v>12488255.999999998</v>
      </c>
      <c r="L110" s="25">
        <f>'Vstupy cost'!$F$7*'Vstupy cost'!$B$19*1.2*24*365</f>
        <v>12488255.999999998</v>
      </c>
      <c r="M110" s="35">
        <f t="shared" si="91"/>
        <v>80556441.407999992</v>
      </c>
      <c r="O110" s="38">
        <f>SUM(C110:F110)</f>
        <v>5626905.4079999998</v>
      </c>
      <c r="P110" s="25">
        <f>SUM(G110:K110)*0.35</f>
        <v>21854447.999999996</v>
      </c>
      <c r="Q110" s="25">
        <f>SUM(G110:K110)*0.65+L110</f>
        <v>53075088</v>
      </c>
      <c r="R110" s="35"/>
      <c r="S110" s="22">
        <f t="shared" si="99"/>
        <v>0</v>
      </c>
    </row>
    <row r="111" spans="1:19" s="10" customFormat="1" ht="13.95" hidden="1" customHeight="1" outlineLevel="1">
      <c r="A111" s="5" t="s">
        <v>120</v>
      </c>
      <c r="B111" s="24" t="s">
        <v>107</v>
      </c>
      <c r="C111" s="25"/>
      <c r="D111" s="25"/>
      <c r="F111" s="25">
        <f>'Vstupy cost'!$I$7*1.2</f>
        <v>0</v>
      </c>
      <c r="G111" s="25"/>
      <c r="H111" s="25"/>
      <c r="I111" s="25"/>
      <c r="J111" s="25"/>
      <c r="K111" s="25"/>
      <c r="L111" s="25"/>
      <c r="M111" s="35">
        <f t="shared" si="91"/>
        <v>0</v>
      </c>
      <c r="O111" s="38">
        <f>SUM(C111:G111)</f>
        <v>0</v>
      </c>
      <c r="P111" s="25">
        <f>SUM(H111:L111)*0.35</f>
        <v>0</v>
      </c>
      <c r="Q111" s="25">
        <f>SUM(H111:L111)*0.65</f>
        <v>0</v>
      </c>
      <c r="R111" s="35"/>
      <c r="S111" s="22">
        <f t="shared" si="99"/>
        <v>0</v>
      </c>
    </row>
    <row r="112" spans="1:19" s="10" customFormat="1" ht="13.95" hidden="1" customHeight="1" outlineLevel="1">
      <c r="A112" s="5" t="s">
        <v>121</v>
      </c>
      <c r="B112" s="24" t="s">
        <v>98</v>
      </c>
      <c r="C112" s="41"/>
      <c r="D112" s="41"/>
      <c r="E112" s="41"/>
      <c r="F112" s="41"/>
      <c r="G112" s="41">
        <f>IF($F$111=0,0,-'Vstupy cost'!$H$7*'Vstupy cost'!$B$19*1.2*12)</f>
        <v>0</v>
      </c>
      <c r="H112" s="41">
        <f>IF($F$111=0,0,-'Vstupy cost'!$H$7*'Vstupy cost'!$B$19*1.2*12)</f>
        <v>0</v>
      </c>
      <c r="I112" s="41">
        <f>IF($F$111=0,0,-'Vstupy cost'!$H$7*'Vstupy cost'!$B$19*1.2*12)</f>
        <v>0</v>
      </c>
      <c r="J112" s="41">
        <f>IF($F$111=0,0,-'Vstupy cost'!$H$7*'Vstupy cost'!$B$19*1.2*12)</f>
        <v>0</v>
      </c>
      <c r="K112" s="41">
        <f>IF($F$111=0,0,-'Vstupy cost'!$H$7*'Vstupy cost'!$B$19*1.2*12)</f>
        <v>0</v>
      </c>
      <c r="L112" s="41">
        <f>IF($F$111=0,0,-'Vstupy cost'!$H$7*'Vstupy cost'!$B$19*1.2*12)</f>
        <v>0</v>
      </c>
      <c r="M112" s="42">
        <f t="shared" si="91"/>
        <v>0</v>
      </c>
      <c r="O112" s="38">
        <f>SUM(C112:F112)</f>
        <v>0</v>
      </c>
      <c r="P112" s="25"/>
      <c r="Q112" s="25">
        <f>SUM(G112:L112)</f>
        <v>0</v>
      </c>
      <c r="R112" s="35"/>
      <c r="S112" s="22">
        <f t="shared" si="99"/>
        <v>0</v>
      </c>
    </row>
    <row r="113" spans="1:20" ht="13.95" hidden="1" customHeight="1" outlineLevel="1">
      <c r="A113" s="5" t="s">
        <v>122</v>
      </c>
      <c r="B113" s="24" t="s">
        <v>98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35">
        <f t="shared" si="91"/>
        <v>0</v>
      </c>
      <c r="O113" s="38">
        <f>SUM(C113:F113)</f>
        <v>0</v>
      </c>
      <c r="P113" s="25">
        <f>SUM(G113:K113)*0.35</f>
        <v>0</v>
      </c>
      <c r="Q113" s="25">
        <f>SUM(G113:K113)*0.65+L113</f>
        <v>0</v>
      </c>
      <c r="R113" s="35"/>
      <c r="S113" s="22">
        <f t="shared" si="99"/>
        <v>0</v>
      </c>
    </row>
    <row r="114" spans="1:20" s="11" customFormat="1" ht="13.95" hidden="1" customHeight="1" outlineLevel="1">
      <c r="A114" s="33" t="s">
        <v>99</v>
      </c>
      <c r="B114" s="32"/>
      <c r="C114" s="36">
        <f>SUM(C115:C118)</f>
        <v>378073.20000000007</v>
      </c>
      <c r="D114" s="36">
        <f t="shared" ref="D114:L114" si="100">SUM(D115:D118)</f>
        <v>1697182.2000000002</v>
      </c>
      <c r="E114" s="36">
        <f t="shared" si="100"/>
        <v>2464490.9088000003</v>
      </c>
      <c r="F114" s="36">
        <f t="shared" si="100"/>
        <v>4954739.2721280009</v>
      </c>
      <c r="G114" s="36">
        <f t="shared" si="100"/>
        <v>5286852.6546777859</v>
      </c>
      <c r="H114" s="36">
        <f t="shared" si="100"/>
        <v>5442002.2343181185</v>
      </c>
      <c r="I114" s="36">
        <f t="shared" si="100"/>
        <v>5601806.3013476627</v>
      </c>
      <c r="J114" s="36">
        <f t="shared" si="100"/>
        <v>5766404.4903880926</v>
      </c>
      <c r="K114" s="36">
        <f t="shared" si="100"/>
        <v>5935940.6250997353</v>
      </c>
      <c r="L114" s="36">
        <f t="shared" si="100"/>
        <v>6110562.8438527277</v>
      </c>
      <c r="M114" s="37">
        <f t="shared" si="91"/>
        <v>43638054.730612122</v>
      </c>
      <c r="O114" s="38"/>
      <c r="P114" s="25"/>
      <c r="Q114" s="25"/>
      <c r="R114" s="35"/>
      <c r="S114" s="22"/>
    </row>
    <row r="115" spans="1:20" s="10" customFormat="1" ht="13.95" hidden="1" customHeight="1" outlineLevel="1">
      <c r="A115" s="5" t="s">
        <v>100</v>
      </c>
      <c r="B115" s="24" t="s">
        <v>98</v>
      </c>
      <c r="C115" s="25"/>
      <c r="D115" s="25">
        <f>'Vstupy cost'!$B$97*'Vstupy cost'!$B$98*1.2*12</f>
        <v>115200</v>
      </c>
      <c r="E115" s="25">
        <f>'Vstupy cost'!$B$97*'Vstupy cost'!$B$98*1.2*12</f>
        <v>115200</v>
      </c>
      <c r="F115" s="25">
        <f>'Vstupy cost'!$B$97*'Vstupy cost'!$B$98*1.2*12</f>
        <v>115200</v>
      </c>
      <c r="G115" s="25">
        <f>'Vstupy cost'!$B$97*'Vstupy cost'!$B$98*1.2*12</f>
        <v>115200</v>
      </c>
      <c r="H115" s="25">
        <f>'Vstupy cost'!$B$97*'Vstupy cost'!$B$98*1.2*12</f>
        <v>115200</v>
      </c>
      <c r="I115" s="25">
        <f>'Vstupy cost'!$B$97*'Vstupy cost'!$B$98*1.2*12</f>
        <v>115200</v>
      </c>
      <c r="J115" s="25">
        <f>'Vstupy cost'!$B$97*'Vstupy cost'!$B$98*1.2*12</f>
        <v>115200</v>
      </c>
      <c r="K115" s="25">
        <f>'Vstupy cost'!$B$97*'Vstupy cost'!$B$98*1.2*12</f>
        <v>115200</v>
      </c>
      <c r="L115" s="25">
        <f>'Vstupy cost'!$B$97*'Vstupy cost'!$B$98*1.2*12</f>
        <v>115200</v>
      </c>
      <c r="M115" s="35">
        <f t="shared" si="91"/>
        <v>1036800</v>
      </c>
      <c r="O115" s="38">
        <f>SUM(C115:F115)+G115*0.5</f>
        <v>403200</v>
      </c>
      <c r="P115" s="25"/>
      <c r="Q115" s="25">
        <f>SUM(H115:L115)+G115*0.5</f>
        <v>633600</v>
      </c>
      <c r="R115" s="35"/>
      <c r="S115" s="22">
        <f t="shared" ref="S115" si="101">SUM(O115:R115)-M115</f>
        <v>0</v>
      </c>
    </row>
    <row r="116" spans="1:20" s="10" customFormat="1" ht="13.95" hidden="1" customHeight="1" outlineLevel="1">
      <c r="A116" s="5" t="s">
        <v>101</v>
      </c>
      <c r="B116" s="24" t="s">
        <v>98</v>
      </c>
      <c r="C116" s="25">
        <f>'Vstupy cost'!B92*'Vstupy cost'!B85*12*1.398</f>
        <v>221443.20000000004</v>
      </c>
      <c r="D116" s="25">
        <f>'Vstupy cost'!C92*'Vstupy cost'!C85*12*1.398</f>
        <v>570216.24000000011</v>
      </c>
      <c r="E116" s="25">
        <f>'Vstupy cost'!D92*'Vstupy cost'!D85*12*1.398</f>
        <v>880984.09080000012</v>
      </c>
      <c r="F116" s="25">
        <f>'Vstupy cost'!E92*'Vstupy cost'!E85*12*1.398</f>
        <v>1512356.0225400003</v>
      </c>
      <c r="G116" s="25">
        <f>'Vstupy cost'!F92*'Vstupy cost'!F85*12*1.398</f>
        <v>1744653.9076021444</v>
      </c>
      <c r="H116" s="25">
        <f>'Vstupy cost'!G92*'Vstupy cost'!G85*12*1.398</f>
        <v>1796993.5248302089</v>
      </c>
      <c r="I116" s="25">
        <f>'Vstupy cost'!H92*'Vstupy cost'!H85*12*1.398</f>
        <v>1850903.3305751148</v>
      </c>
      <c r="J116" s="25">
        <f>'Vstupy cost'!I92*'Vstupy cost'!I85*12*1.398</f>
        <v>1906430.4304923685</v>
      </c>
      <c r="K116" s="25">
        <f>'Vstupy cost'!J92*'Vstupy cost'!J85*12*1.398</f>
        <v>1963623.3434071396</v>
      </c>
      <c r="L116" s="25">
        <f>'Vstupy cost'!K92*'Vstupy cost'!K85*12*1.398</f>
        <v>2022532.0437093535</v>
      </c>
      <c r="M116" s="35">
        <f t="shared" si="91"/>
        <v>14470136.133956328</v>
      </c>
      <c r="O116" s="38">
        <f>SUM(C116:F116)</f>
        <v>3184999.5533400006</v>
      </c>
      <c r="P116" s="25">
        <f t="shared" ref="P116:P117" si="102">SUM(G116:K116)*0.35</f>
        <v>3241911.5879174415</v>
      </c>
      <c r="Q116" s="25">
        <f t="shared" ref="Q116:Q117" si="103">SUM(G116:K116)*0.65+L116</f>
        <v>8043224.9926988883</v>
      </c>
      <c r="R116" s="35"/>
      <c r="S116" s="22">
        <f>SUM(O116:R116)-M116</f>
        <v>0</v>
      </c>
    </row>
    <row r="117" spans="1:20" s="10" customFormat="1" ht="13.95" hidden="1" customHeight="1" outlineLevel="1">
      <c r="A117" s="5" t="s">
        <v>102</v>
      </c>
      <c r="B117" s="24" t="s">
        <v>98</v>
      </c>
      <c r="C117" s="25">
        <f>'Vstupy cost'!B93*'Vstupy cost'!B85*12*1.398</f>
        <v>0</v>
      </c>
      <c r="D117" s="25">
        <f>'Vstupy cost'!C93*'Vstupy cost'!C85*12*1.398</f>
        <v>855324.3600000001</v>
      </c>
      <c r="E117" s="25">
        <f>'Vstupy cost'!D93*'Vstupy cost'!D85*12*1.398</f>
        <v>1468306.8180000002</v>
      </c>
      <c r="F117" s="25">
        <f>'Vstupy cost'!E93*'Vstupy cost'!E85*12*1.398</f>
        <v>3327183.2495880006</v>
      </c>
      <c r="G117" s="25">
        <f>'Vstupy cost'!F93*'Vstupy cost'!F85*12*1.398</f>
        <v>3426998.7470756411</v>
      </c>
      <c r="H117" s="25">
        <f>'Vstupy cost'!G93*'Vstupy cost'!G85*12*1.398</f>
        <v>3529808.7094879099</v>
      </c>
      <c r="I117" s="25">
        <f>'Vstupy cost'!H93*'Vstupy cost'!H85*12*1.398</f>
        <v>3635702.9707725476</v>
      </c>
      <c r="J117" s="25">
        <f>'Vstupy cost'!I93*'Vstupy cost'!I85*12*1.398</f>
        <v>3744774.0598957241</v>
      </c>
      <c r="K117" s="25">
        <f>'Vstupy cost'!J93*'Vstupy cost'!J85*12*1.398</f>
        <v>3857117.2816925952</v>
      </c>
      <c r="L117" s="25">
        <f>'Vstupy cost'!K93*'Vstupy cost'!K85*12*1.398</f>
        <v>3972830.8001433741</v>
      </c>
      <c r="M117" s="35">
        <f t="shared" si="91"/>
        <v>27818046.996655792</v>
      </c>
      <c r="O117" s="38">
        <f>SUM(C117:F117)-1000000</f>
        <v>4650814.4275880009</v>
      </c>
      <c r="P117" s="25">
        <f t="shared" si="102"/>
        <v>6368040.6191235464</v>
      </c>
      <c r="Q117" s="25">
        <f t="shared" si="103"/>
        <v>15799191.949944247</v>
      </c>
      <c r="R117" s="35">
        <v>1000000</v>
      </c>
      <c r="S117" s="22">
        <f t="shared" ref="S117:S118" si="104">SUM(O117:R117)-M117</f>
        <v>0</v>
      </c>
    </row>
    <row r="118" spans="1:20" s="10" customFormat="1" ht="13.95" hidden="1" customHeight="1" outlineLevel="1">
      <c r="A118" s="5" t="s">
        <v>103</v>
      </c>
      <c r="B118" s="24" t="s">
        <v>98</v>
      </c>
      <c r="C118" s="25">
        <f>'Vstupy cost'!$B$117*1.2+'Vstupy cost'!$B$119*1.39</f>
        <v>156630</v>
      </c>
      <c r="D118" s="25">
        <f>'Vstupy cost'!$B$118*1.2</f>
        <v>156441.60000000001</v>
      </c>
      <c r="E118" s="25"/>
      <c r="F118" s="25"/>
      <c r="G118" s="25"/>
      <c r="H118" s="25"/>
      <c r="I118" s="25"/>
      <c r="J118" s="25"/>
      <c r="K118" s="25"/>
      <c r="L118" s="25"/>
      <c r="M118" s="35">
        <f t="shared" si="91"/>
        <v>313071.59999999998</v>
      </c>
      <c r="O118" s="38">
        <f t="shared" ref="O118" si="105">SUM(C118:G118)</f>
        <v>313071.59999999998</v>
      </c>
      <c r="P118" s="25"/>
      <c r="Q118" s="25">
        <f t="shared" ref="Q118" si="106">SUM(H118:L118)</f>
        <v>0</v>
      </c>
      <c r="R118" s="35"/>
      <c r="S118" s="22">
        <f t="shared" si="104"/>
        <v>0</v>
      </c>
    </row>
    <row r="119" spans="1:20" s="10" customFormat="1" ht="13.95" hidden="1" customHeight="1" outlineLevel="1">
      <c r="A119" s="33" t="s">
        <v>80</v>
      </c>
      <c r="B119" s="32"/>
      <c r="C119" s="36">
        <f t="shared" ref="C119:L119" si="107">SUM(C120:C120)</f>
        <v>0</v>
      </c>
      <c r="D119" s="36">
        <f t="shared" si="107"/>
        <v>253000</v>
      </c>
      <c r="E119" s="36">
        <f t="shared" si="107"/>
        <v>455000</v>
      </c>
      <c r="F119" s="36">
        <f t="shared" si="107"/>
        <v>750000</v>
      </c>
      <c r="G119" s="36">
        <f t="shared" si="107"/>
        <v>990000</v>
      </c>
      <c r="H119" s="36">
        <f t="shared" si="107"/>
        <v>990000</v>
      </c>
      <c r="I119" s="36">
        <f t="shared" si="107"/>
        <v>990000</v>
      </c>
      <c r="J119" s="36">
        <f t="shared" si="107"/>
        <v>990000</v>
      </c>
      <c r="K119" s="36">
        <f t="shared" si="107"/>
        <v>990000</v>
      </c>
      <c r="L119" s="36">
        <f t="shared" si="107"/>
        <v>990000</v>
      </c>
      <c r="M119" s="37">
        <f t="shared" si="91"/>
        <v>7398000</v>
      </c>
      <c r="O119" s="38"/>
      <c r="P119" s="25"/>
      <c r="Q119" s="25"/>
      <c r="R119" s="35"/>
      <c r="S119" s="22"/>
    </row>
    <row r="120" spans="1:20" ht="13.95" hidden="1" customHeight="1" outlineLevel="1" thickBot="1">
      <c r="A120" s="9" t="s">
        <v>104</v>
      </c>
      <c r="B120" s="39"/>
      <c r="C120" s="39">
        <f>'Vstupy cost'!$B$113</f>
        <v>0</v>
      </c>
      <c r="D120" s="39">
        <f>'Vstupy cost'!$C$113</f>
        <v>253000</v>
      </c>
      <c r="E120" s="39">
        <f>'Vstupy cost'!$D$113</f>
        <v>455000</v>
      </c>
      <c r="F120" s="39">
        <f>'Vstupy cost'!$E$113</f>
        <v>750000</v>
      </c>
      <c r="G120" s="39">
        <f>'Vstupy cost'!$F$113</f>
        <v>990000</v>
      </c>
      <c r="H120" s="39">
        <f>'Vstupy cost'!$G$113</f>
        <v>990000</v>
      </c>
      <c r="I120" s="39">
        <f>'Vstupy cost'!$H$113</f>
        <v>990000</v>
      </c>
      <c r="J120" s="39">
        <f>'Vstupy cost'!$I$113</f>
        <v>990000</v>
      </c>
      <c r="K120" s="39">
        <f>'Vstupy cost'!$J$113</f>
        <v>990000</v>
      </c>
      <c r="L120" s="39">
        <f>'Vstupy cost'!$K$113</f>
        <v>990000</v>
      </c>
      <c r="M120" s="40">
        <f t="shared" ref="M120" si="108">SUM(C120:L120)</f>
        <v>7398000</v>
      </c>
      <c r="O120" s="188">
        <f>SUM(C120:F120)</f>
        <v>1458000</v>
      </c>
      <c r="P120" s="39"/>
      <c r="Q120" s="39">
        <v>3000000</v>
      </c>
      <c r="R120" s="40">
        <f>SUM(G120:L120)-Q120</f>
        <v>2940000</v>
      </c>
      <c r="S120" s="22">
        <f t="shared" ref="S120" si="109">SUM(O120:R120)-M120</f>
        <v>0</v>
      </c>
    </row>
    <row r="121" spans="1:20" ht="13.95" hidden="1" customHeight="1" outlineLevel="1">
      <c r="S121" s="22"/>
    </row>
    <row r="122" spans="1:20" s="10" customFormat="1" ht="13.95" customHeight="1">
      <c r="A122" s="1" t="s">
        <v>19</v>
      </c>
      <c r="B122" s="2"/>
      <c r="C122" s="125">
        <f t="shared" ref="C122:L122" si="110">SUM(C124,C130,C141,C146)</f>
        <v>267351.60000000003</v>
      </c>
      <c r="D122" s="125">
        <f t="shared" si="110"/>
        <v>1435830.8320000002</v>
      </c>
      <c r="E122" s="125">
        <f t="shared" si="110"/>
        <v>1512180.9089600001</v>
      </c>
      <c r="F122" s="125">
        <f t="shared" si="110"/>
        <v>39386897.307228804</v>
      </c>
      <c r="G122" s="125">
        <f t="shared" si="110"/>
        <v>4702183.2137876637</v>
      </c>
      <c r="H122" s="125">
        <f t="shared" si="110"/>
        <v>4597830.1105771344</v>
      </c>
      <c r="I122" s="125">
        <f t="shared" si="110"/>
        <v>4632486.4142702883</v>
      </c>
      <c r="J122" s="125">
        <f t="shared" si="110"/>
        <v>4668182.4070742372</v>
      </c>
      <c r="K122" s="125">
        <f t="shared" si="110"/>
        <v>5546449.2796623036</v>
      </c>
      <c r="L122" s="125">
        <f t="shared" si="110"/>
        <v>5584319.1584280133</v>
      </c>
      <c r="M122" s="126">
        <f>SUM(C122:L122)</f>
        <v>72333711.23198846</v>
      </c>
      <c r="O122" s="128">
        <f>SUM(O124:O147)</f>
        <v>40602260.6481888</v>
      </c>
      <c r="P122" s="129">
        <f>SUM(P124:P147)</f>
        <v>0</v>
      </c>
      <c r="Q122" s="129">
        <f>SUM(Q124:Q147)</f>
        <v>29731450.583799642</v>
      </c>
      <c r="R122" s="130">
        <f>SUM(R124:R147)</f>
        <v>2000000</v>
      </c>
      <c r="S122" s="22">
        <f>SUM(O122:R122)-M122</f>
        <v>0</v>
      </c>
      <c r="T122" s="320" t="s">
        <v>512</v>
      </c>
    </row>
    <row r="123" spans="1:20" s="10" customFormat="1" ht="13.95" customHeight="1" outlineLevel="1">
      <c r="A123" s="6"/>
      <c r="B123" s="4" t="s">
        <v>83</v>
      </c>
      <c r="C123" s="4" t="s">
        <v>84</v>
      </c>
      <c r="D123" s="4" t="s">
        <v>85</v>
      </c>
      <c r="E123" s="4" t="s">
        <v>86</v>
      </c>
      <c r="F123" s="4" t="s">
        <v>87</v>
      </c>
      <c r="G123" s="4" t="s">
        <v>88</v>
      </c>
      <c r="H123" s="4" t="s">
        <v>89</v>
      </c>
      <c r="I123" s="4" t="s">
        <v>90</v>
      </c>
      <c r="J123" s="4" t="s">
        <v>91</v>
      </c>
      <c r="K123" s="4" t="s">
        <v>92</v>
      </c>
      <c r="L123" s="4" t="s">
        <v>93</v>
      </c>
      <c r="M123" s="34" t="s">
        <v>11</v>
      </c>
      <c r="O123" s="27" t="s">
        <v>514</v>
      </c>
      <c r="P123" s="4" t="s">
        <v>95</v>
      </c>
      <c r="Q123" s="6" t="s">
        <v>513</v>
      </c>
      <c r="R123" s="28" t="s">
        <v>97</v>
      </c>
    </row>
    <row r="124" spans="1:20" ht="13.95" customHeight="1" outlineLevel="1">
      <c r="A124" s="33" t="s">
        <v>105</v>
      </c>
      <c r="B124" s="32"/>
      <c r="C124" s="36">
        <f>SUM(C125:C129)</f>
        <v>0</v>
      </c>
      <c r="D124" s="36">
        <f t="shared" ref="D124:L124" si="111">SUM(D125:D129)</f>
        <v>0</v>
      </c>
      <c r="E124" s="36">
        <f t="shared" si="111"/>
        <v>0</v>
      </c>
      <c r="F124" s="36">
        <f t="shared" si="111"/>
        <v>28190250</v>
      </c>
      <c r="G124" s="36">
        <f t="shared" si="111"/>
        <v>292050</v>
      </c>
      <c r="H124" s="36">
        <f t="shared" si="111"/>
        <v>154050</v>
      </c>
      <c r="I124" s="36">
        <f t="shared" si="111"/>
        <v>154050</v>
      </c>
      <c r="J124" s="36">
        <f t="shared" si="111"/>
        <v>154050</v>
      </c>
      <c r="K124" s="36">
        <f t="shared" si="111"/>
        <v>995550</v>
      </c>
      <c r="L124" s="36">
        <f t="shared" si="111"/>
        <v>995550</v>
      </c>
      <c r="M124" s="37">
        <f t="shared" ref="M124:M147" si="112">SUM(C124:L124)</f>
        <v>30935550</v>
      </c>
      <c r="O124" s="315"/>
      <c r="P124" s="316"/>
      <c r="Q124" s="316"/>
      <c r="R124" s="149"/>
      <c r="S124" s="22"/>
    </row>
    <row r="125" spans="1:20" ht="13.95" customHeight="1" outlineLevel="1">
      <c r="A125" s="5" t="s">
        <v>106</v>
      </c>
      <c r="B125" s="24" t="s">
        <v>107</v>
      </c>
      <c r="C125" s="25"/>
      <c r="D125" s="25"/>
      <c r="E125" s="25"/>
      <c r="F125" s="25">
        <f>'Vstupy cost'!$N$8*1.2</f>
        <v>28050000</v>
      </c>
      <c r="G125" s="25"/>
      <c r="H125" s="25"/>
      <c r="I125" s="25"/>
      <c r="J125" s="25"/>
      <c r="K125" s="25"/>
      <c r="L125" s="25"/>
      <c r="M125" s="35">
        <f t="shared" si="112"/>
        <v>28050000</v>
      </c>
      <c r="O125" s="38">
        <f t="shared" ref="O125:O147" si="113">SUM(C125:F125)</f>
        <v>28050000</v>
      </c>
      <c r="P125" s="25"/>
      <c r="Q125" s="25">
        <f t="shared" ref="Q125:Q145" si="114">SUM(G125:L125)</f>
        <v>0</v>
      </c>
      <c r="R125" s="35"/>
      <c r="S125" s="22">
        <f t="shared" ref="S125:S128" si="115">SUM(O125:R125)-M125</f>
        <v>0</v>
      </c>
    </row>
    <row r="126" spans="1:20" ht="13.95" customHeight="1" outlineLevel="1">
      <c r="A126" s="5" t="s">
        <v>108</v>
      </c>
      <c r="B126" s="24" t="s">
        <v>107</v>
      </c>
      <c r="C126" s="25"/>
      <c r="D126" s="25"/>
      <c r="E126" s="25"/>
      <c r="F126" s="300"/>
      <c r="G126" s="25">
        <f>ROUND('Vstupy cost'!$C$188*1.2,-3)</f>
        <v>138000</v>
      </c>
      <c r="H126" s="25"/>
      <c r="I126" s="25"/>
      <c r="J126" s="25"/>
      <c r="K126" s="25"/>
      <c r="L126" s="25"/>
      <c r="M126" s="35">
        <f t="shared" si="112"/>
        <v>138000</v>
      </c>
      <c r="O126" s="38">
        <f t="shared" si="113"/>
        <v>0</v>
      </c>
      <c r="P126" s="25"/>
      <c r="Q126" s="25">
        <f t="shared" si="114"/>
        <v>138000</v>
      </c>
      <c r="R126" s="35"/>
      <c r="S126" s="22">
        <f t="shared" si="115"/>
        <v>0</v>
      </c>
    </row>
    <row r="127" spans="1:20" ht="13.95" customHeight="1" outlineLevel="1">
      <c r="A127" s="5" t="s">
        <v>109</v>
      </c>
      <c r="B127" s="24" t="s">
        <v>98</v>
      </c>
      <c r="C127" s="25"/>
      <c r="D127" s="25"/>
      <c r="E127" s="25"/>
      <c r="F127" s="25"/>
      <c r="G127" s="25"/>
      <c r="H127" s="25"/>
      <c r="I127" s="25"/>
      <c r="J127" s="302"/>
      <c r="K127" s="25">
        <f>SUM($E$125:$F$125)*'Vstupy cost'!$B$48</f>
        <v>841500</v>
      </c>
      <c r="L127" s="25">
        <f>SUM($E$125:$F$125)*'Vstupy cost'!$B$48</f>
        <v>841500</v>
      </c>
      <c r="M127" s="35">
        <f t="shared" si="112"/>
        <v>1683000</v>
      </c>
      <c r="O127" s="38">
        <f t="shared" si="113"/>
        <v>0</v>
      </c>
      <c r="P127" s="25"/>
      <c r="Q127" s="25">
        <f t="shared" si="114"/>
        <v>1683000</v>
      </c>
      <c r="R127" s="35"/>
      <c r="S127" s="22">
        <f t="shared" si="115"/>
        <v>0</v>
      </c>
    </row>
    <row r="128" spans="1:20" ht="13.95" customHeight="1" outlineLevel="1">
      <c r="A128" s="5" t="s">
        <v>110</v>
      </c>
      <c r="B128" s="24" t="s">
        <v>98</v>
      </c>
      <c r="C128" s="25"/>
      <c r="D128" s="25"/>
      <c r="E128" s="25"/>
      <c r="F128" s="300"/>
      <c r="G128" s="25">
        <f>SUM($E$126,$G$126)*'Vstupy cost'!$B$190</f>
        <v>13800</v>
      </c>
      <c r="H128" s="25">
        <f>SUM($E$126,$G$126)*'Vstupy cost'!$B$190</f>
        <v>13800</v>
      </c>
      <c r="I128" s="25">
        <f>SUM($E$126,$G$126)*'Vstupy cost'!$B$190</f>
        <v>13800</v>
      </c>
      <c r="J128" s="25">
        <f>SUM($E$126,$G$126)*'Vstupy cost'!$B$190</f>
        <v>13800</v>
      </c>
      <c r="K128" s="25">
        <f>SUM($E$126,$G$126)*'Vstupy cost'!$B$190</f>
        <v>13800</v>
      </c>
      <c r="L128" s="25">
        <f>SUM($E$126,$G$126)*'Vstupy cost'!$B$190</f>
        <v>13800</v>
      </c>
      <c r="M128" s="35">
        <f t="shared" si="112"/>
        <v>82800</v>
      </c>
      <c r="O128" s="38">
        <f t="shared" si="113"/>
        <v>0</v>
      </c>
      <c r="P128" s="25"/>
      <c r="Q128" s="25">
        <f t="shared" si="114"/>
        <v>82800</v>
      </c>
      <c r="R128" s="35"/>
      <c r="S128" s="22">
        <f t="shared" si="115"/>
        <v>0</v>
      </c>
    </row>
    <row r="129" spans="1:19" ht="13.95" customHeight="1" outlineLevel="1">
      <c r="A129" s="5" t="s">
        <v>111</v>
      </c>
      <c r="B129" s="24" t="s">
        <v>98</v>
      </c>
      <c r="C129" s="25"/>
      <c r="D129" s="25"/>
      <c r="E129" s="25"/>
      <c r="F129" s="25">
        <f>'Vstupy cost'!$S$8*1.2</f>
        <v>140250</v>
      </c>
      <c r="G129" s="25">
        <f>'Vstupy cost'!$S$8*1.2</f>
        <v>140250</v>
      </c>
      <c r="H129" s="25">
        <f>'Vstupy cost'!$S$8*1.2</f>
        <v>140250</v>
      </c>
      <c r="I129" s="25">
        <f>'Vstupy cost'!$S$8*1.2</f>
        <v>140250</v>
      </c>
      <c r="J129" s="25">
        <f>'Vstupy cost'!$S$8*1.2</f>
        <v>140250</v>
      </c>
      <c r="K129" s="25">
        <f>'Vstupy cost'!$S$8*1.2</f>
        <v>140250</v>
      </c>
      <c r="L129" s="25">
        <f>'Vstupy cost'!$S$8*1.2</f>
        <v>140250</v>
      </c>
      <c r="M129" s="35">
        <f t="shared" si="112"/>
        <v>981750</v>
      </c>
      <c r="O129" s="38">
        <f t="shared" si="113"/>
        <v>140250</v>
      </c>
      <c r="P129" s="25"/>
      <c r="Q129" s="25">
        <f t="shared" si="114"/>
        <v>841500</v>
      </c>
      <c r="R129" s="35"/>
      <c r="S129" s="22"/>
    </row>
    <row r="130" spans="1:19" ht="13.95" customHeight="1" outlineLevel="1">
      <c r="A130" s="33" t="s">
        <v>112</v>
      </c>
      <c r="B130" s="32"/>
      <c r="C130" s="36">
        <f t="shared" ref="C130:L130" si="116">SUM(C131:C140)</f>
        <v>0</v>
      </c>
      <c r="D130" s="36">
        <f t="shared" si="116"/>
        <v>0</v>
      </c>
      <c r="E130" s="36">
        <f t="shared" si="116"/>
        <v>0</v>
      </c>
      <c r="F130" s="36">
        <f t="shared" si="116"/>
        <v>9357750.970999999</v>
      </c>
      <c r="G130" s="36">
        <f t="shared" si="116"/>
        <v>2298569.9874720001</v>
      </c>
      <c r="H130" s="36">
        <f t="shared" si="116"/>
        <v>2298569.9874720001</v>
      </c>
      <c r="I130" s="36">
        <f t="shared" si="116"/>
        <v>2298569.9874720001</v>
      </c>
      <c r="J130" s="36">
        <f t="shared" si="116"/>
        <v>2298569.9874720001</v>
      </c>
      <c r="K130" s="36">
        <f t="shared" si="116"/>
        <v>2298569.9874720001</v>
      </c>
      <c r="L130" s="36">
        <f t="shared" si="116"/>
        <v>2298569.9874720001</v>
      </c>
      <c r="M130" s="37">
        <f t="shared" si="112"/>
        <v>23149170.895832002</v>
      </c>
      <c r="O130" s="315"/>
      <c r="P130" s="316"/>
      <c r="Q130" s="316"/>
      <c r="R130" s="35"/>
      <c r="S130" s="22"/>
    </row>
    <row r="131" spans="1:19" s="10" customFormat="1" ht="13.95" hidden="1" customHeight="1" outlineLevel="1">
      <c r="A131" s="5" t="s">
        <v>113</v>
      </c>
      <c r="B131" s="24" t="s">
        <v>107</v>
      </c>
      <c r="C131" s="25"/>
      <c r="D131" s="25"/>
      <c r="E131" s="25">
        <f>'Vstupy cost'!O8*1.2</f>
        <v>0</v>
      </c>
      <c r="F131" s="25"/>
      <c r="G131" s="25"/>
      <c r="H131" s="25"/>
      <c r="I131" s="25"/>
      <c r="J131" s="25"/>
      <c r="K131" s="25"/>
      <c r="L131" s="25"/>
      <c r="M131" s="35">
        <f t="shared" si="112"/>
        <v>0</v>
      </c>
      <c r="O131" s="38">
        <f t="shared" si="113"/>
        <v>0</v>
      </c>
      <c r="P131" s="25"/>
      <c r="Q131" s="25">
        <f t="shared" si="114"/>
        <v>0</v>
      </c>
      <c r="R131" s="35"/>
      <c r="S131" s="22">
        <f t="shared" ref="S131:S132" si="117">SUM(O131:R131)-M131</f>
        <v>0</v>
      </c>
    </row>
    <row r="132" spans="1:19" s="10" customFormat="1" ht="13.95" hidden="1" customHeight="1" outlineLevel="1">
      <c r="A132" s="5" t="s">
        <v>114</v>
      </c>
      <c r="B132" s="24" t="s">
        <v>98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35">
        <f t="shared" si="112"/>
        <v>0</v>
      </c>
      <c r="O132" s="38">
        <f t="shared" si="113"/>
        <v>0</v>
      </c>
      <c r="P132" s="25"/>
      <c r="Q132" s="25">
        <f t="shared" si="114"/>
        <v>0</v>
      </c>
      <c r="R132" s="35"/>
      <c r="S132" s="22">
        <f t="shared" si="117"/>
        <v>0</v>
      </c>
    </row>
    <row r="133" spans="1:19" ht="13.95" customHeight="1" outlineLevel="1">
      <c r="A133" s="5" t="s">
        <v>115</v>
      </c>
      <c r="B133" s="24" t="s">
        <v>107</v>
      </c>
      <c r="C133" s="25"/>
      <c r="E133" s="25"/>
      <c r="F133" s="25">
        <f>'Vstupy cost'!Q8*1.2</f>
        <v>7800000</v>
      </c>
      <c r="G133" s="25"/>
      <c r="H133" s="25"/>
      <c r="I133" s="25"/>
      <c r="J133" s="25"/>
      <c r="K133" s="25"/>
      <c r="L133" s="25"/>
      <c r="M133" s="35">
        <f t="shared" si="112"/>
        <v>7800000</v>
      </c>
      <c r="O133" s="38">
        <f t="shared" si="113"/>
        <v>7800000</v>
      </c>
      <c r="P133" s="25"/>
      <c r="Q133" s="25">
        <f t="shared" si="114"/>
        <v>0</v>
      </c>
      <c r="R133" s="35"/>
      <c r="S133" s="22">
        <f t="shared" ref="S133:S139" si="118">SUM(O133:R133)-M133</f>
        <v>0</v>
      </c>
    </row>
    <row r="134" spans="1:19" ht="13.95" hidden="1" customHeight="1" outlineLevel="1">
      <c r="A134" s="5" t="s">
        <v>116</v>
      </c>
      <c r="B134" s="24" t="s">
        <v>107</v>
      </c>
      <c r="C134" s="80"/>
      <c r="D134" s="25"/>
      <c r="E134" s="25"/>
      <c r="F134" s="25"/>
      <c r="G134" s="25"/>
      <c r="H134" s="25"/>
      <c r="I134" s="25"/>
      <c r="J134" s="25"/>
      <c r="K134" s="25"/>
      <c r="L134" s="25"/>
      <c r="M134" s="35">
        <f t="shared" si="112"/>
        <v>0</v>
      </c>
      <c r="O134" s="38">
        <f t="shared" si="113"/>
        <v>0</v>
      </c>
      <c r="P134" s="25"/>
      <c r="Q134" s="25">
        <f t="shared" si="114"/>
        <v>0</v>
      </c>
      <c r="R134" s="35"/>
      <c r="S134" s="22">
        <f t="shared" ref="S134:S135" si="119">SUM(O134:R134)-M134</f>
        <v>0</v>
      </c>
    </row>
    <row r="135" spans="1:19" ht="13.95" hidden="1" customHeight="1" outlineLevel="1">
      <c r="A135" s="5" t="s">
        <v>117</v>
      </c>
      <c r="B135" s="24" t="s">
        <v>107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35">
        <f t="shared" si="112"/>
        <v>0</v>
      </c>
      <c r="O135" s="38">
        <f t="shared" si="113"/>
        <v>0</v>
      </c>
      <c r="P135" s="25"/>
      <c r="Q135" s="25">
        <f t="shared" si="114"/>
        <v>0</v>
      </c>
      <c r="R135" s="35"/>
      <c r="S135" s="22">
        <f t="shared" si="119"/>
        <v>0</v>
      </c>
    </row>
    <row r="136" spans="1:19" ht="13.95" hidden="1" customHeight="1" outlineLevel="1">
      <c r="A136" s="5" t="s">
        <v>118</v>
      </c>
      <c r="B136" s="24" t="s">
        <v>107</v>
      </c>
      <c r="C136" s="80"/>
      <c r="D136" s="25"/>
      <c r="E136" s="25">
        <f>'Vstupy cost'!$K$8*1.2</f>
        <v>0</v>
      </c>
      <c r="F136" s="302">
        <f>'Vstupy cost'!$L$8*1.2</f>
        <v>0</v>
      </c>
      <c r="G136" s="25"/>
      <c r="H136" s="25"/>
      <c r="I136" s="25"/>
      <c r="J136" s="25"/>
      <c r="K136" s="25"/>
      <c r="L136" s="25"/>
      <c r="M136" s="35">
        <f t="shared" si="112"/>
        <v>0</v>
      </c>
      <c r="O136" s="38">
        <f t="shared" si="113"/>
        <v>0</v>
      </c>
      <c r="P136" s="25"/>
      <c r="Q136" s="25">
        <f t="shared" si="114"/>
        <v>0</v>
      </c>
      <c r="R136" s="35"/>
      <c r="S136" s="22">
        <f t="shared" si="118"/>
        <v>0</v>
      </c>
    </row>
    <row r="137" spans="1:19" ht="13.95" customHeight="1" outlineLevel="1">
      <c r="A137" s="5" t="s">
        <v>119</v>
      </c>
      <c r="B137" s="24" t="s">
        <v>98</v>
      </c>
      <c r="C137" s="25"/>
      <c r="D137" s="25"/>
      <c r="E137" s="25"/>
      <c r="F137" s="25">
        <f>SUM('Vstupy cost'!$E$8*'Vstupy cost'!$B$19*1.2*24*365,'Vstupy cost'!$F$8*'Vstupy cost'!$B$19*1.2*24*365/3)</f>
        <v>758199.02400000009</v>
      </c>
      <c r="G137" s="25">
        <f>'Vstupy cost'!$F$8*'Vstupy cost'!$B$19*1.2*24*365</f>
        <v>2274597.0720000002</v>
      </c>
      <c r="H137" s="25">
        <f>'Vstupy cost'!$F$8*'Vstupy cost'!$B$19*1.2*24*365</f>
        <v>2274597.0720000002</v>
      </c>
      <c r="I137" s="25">
        <f>'Vstupy cost'!$F$8*'Vstupy cost'!$B$19*1.2*24*365</f>
        <v>2274597.0720000002</v>
      </c>
      <c r="J137" s="25">
        <f>'Vstupy cost'!$F$8*'Vstupy cost'!$B$19*1.2*24*365</f>
        <v>2274597.0720000002</v>
      </c>
      <c r="K137" s="25">
        <f>'Vstupy cost'!$F$8*'Vstupy cost'!$B$19*1.2*24*365</f>
        <v>2274597.0720000002</v>
      </c>
      <c r="L137" s="25">
        <f>'Vstupy cost'!$F$8*'Vstupy cost'!$B$19*1.2*24*365</f>
        <v>2274597.0720000002</v>
      </c>
      <c r="M137" s="35">
        <f t="shared" si="112"/>
        <v>14405781.456000002</v>
      </c>
      <c r="O137" s="38">
        <f t="shared" si="113"/>
        <v>758199.02400000009</v>
      </c>
      <c r="P137" s="25"/>
      <c r="Q137" s="25">
        <f t="shared" si="114"/>
        <v>13647582.432000002</v>
      </c>
      <c r="R137" s="35"/>
      <c r="S137" s="22">
        <f t="shared" si="118"/>
        <v>0</v>
      </c>
    </row>
    <row r="138" spans="1:19" ht="13.95" customHeight="1" outlineLevel="1">
      <c r="A138" s="5" t="s">
        <v>120</v>
      </c>
      <c r="B138" s="24" t="s">
        <v>107</v>
      </c>
      <c r="C138" s="25"/>
      <c r="D138" s="25"/>
      <c r="F138" s="25">
        <f>'Vstupy cost'!$I$8*1.2</f>
        <v>799551.94699999911</v>
      </c>
      <c r="G138" s="25"/>
      <c r="H138" s="25"/>
      <c r="I138" s="25"/>
      <c r="J138" s="25"/>
      <c r="K138" s="25"/>
      <c r="L138" s="25"/>
      <c r="M138" s="35">
        <f t="shared" si="112"/>
        <v>799551.94699999911</v>
      </c>
      <c r="O138" s="38">
        <f t="shared" si="113"/>
        <v>799551.94699999911</v>
      </c>
      <c r="P138" s="25"/>
      <c r="Q138" s="25">
        <f t="shared" si="114"/>
        <v>0</v>
      </c>
      <c r="R138" s="35"/>
      <c r="S138" s="22">
        <f t="shared" si="118"/>
        <v>0</v>
      </c>
    </row>
    <row r="139" spans="1:19" s="10" customFormat="1" ht="13.95" customHeight="1" outlineLevel="1">
      <c r="A139" s="5" t="s">
        <v>121</v>
      </c>
      <c r="B139" s="24" t="s">
        <v>98</v>
      </c>
      <c r="C139" s="25"/>
      <c r="D139" s="41"/>
      <c r="E139" s="41"/>
      <c r="F139" s="41"/>
      <c r="G139" s="41">
        <f>IF($F$138=0,0,-'Vstupy cost'!$H$8*'Vstupy cost'!$B$19*1.2*12)</f>
        <v>-171027.08452800001</v>
      </c>
      <c r="H139" s="41">
        <f>IF($F$138=0,0,-'Vstupy cost'!$H$8*'Vstupy cost'!$B$19*1.2*12)</f>
        <v>-171027.08452800001</v>
      </c>
      <c r="I139" s="41">
        <f>IF($F$138=0,0,-'Vstupy cost'!$H$8*'Vstupy cost'!$B$19*1.2*12)</f>
        <v>-171027.08452800001</v>
      </c>
      <c r="J139" s="41">
        <f>IF($F$138=0,0,-'Vstupy cost'!$H$8*'Vstupy cost'!$B$19*1.2*12)</f>
        <v>-171027.08452800001</v>
      </c>
      <c r="K139" s="41">
        <f>IF($F$138=0,0,-'Vstupy cost'!$H$8*'Vstupy cost'!$B$19*1.2*12)</f>
        <v>-171027.08452800001</v>
      </c>
      <c r="L139" s="41">
        <f>IF($F$138=0,0,-'Vstupy cost'!$H$8*'Vstupy cost'!$B$19*1.2*12)</f>
        <v>-171027.08452800001</v>
      </c>
      <c r="M139" s="42">
        <f t="shared" si="112"/>
        <v>-1026162.507168</v>
      </c>
      <c r="O139" s="38">
        <f t="shared" si="113"/>
        <v>0</v>
      </c>
      <c r="P139" s="25"/>
      <c r="Q139" s="25">
        <f t="shared" si="114"/>
        <v>-1026162.507168</v>
      </c>
      <c r="R139" s="35"/>
      <c r="S139" s="22">
        <f t="shared" si="118"/>
        <v>0</v>
      </c>
    </row>
    <row r="140" spans="1:19" ht="13.95" customHeight="1" outlineLevel="1">
      <c r="A140" s="5" t="s">
        <v>122</v>
      </c>
      <c r="B140" s="24" t="s">
        <v>98</v>
      </c>
      <c r="C140" s="25"/>
      <c r="D140" s="25"/>
      <c r="E140" s="25"/>
      <c r="F140" s="317"/>
      <c r="G140" s="25">
        <f>'Vstupy cost'!$J$8*1.2</f>
        <v>195000</v>
      </c>
      <c r="H140" s="25">
        <f>'Vstupy cost'!$J$8*1.2</f>
        <v>195000</v>
      </c>
      <c r="I140" s="25">
        <f>'Vstupy cost'!$J$8*1.2</f>
        <v>195000</v>
      </c>
      <c r="J140" s="25">
        <f>'Vstupy cost'!$J$8*1.2</f>
        <v>195000</v>
      </c>
      <c r="K140" s="25">
        <f>'Vstupy cost'!$J$8*1.2</f>
        <v>195000</v>
      </c>
      <c r="L140" s="25">
        <f>'Vstupy cost'!$J$8*1.2</f>
        <v>195000</v>
      </c>
      <c r="M140" s="35">
        <f t="shared" si="112"/>
        <v>1170000</v>
      </c>
      <c r="O140" s="38">
        <f t="shared" si="113"/>
        <v>0</v>
      </c>
      <c r="P140" s="25"/>
      <c r="Q140" s="25">
        <f t="shared" si="114"/>
        <v>1170000</v>
      </c>
      <c r="R140" s="35"/>
      <c r="S140" s="22">
        <f t="shared" ref="S140" si="120">SUM(O140:R140)-M140</f>
        <v>0</v>
      </c>
    </row>
    <row r="141" spans="1:19" ht="13.95" customHeight="1" outlineLevel="1">
      <c r="A141" s="33" t="s">
        <v>99</v>
      </c>
      <c r="B141" s="32"/>
      <c r="C141" s="36">
        <f>SUM(C142:C145)</f>
        <v>267351.60000000003</v>
      </c>
      <c r="D141" s="36">
        <f t="shared" ref="D141:L141" si="121">SUM(D142:D145)</f>
        <v>1182830.8320000002</v>
      </c>
      <c r="E141" s="36">
        <f t="shared" si="121"/>
        <v>1057180.9089600001</v>
      </c>
      <c r="F141" s="36">
        <f t="shared" si="121"/>
        <v>1088896.3362288002</v>
      </c>
      <c r="G141" s="36">
        <f t="shared" si="121"/>
        <v>1121563.2263156641</v>
      </c>
      <c r="H141" s="36">
        <f t="shared" si="121"/>
        <v>1155210.1231051341</v>
      </c>
      <c r="I141" s="36">
        <f t="shared" si="121"/>
        <v>1189866.4267982882</v>
      </c>
      <c r="J141" s="36">
        <f t="shared" si="121"/>
        <v>1225562.4196022367</v>
      </c>
      <c r="K141" s="36">
        <f t="shared" si="121"/>
        <v>1262329.292190304</v>
      </c>
      <c r="L141" s="36">
        <f t="shared" si="121"/>
        <v>1300199.1709560133</v>
      </c>
      <c r="M141" s="37">
        <f t="shared" si="112"/>
        <v>10850990.336156441</v>
      </c>
      <c r="O141" s="315"/>
      <c r="P141" s="316"/>
      <c r="Q141" s="316"/>
      <c r="R141" s="35"/>
      <c r="S141" s="22"/>
    </row>
    <row r="142" spans="1:19" ht="13.95" hidden="1" customHeight="1" outlineLevel="1">
      <c r="A142" s="5" t="s">
        <v>100</v>
      </c>
      <c r="B142" s="24" t="s">
        <v>98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35">
        <f t="shared" si="112"/>
        <v>0</v>
      </c>
      <c r="O142" s="38">
        <f t="shared" si="113"/>
        <v>0</v>
      </c>
      <c r="P142" s="25"/>
      <c r="Q142" s="25">
        <f t="shared" si="114"/>
        <v>0</v>
      </c>
      <c r="R142" s="35"/>
      <c r="S142" s="22">
        <f t="shared" ref="S142" si="122">SUM(O142:R142)-M142</f>
        <v>0</v>
      </c>
    </row>
    <row r="143" spans="1:19" ht="13.95" customHeight="1" outlineLevel="1">
      <c r="A143" s="5" t="s">
        <v>101</v>
      </c>
      <c r="B143" s="24" t="s">
        <v>98</v>
      </c>
      <c r="C143" s="25">
        <f>'Vstupy cost'!B88*'Vstupy cost'!B85*12*1.398</f>
        <v>110721.60000000002</v>
      </c>
      <c r="D143" s="25">
        <f>'Vstupy cost'!C88*'Vstupy cost'!C85*12*1.398</f>
        <v>456172.99200000003</v>
      </c>
      <c r="E143" s="25">
        <f>'Vstupy cost'!D88*'Vstupy cost'!D85*12*1.398</f>
        <v>469858.18176000006</v>
      </c>
      <c r="F143" s="25">
        <f>'Vstupy cost'!E88*'Vstupy cost'!E85*12*1.398</f>
        <v>483953.92721280007</v>
      </c>
      <c r="G143" s="25">
        <f>'Vstupy cost'!F88*'Vstupy cost'!F85*12*1.398</f>
        <v>498472.54502918414</v>
      </c>
      <c r="H143" s="25">
        <f>'Vstupy cost'!G88*'Vstupy cost'!G85*12*1.398</f>
        <v>513426.72138005961</v>
      </c>
      <c r="I143" s="25">
        <f>'Vstupy cost'!H88*'Vstupy cost'!H85*12*1.398</f>
        <v>528829.52302146144</v>
      </c>
      <c r="J143" s="25">
        <f>'Vstupy cost'!I88*'Vstupy cost'!I85*12*1.398</f>
        <v>544694.40871210524</v>
      </c>
      <c r="K143" s="25">
        <f>'Vstupy cost'!J88*'Vstupy cost'!J85*12*1.398</f>
        <v>561035.24097346852</v>
      </c>
      <c r="L143" s="25">
        <f>'Vstupy cost'!K88*'Vstupy cost'!K85*12*1.398</f>
        <v>577866.29820267251</v>
      </c>
      <c r="M143" s="35">
        <f t="shared" si="112"/>
        <v>4745031.4382917508</v>
      </c>
      <c r="O143" s="38">
        <f t="shared" si="113"/>
        <v>1520706.7009728001</v>
      </c>
      <c r="P143" s="25"/>
      <c r="Q143" s="25">
        <f t="shared" si="114"/>
        <v>3224324.7373189512</v>
      </c>
      <c r="R143" s="35"/>
      <c r="S143" s="22">
        <f>SUM(O143:R143)-M143</f>
        <v>0</v>
      </c>
    </row>
    <row r="144" spans="1:19" ht="13.95" customHeight="1" outlineLevel="1">
      <c r="A144" s="5" t="s">
        <v>102</v>
      </c>
      <c r="B144" s="24" t="s">
        <v>98</v>
      </c>
      <c r="C144" s="25">
        <f>'Vstupy cost'!B89*'Vstupy cost'!B85*12*1.398</f>
        <v>0</v>
      </c>
      <c r="D144" s="25">
        <f>'Vstupy cost'!C89*'Vstupy cost'!C85*12*1.398</f>
        <v>570216.24000000011</v>
      </c>
      <c r="E144" s="25">
        <f>'Vstupy cost'!D89*'Vstupy cost'!D85*12*1.398</f>
        <v>587322.72719999996</v>
      </c>
      <c r="F144" s="25">
        <f>'Vstupy cost'!E89*'Vstupy cost'!E85*12*1.398</f>
        <v>604942.40901600011</v>
      </c>
      <c r="G144" s="25">
        <f>('Vstupy cost'!F89*'Vstupy cost'!F85*12*1.398)</f>
        <v>623090.68128648004</v>
      </c>
      <c r="H144" s="25">
        <f>'Vstupy cost'!G89*'Vstupy cost'!G85*12*1.398</f>
        <v>641783.40172507451</v>
      </c>
      <c r="I144" s="25">
        <f>'Vstupy cost'!H89*'Vstupy cost'!H85*12*1.398</f>
        <v>661036.9037768268</v>
      </c>
      <c r="J144" s="25">
        <f>'Vstupy cost'!I89*'Vstupy cost'!I85*12*1.398</f>
        <v>680868.01089013158</v>
      </c>
      <c r="K144" s="25">
        <f>'Vstupy cost'!J89*'Vstupy cost'!J85*12*1.398</f>
        <v>701294.05121683551</v>
      </c>
      <c r="L144" s="25">
        <f>'Vstupy cost'!K89*'Vstupy cost'!K85*12*1.398</f>
        <v>722332.87275334063</v>
      </c>
      <c r="M144" s="35">
        <f t="shared" si="112"/>
        <v>5792887.2978646886</v>
      </c>
      <c r="O144" s="38">
        <f>SUM(C144:F144)-R144</f>
        <v>-237518.62378399982</v>
      </c>
      <c r="P144" s="25"/>
      <c r="Q144" s="25">
        <f t="shared" si="114"/>
        <v>4030405.9216486891</v>
      </c>
      <c r="R144" s="301">
        <v>2000000</v>
      </c>
      <c r="S144" s="22">
        <f t="shared" ref="S144:S145" si="123">SUM(O144:R144)-M144</f>
        <v>0</v>
      </c>
    </row>
    <row r="145" spans="1:19" ht="13.95" customHeight="1" outlineLevel="1">
      <c r="A145" s="5" t="s">
        <v>103</v>
      </c>
      <c r="B145" s="24" t="s">
        <v>98</v>
      </c>
      <c r="C145" s="25">
        <f>'Vstupy cost'!$B$117*1.2+'Vstupy cost'!$B$119*1.39</f>
        <v>156630</v>
      </c>
      <c r="D145" s="25">
        <f>'Vstupy cost'!$B$118*1.2</f>
        <v>156441.60000000001</v>
      </c>
      <c r="E145" s="25"/>
      <c r="F145" s="25"/>
      <c r="G145" s="25"/>
      <c r="H145" s="25"/>
      <c r="I145" s="25"/>
      <c r="J145" s="25"/>
      <c r="K145" s="25"/>
      <c r="L145" s="25"/>
      <c r="M145" s="35">
        <f t="shared" si="112"/>
        <v>313071.59999999998</v>
      </c>
      <c r="O145" s="38">
        <f t="shared" si="113"/>
        <v>313071.59999999998</v>
      </c>
      <c r="P145" s="25"/>
      <c r="Q145" s="25">
        <f t="shared" si="114"/>
        <v>0</v>
      </c>
      <c r="R145" s="35"/>
      <c r="S145" s="22">
        <f t="shared" si="123"/>
        <v>0</v>
      </c>
    </row>
    <row r="146" spans="1:19" ht="13.95" customHeight="1" outlineLevel="1">
      <c r="A146" s="33" t="s">
        <v>80</v>
      </c>
      <c r="B146" s="32"/>
      <c r="C146" s="36">
        <f t="shared" ref="C146:L146" si="124">SUM(C147:C147)</f>
        <v>0</v>
      </c>
      <c r="D146" s="36">
        <f t="shared" si="124"/>
        <v>253000</v>
      </c>
      <c r="E146" s="36">
        <f t="shared" si="124"/>
        <v>455000</v>
      </c>
      <c r="F146" s="36">
        <f t="shared" si="124"/>
        <v>750000</v>
      </c>
      <c r="G146" s="36">
        <f t="shared" si="124"/>
        <v>990000</v>
      </c>
      <c r="H146" s="36">
        <f t="shared" si="124"/>
        <v>990000</v>
      </c>
      <c r="I146" s="36">
        <f t="shared" si="124"/>
        <v>990000</v>
      </c>
      <c r="J146" s="36">
        <f t="shared" si="124"/>
        <v>990000</v>
      </c>
      <c r="K146" s="36">
        <f t="shared" si="124"/>
        <v>990000</v>
      </c>
      <c r="L146" s="36">
        <f t="shared" si="124"/>
        <v>990000</v>
      </c>
      <c r="M146" s="37">
        <f t="shared" si="112"/>
        <v>7398000</v>
      </c>
      <c r="O146" s="315"/>
      <c r="P146" s="316"/>
      <c r="Q146" s="316"/>
      <c r="R146" s="35"/>
      <c r="S146" s="22"/>
    </row>
    <row r="147" spans="1:19" ht="13.95" customHeight="1" outlineLevel="1" thickBot="1">
      <c r="A147" s="9" t="s">
        <v>104</v>
      </c>
      <c r="B147" s="39"/>
      <c r="C147" s="39">
        <f>'Vstupy cost'!$B$113</f>
        <v>0</v>
      </c>
      <c r="D147" s="39">
        <f>'Vstupy cost'!$C$113</f>
        <v>253000</v>
      </c>
      <c r="E147" s="39">
        <f>'Vstupy cost'!$D$113</f>
        <v>455000</v>
      </c>
      <c r="F147" s="39">
        <f>'Vstupy cost'!$E$113</f>
        <v>750000</v>
      </c>
      <c r="G147" s="39">
        <f>'Vstupy cost'!$F$113</f>
        <v>990000</v>
      </c>
      <c r="H147" s="39">
        <f>'Vstupy cost'!$G$113</f>
        <v>990000</v>
      </c>
      <c r="I147" s="39">
        <f>'Vstupy cost'!$H$113</f>
        <v>990000</v>
      </c>
      <c r="J147" s="39">
        <f>'Vstupy cost'!$I$113</f>
        <v>990000</v>
      </c>
      <c r="K147" s="39">
        <f>'Vstupy cost'!$J$113</f>
        <v>990000</v>
      </c>
      <c r="L147" s="39">
        <f>'Vstupy cost'!$K$113</f>
        <v>990000</v>
      </c>
      <c r="M147" s="40">
        <f t="shared" si="112"/>
        <v>7398000</v>
      </c>
      <c r="O147" s="188">
        <f t="shared" si="113"/>
        <v>1458000</v>
      </c>
      <c r="P147" s="39"/>
      <c r="Q147" s="39">
        <f>SUM(G147:L147)-R147</f>
        <v>5940000</v>
      </c>
      <c r="R147" s="314"/>
      <c r="S147" s="22">
        <f t="shared" ref="S147" si="125">SUM(O147:R147)-M147</f>
        <v>0</v>
      </c>
    </row>
    <row r="148" spans="1:19" ht="13.95" customHeight="1" outlineLevel="1">
      <c r="O148" s="10"/>
      <c r="P148" s="10"/>
      <c r="Q148" s="10"/>
      <c r="R148" s="10"/>
      <c r="S148" s="22"/>
    </row>
    <row r="149" spans="1:19" s="10" customFormat="1" ht="13.95" hidden="1" customHeight="1" collapsed="1">
      <c r="A149" s="1" t="s">
        <v>20</v>
      </c>
      <c r="B149" s="2"/>
      <c r="C149" s="125">
        <f>SUM(C151,C157,C168,C173)</f>
        <v>267351.60000000003</v>
      </c>
      <c r="D149" s="125">
        <f t="shared" ref="D149:L149" si="126">SUM(D151,D157,D168,D173)</f>
        <v>1551030.8320000004</v>
      </c>
      <c r="E149" s="125">
        <f t="shared" si="126"/>
        <v>13895393.61296</v>
      </c>
      <c r="F149" s="125">
        <f t="shared" si="126"/>
        <v>16761808.720448799</v>
      </c>
      <c r="G149" s="125">
        <f t="shared" si="126"/>
        <v>6308137.2325623836</v>
      </c>
      <c r="H149" s="125">
        <f t="shared" si="126"/>
        <v>6341784.1293518543</v>
      </c>
      <c r="I149" s="125">
        <f t="shared" si="126"/>
        <v>6376440.4330450082</v>
      </c>
      <c r="J149" s="125">
        <f t="shared" si="126"/>
        <v>6525752.4258489562</v>
      </c>
      <c r="K149" s="125">
        <f t="shared" si="126"/>
        <v>6736903.2984370235</v>
      </c>
      <c r="L149" s="125">
        <f t="shared" si="126"/>
        <v>6774773.1772027332</v>
      </c>
      <c r="M149" s="126">
        <f>SUM(C149:L149)</f>
        <v>71539375.461856753</v>
      </c>
      <c r="O149" s="128">
        <f>SUM(O151:O174)</f>
        <v>29526004.765408803</v>
      </c>
      <c r="P149" s="129">
        <f>SUM(P151:P174)</f>
        <v>11506114.020804068</v>
      </c>
      <c r="Q149" s="129">
        <f>SUM(Q151:Q174)</f>
        <v>26567256.675643891</v>
      </c>
      <c r="R149" s="130">
        <f>SUM(R151:R174)</f>
        <v>3940000</v>
      </c>
      <c r="S149" s="22">
        <f t="shared" ref="S149" si="127">SUM(O149:R149)-M149</f>
        <v>0</v>
      </c>
    </row>
    <row r="150" spans="1:19" s="10" customFormat="1" ht="13.95" hidden="1" customHeight="1" outlineLevel="1">
      <c r="A150" s="6"/>
      <c r="B150" s="4" t="s">
        <v>83</v>
      </c>
      <c r="C150" s="4" t="s">
        <v>84</v>
      </c>
      <c r="D150" s="4" t="s">
        <v>85</v>
      </c>
      <c r="E150" s="4" t="s">
        <v>86</v>
      </c>
      <c r="F150" s="4" t="s">
        <v>87</v>
      </c>
      <c r="G150" s="4" t="s">
        <v>88</v>
      </c>
      <c r="H150" s="4" t="s">
        <v>89</v>
      </c>
      <c r="I150" s="4" t="s">
        <v>90</v>
      </c>
      <c r="J150" s="4" t="s">
        <v>91</v>
      </c>
      <c r="K150" s="4" t="s">
        <v>92</v>
      </c>
      <c r="L150" s="4" t="s">
        <v>93</v>
      </c>
      <c r="M150" s="34" t="s">
        <v>11</v>
      </c>
      <c r="O150" s="27" t="s">
        <v>94</v>
      </c>
      <c r="P150" s="4" t="s">
        <v>95</v>
      </c>
      <c r="Q150" s="4" t="s">
        <v>96</v>
      </c>
      <c r="R150" s="28" t="s">
        <v>97</v>
      </c>
    </row>
    <row r="151" spans="1:19" ht="13.95" hidden="1" customHeight="1" outlineLevel="1">
      <c r="A151" s="33" t="s">
        <v>105</v>
      </c>
      <c r="B151" s="32"/>
      <c r="C151" s="36">
        <f>SUM(C152:C156)</f>
        <v>0</v>
      </c>
      <c r="D151" s="36">
        <f t="shared" ref="D151:L151" si="128">SUM(D152:D156)</f>
        <v>0</v>
      </c>
      <c r="E151" s="36">
        <f t="shared" si="128"/>
        <v>3957936</v>
      </c>
      <c r="F151" s="36">
        <f t="shared" si="128"/>
        <v>6026400</v>
      </c>
      <c r="G151" s="36">
        <f t="shared" si="128"/>
        <v>75600</v>
      </c>
      <c r="H151" s="36">
        <f t="shared" si="128"/>
        <v>75600</v>
      </c>
      <c r="I151" s="36">
        <f t="shared" si="128"/>
        <v>75600</v>
      </c>
      <c r="J151" s="36">
        <f t="shared" si="128"/>
        <v>189216</v>
      </c>
      <c r="K151" s="36">
        <f t="shared" si="128"/>
        <v>363600</v>
      </c>
      <c r="L151" s="36">
        <f t="shared" si="128"/>
        <v>363600</v>
      </c>
      <c r="M151" s="37">
        <f t="shared" ref="M151:M173" si="129">SUM(C151:L151)</f>
        <v>11127552</v>
      </c>
      <c r="O151" s="38"/>
      <c r="P151" s="25"/>
      <c r="Q151" s="25"/>
      <c r="R151" s="149"/>
      <c r="S151" s="22"/>
    </row>
    <row r="152" spans="1:19" ht="13.95" hidden="1" customHeight="1" outlineLevel="1">
      <c r="A152" s="5" t="s">
        <v>106</v>
      </c>
      <c r="B152" s="24" t="s">
        <v>107</v>
      </c>
      <c r="C152" s="25"/>
      <c r="D152" s="25"/>
      <c r="E152" s="25">
        <f>'Vstupy cost'!$M$9*1.2</f>
        <v>3787200</v>
      </c>
      <c r="F152" s="25">
        <f>'Vstupy cost'!$N$9*1.2</f>
        <v>5812800</v>
      </c>
      <c r="G152" s="25"/>
      <c r="H152" s="25"/>
      <c r="I152" s="25"/>
      <c r="J152" s="25"/>
      <c r="K152" s="25"/>
      <c r="L152" s="25"/>
      <c r="M152" s="35">
        <f t="shared" si="129"/>
        <v>9600000</v>
      </c>
      <c r="O152" s="38">
        <f>SUM(C152:E152)+0.65*F152</f>
        <v>7565520</v>
      </c>
      <c r="P152" s="25">
        <f>SUM(F152:K152)*0.35</f>
        <v>2034479.9999999998</v>
      </c>
      <c r="Q152" s="25">
        <f>SUM(H152:L152)*0.65</f>
        <v>0</v>
      </c>
      <c r="R152" s="35"/>
      <c r="S152" s="22">
        <f t="shared" ref="S152:S155" si="130">SUM(O152:R152)-M152</f>
        <v>0</v>
      </c>
    </row>
    <row r="153" spans="1:19" ht="13.95" hidden="1" customHeight="1" outlineLevel="1">
      <c r="A153" s="5" t="s">
        <v>108</v>
      </c>
      <c r="B153" s="24" t="s">
        <v>107</v>
      </c>
      <c r="C153" s="25"/>
      <c r="D153" s="25"/>
      <c r="E153" s="25">
        <f>ROUND('Vstupy cost'!$C$188*1.2,-3)</f>
        <v>138000</v>
      </c>
      <c r="F153" s="25">
        <f>ROUND('Vstupy cost'!$C$188*1.2,-3)</f>
        <v>138000</v>
      </c>
      <c r="G153" s="25"/>
      <c r="H153" s="25"/>
      <c r="I153" s="25"/>
      <c r="J153" s="25"/>
      <c r="K153" s="25"/>
      <c r="L153" s="25"/>
      <c r="M153" s="35">
        <f t="shared" si="129"/>
        <v>276000</v>
      </c>
      <c r="O153" s="38">
        <f>SUM(C153:E153)+F153*0.65</f>
        <v>227700</v>
      </c>
      <c r="P153" s="25">
        <f>SUM(F153:K153)*0.35</f>
        <v>48300</v>
      </c>
      <c r="Q153" s="25">
        <f>SUM(H153:L153)*0.65</f>
        <v>0</v>
      </c>
      <c r="R153" s="35"/>
      <c r="S153" s="22">
        <f t="shared" si="130"/>
        <v>0</v>
      </c>
    </row>
    <row r="154" spans="1:19" ht="13.95" hidden="1" customHeight="1" outlineLevel="1">
      <c r="A154" s="5" t="s">
        <v>109</v>
      </c>
      <c r="B154" s="24" t="s">
        <v>98</v>
      </c>
      <c r="C154" s="25"/>
      <c r="D154" s="25"/>
      <c r="E154" s="25"/>
      <c r="F154" s="25"/>
      <c r="G154" s="25"/>
      <c r="H154" s="25"/>
      <c r="I154" s="25"/>
      <c r="J154" s="25">
        <f>$E$152*'Vstupy cost'!$B$48</f>
        <v>113616</v>
      </c>
      <c r="K154" s="25">
        <f>SUM($E$152:$F$152)*'Vstupy cost'!$B$48</f>
        <v>288000</v>
      </c>
      <c r="L154" s="25">
        <f>SUM($E$152:$F$152)*'Vstupy cost'!$B$48</f>
        <v>288000</v>
      </c>
      <c r="M154" s="35">
        <f t="shared" si="129"/>
        <v>689616</v>
      </c>
      <c r="O154" s="38">
        <f t="shared" ref="O154" si="131">SUM(C154:F154)</f>
        <v>0</v>
      </c>
      <c r="P154" s="25"/>
      <c r="Q154" s="25">
        <f>SUM(H154:L154)</f>
        <v>689616</v>
      </c>
      <c r="R154" s="35"/>
      <c r="S154" s="22">
        <f t="shared" si="130"/>
        <v>0</v>
      </c>
    </row>
    <row r="155" spans="1:19" ht="13.95" hidden="1" customHeight="1" outlineLevel="1">
      <c r="A155" s="5" t="s">
        <v>110</v>
      </c>
      <c r="B155" s="24" t="s">
        <v>98</v>
      </c>
      <c r="C155" s="25"/>
      <c r="D155" s="25"/>
      <c r="E155" s="25">
        <f>$E$153*'Vstupy cost'!$B$190</f>
        <v>13800</v>
      </c>
      <c r="F155" s="25">
        <f>SUM($E$153,$F$153)*'Vstupy cost'!$B$190</f>
        <v>27600</v>
      </c>
      <c r="G155" s="25">
        <f>SUM($E$153,$F$153)*'Vstupy cost'!$B$190</f>
        <v>27600</v>
      </c>
      <c r="H155" s="25">
        <f>SUM($E$153,$F$153)*'Vstupy cost'!$B$190</f>
        <v>27600</v>
      </c>
      <c r="I155" s="25">
        <f>SUM($E$153,$F$153)*'Vstupy cost'!$B$190</f>
        <v>27600</v>
      </c>
      <c r="J155" s="25">
        <f>SUM($E$153,$F$153)*'Vstupy cost'!$B$190</f>
        <v>27600</v>
      </c>
      <c r="K155" s="25">
        <f>SUM($E$153,$F$153)*'Vstupy cost'!$B$190</f>
        <v>27600</v>
      </c>
      <c r="L155" s="25">
        <f>SUM($E$153,$F$153)*'Vstupy cost'!$B$190</f>
        <v>27600</v>
      </c>
      <c r="M155" s="35">
        <f t="shared" si="129"/>
        <v>207000</v>
      </c>
      <c r="O155" s="38">
        <f>SUM(C155:G155)</f>
        <v>69000</v>
      </c>
      <c r="P155" s="25"/>
      <c r="Q155" s="25">
        <f>SUM(H155:L155)</f>
        <v>138000</v>
      </c>
      <c r="R155" s="35"/>
      <c r="S155" s="22">
        <f t="shared" si="130"/>
        <v>0</v>
      </c>
    </row>
    <row r="156" spans="1:19" ht="13.95" hidden="1" customHeight="1" outlineLevel="1">
      <c r="A156" s="5" t="s">
        <v>111</v>
      </c>
      <c r="B156" s="24" t="s">
        <v>98</v>
      </c>
      <c r="C156" s="25"/>
      <c r="D156" s="25"/>
      <c r="E156" s="25">
        <f>'Vstupy cost'!$R$9*1.2</f>
        <v>18936</v>
      </c>
      <c r="F156" s="25">
        <f>'Vstupy cost'!$S$9*1.2</f>
        <v>48000</v>
      </c>
      <c r="G156" s="25">
        <f>'Vstupy cost'!$S$9*1.2</f>
        <v>48000</v>
      </c>
      <c r="H156" s="25">
        <f>'Vstupy cost'!$S$9*1.2</f>
        <v>48000</v>
      </c>
      <c r="I156" s="25">
        <f>'Vstupy cost'!$S$9*1.2</f>
        <v>48000</v>
      </c>
      <c r="J156" s="25">
        <f>'Vstupy cost'!$S$9*1.2</f>
        <v>48000</v>
      </c>
      <c r="K156" s="25">
        <f>'Vstupy cost'!$S$9*1.2</f>
        <v>48000</v>
      </c>
      <c r="L156" s="25">
        <f>'Vstupy cost'!$S$9*1.2</f>
        <v>48000</v>
      </c>
      <c r="M156" s="35">
        <f t="shared" si="129"/>
        <v>354936</v>
      </c>
      <c r="O156" s="38">
        <f>SUM(E156:G156)</f>
        <v>114936</v>
      </c>
      <c r="P156" s="25"/>
      <c r="Q156" s="25">
        <f>SUM(H156:L156)</f>
        <v>240000</v>
      </c>
      <c r="R156" s="35"/>
      <c r="S156" s="22"/>
    </row>
    <row r="157" spans="1:19" ht="13.95" hidden="1" customHeight="1" outlineLevel="1">
      <c r="A157" s="33" t="s">
        <v>112</v>
      </c>
      <c r="B157" s="32"/>
      <c r="C157" s="36">
        <f>SUM(C158:C167)</f>
        <v>0</v>
      </c>
      <c r="D157" s="36">
        <f t="shared" ref="D157:L157" si="132">SUM(D158:D167)</f>
        <v>0</v>
      </c>
      <c r="E157" s="36">
        <f>SUM(E158:E167)</f>
        <v>8310076.7039999999</v>
      </c>
      <c r="F157" s="36">
        <f>SUM(F158:F167)</f>
        <v>8781312.3842199985</v>
      </c>
      <c r="G157" s="36">
        <f t="shared" si="132"/>
        <v>4005774.00624672</v>
      </c>
      <c r="H157" s="36">
        <f t="shared" si="132"/>
        <v>4005774.00624672</v>
      </c>
      <c r="I157" s="36">
        <f t="shared" si="132"/>
        <v>4005774.00624672</v>
      </c>
      <c r="J157" s="36">
        <f t="shared" si="132"/>
        <v>4005774.00624672</v>
      </c>
      <c r="K157" s="36">
        <f t="shared" si="132"/>
        <v>4005774.00624672</v>
      </c>
      <c r="L157" s="36">
        <f t="shared" si="132"/>
        <v>4005774.00624672</v>
      </c>
      <c r="M157" s="37">
        <f t="shared" si="129"/>
        <v>41126033.125700325</v>
      </c>
      <c r="O157" s="38"/>
      <c r="P157" s="25"/>
      <c r="Q157" s="25"/>
      <c r="R157" s="35"/>
      <c r="S157" s="22"/>
    </row>
    <row r="158" spans="1:19" s="10" customFormat="1" ht="13.95" hidden="1" customHeight="1" outlineLevel="1">
      <c r="A158" s="5" t="s">
        <v>113</v>
      </c>
      <c r="B158" s="24" t="s">
        <v>107</v>
      </c>
      <c r="C158" s="25"/>
      <c r="D158" s="25"/>
      <c r="E158" s="25">
        <f>'Vstupy cost'!O9*1.2</f>
        <v>600000</v>
      </c>
      <c r="G158" s="25"/>
      <c r="H158" s="25"/>
      <c r="I158" s="25"/>
      <c r="J158" s="25"/>
      <c r="K158" s="25"/>
      <c r="L158" s="25"/>
      <c r="M158" s="35">
        <f t="shared" si="129"/>
        <v>600000</v>
      </c>
      <c r="O158" s="38">
        <f>E158</f>
        <v>600000</v>
      </c>
      <c r="P158" s="25"/>
      <c r="Q158" s="25"/>
      <c r="R158" s="35"/>
      <c r="S158" s="22">
        <f t="shared" ref="S158:S159" si="133">SUM(O158:R158)-M158</f>
        <v>0</v>
      </c>
    </row>
    <row r="159" spans="1:19" s="10" customFormat="1" ht="13.95" hidden="1" customHeight="1" outlineLevel="1">
      <c r="A159" s="5" t="s">
        <v>114</v>
      </c>
      <c r="B159" s="24" t="s">
        <v>98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35">
        <f t="shared" ref="M159" si="134">SUM(C159:L159)</f>
        <v>0</v>
      </c>
      <c r="O159" s="38">
        <f>SUM(F159:G159)*0.65</f>
        <v>0</v>
      </c>
      <c r="P159" s="25">
        <f>SUM(F159:J159)*0.35</f>
        <v>0</v>
      </c>
      <c r="Q159" s="25">
        <f>SUM(H159:J159)*0.65+SUM(K159:L159)</f>
        <v>0</v>
      </c>
      <c r="R159" s="35"/>
      <c r="S159" s="22">
        <f t="shared" si="133"/>
        <v>0</v>
      </c>
    </row>
    <row r="160" spans="1:19" ht="13.95" hidden="1" customHeight="1" outlineLevel="1">
      <c r="A160" s="5" t="s">
        <v>115</v>
      </c>
      <c r="B160" s="24" t="s">
        <v>107</v>
      </c>
      <c r="C160" s="25"/>
      <c r="D160" s="25"/>
      <c r="E160" s="25">
        <f>SUM('Vstupy cost'!$B$61,'Vstupy cost'!$B$57,'Vstupy cost'!$B$58/2)*1.2</f>
        <v>6600000</v>
      </c>
      <c r="F160" s="25">
        <f>SUM('Vstupy cost'!$B$58/2,'Vstupy cost'!$B$60)*1.2</f>
        <v>5520000</v>
      </c>
      <c r="G160" s="25"/>
      <c r="H160" s="25"/>
      <c r="I160" s="25"/>
      <c r="J160" s="25"/>
      <c r="K160" s="25"/>
      <c r="L160" s="25"/>
      <c r="M160" s="35">
        <f t="shared" si="129"/>
        <v>12120000</v>
      </c>
      <c r="O160" s="38">
        <f>SUM(C160:F160)</f>
        <v>12120000</v>
      </c>
      <c r="P160" s="25">
        <f>SUM(H160:K160)*0.35</f>
        <v>0</v>
      </c>
      <c r="Q160" s="25">
        <f>SUM(H160:K160)*0.65+L160</f>
        <v>0</v>
      </c>
      <c r="R160" s="35"/>
      <c r="S160" s="22">
        <f t="shared" ref="S160" si="135">SUM(O160:R160)-M160</f>
        <v>0</v>
      </c>
    </row>
    <row r="161" spans="1:19" ht="13.95" hidden="1" customHeight="1" outlineLevel="1">
      <c r="A161" s="5" t="s">
        <v>116</v>
      </c>
      <c r="B161" s="24" t="s">
        <v>107</v>
      </c>
      <c r="C161" s="80"/>
      <c r="D161" s="25"/>
      <c r="E161" s="25"/>
      <c r="F161" s="25"/>
      <c r="G161" s="25"/>
      <c r="H161" s="25"/>
      <c r="I161" s="25"/>
      <c r="J161" s="25"/>
      <c r="K161" s="25"/>
      <c r="L161" s="25"/>
      <c r="M161" s="35">
        <f t="shared" si="129"/>
        <v>0</v>
      </c>
      <c r="O161" s="38">
        <f t="shared" ref="O161:O162" si="136">SUM(C161:F161)</f>
        <v>0</v>
      </c>
      <c r="P161" s="25"/>
      <c r="Q161" s="25"/>
      <c r="R161" s="35"/>
      <c r="S161" s="22">
        <f t="shared" ref="S161:S162" si="137">SUM(O161:R161)-M161</f>
        <v>0</v>
      </c>
    </row>
    <row r="162" spans="1:19" ht="13.95" hidden="1" customHeight="1" outlineLevel="1">
      <c r="A162" s="5" t="s">
        <v>117</v>
      </c>
      <c r="B162" s="24" t="s">
        <v>107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35">
        <f t="shared" si="129"/>
        <v>0</v>
      </c>
      <c r="O162" s="38">
        <f t="shared" si="136"/>
        <v>0</v>
      </c>
      <c r="P162" s="25"/>
      <c r="Q162" s="25"/>
      <c r="R162" s="35"/>
      <c r="S162" s="22">
        <f t="shared" si="137"/>
        <v>0</v>
      </c>
    </row>
    <row r="163" spans="1:19" ht="13.95" hidden="1" customHeight="1" outlineLevel="1">
      <c r="A163" s="5" t="s">
        <v>118</v>
      </c>
      <c r="B163" s="24" t="s">
        <v>107</v>
      </c>
      <c r="C163" s="80"/>
      <c r="D163" s="25"/>
      <c r="E163" s="25">
        <f>'Vstupy cost'!$K$8*1.2</f>
        <v>0</v>
      </c>
      <c r="F163" s="25">
        <f>'Vstupy cost'!$L$8*1.2</f>
        <v>0</v>
      </c>
      <c r="G163" s="25"/>
      <c r="H163" s="25"/>
      <c r="I163" s="25"/>
      <c r="J163" s="25"/>
      <c r="K163" s="25"/>
      <c r="L163" s="25"/>
      <c r="M163" s="35">
        <f t="shared" si="129"/>
        <v>0</v>
      </c>
      <c r="O163" s="38">
        <f>SUM(C163:E163)+F163*0.65</f>
        <v>0</v>
      </c>
      <c r="P163" s="25">
        <f>SUM(F163:L163)*0.35</f>
        <v>0</v>
      </c>
      <c r="Q163" s="25">
        <f>SUM(H163:L163)*0.65</f>
        <v>0</v>
      </c>
      <c r="R163" s="35"/>
      <c r="S163" s="22">
        <f t="shared" ref="S163:S167" si="138">SUM(O163:R163)-M163</f>
        <v>0</v>
      </c>
    </row>
    <row r="164" spans="1:19" ht="13.95" hidden="1" customHeight="1" outlineLevel="1">
      <c r="A164" s="5" t="s">
        <v>119</v>
      </c>
      <c r="B164" s="24" t="s">
        <v>98</v>
      </c>
      <c r="C164" s="25"/>
      <c r="D164" s="25"/>
      <c r="E164" s="25">
        <f>'Vstupy cost'!$E$9*'Vstupy cost'!$B$19*1.2*24*365</f>
        <v>732076.70399999991</v>
      </c>
      <c r="F164" s="25">
        <f>SUM('Vstupy cost'!$E$9*'Vstupy cost'!$B$19*1.2*24*365,'Vstupy cost'!$F$9*'Vstupy cost'!$B$19*1.2*24*365/3)</f>
        <v>2004028.7039999999</v>
      </c>
      <c r="G164" s="25">
        <f>'Vstupy cost'!$F$9*'Vstupy cost'!$B$19*1.2*24*365</f>
        <v>3815856</v>
      </c>
      <c r="H164" s="25">
        <f>'Vstupy cost'!$F$9*'Vstupy cost'!$B$19*1.2*24*365</f>
        <v>3815856</v>
      </c>
      <c r="I164" s="25">
        <f>'Vstupy cost'!$F$9*'Vstupy cost'!$B$19*1.2*24*365</f>
        <v>3815856</v>
      </c>
      <c r="J164" s="25">
        <f>'Vstupy cost'!$F$9*'Vstupy cost'!$B$19*1.2*24*365</f>
        <v>3815856</v>
      </c>
      <c r="K164" s="25">
        <f>'Vstupy cost'!$F$9*'Vstupy cost'!$B$19*1.2*24*365</f>
        <v>3815856</v>
      </c>
      <c r="L164" s="25">
        <f>'Vstupy cost'!$F$9*'Vstupy cost'!$B$19*1.2*24*365</f>
        <v>3815856</v>
      </c>
      <c r="M164" s="35">
        <f t="shared" si="129"/>
        <v>25631241.408</v>
      </c>
      <c r="O164" s="38">
        <f>SUM(C164:F164)</f>
        <v>2736105.4079999998</v>
      </c>
      <c r="P164" s="25">
        <f>SUM(G164:K164)*0.35</f>
        <v>6677748</v>
      </c>
      <c r="Q164" s="25">
        <f>SUM(G164:K164)*0.65+L164</f>
        <v>16217388</v>
      </c>
      <c r="R164" s="35"/>
      <c r="S164" s="22">
        <f t="shared" si="138"/>
        <v>0</v>
      </c>
    </row>
    <row r="165" spans="1:19" ht="13.95" hidden="1" customHeight="1" outlineLevel="1">
      <c r="A165" s="5" t="s">
        <v>120</v>
      </c>
      <c r="B165" s="24" t="s">
        <v>107</v>
      </c>
      <c r="C165" s="25"/>
      <c r="D165" s="25"/>
      <c r="F165" s="25">
        <f>'Vstupy cost'!$I$9*1.2</f>
        <v>879283.68021999893</v>
      </c>
      <c r="G165" s="25"/>
      <c r="H165" s="25"/>
      <c r="I165" s="25"/>
      <c r="J165" s="25"/>
      <c r="K165" s="25"/>
      <c r="L165" s="25"/>
      <c r="M165" s="35">
        <f t="shared" si="129"/>
        <v>879283.68021999893</v>
      </c>
      <c r="O165" s="38">
        <f>SUM(C165:G165)</f>
        <v>879283.68021999893</v>
      </c>
      <c r="P165" s="25">
        <f>SUM(H165:L165)*0.35</f>
        <v>0</v>
      </c>
      <c r="Q165" s="25">
        <f>SUM(H165:L165)*0.65</f>
        <v>0</v>
      </c>
      <c r="R165" s="35"/>
      <c r="S165" s="22">
        <f t="shared" si="138"/>
        <v>0</v>
      </c>
    </row>
    <row r="166" spans="1:19" s="10" customFormat="1" ht="13.95" hidden="1" customHeight="1" outlineLevel="1">
      <c r="A166" s="5" t="s">
        <v>121</v>
      </c>
      <c r="B166" s="24" t="s">
        <v>98</v>
      </c>
      <c r="C166" s="41"/>
      <c r="D166" s="41"/>
      <c r="E166" s="41"/>
      <c r="F166" s="41"/>
      <c r="G166" s="41">
        <f>IF($F$165=0,0,-'Vstupy cost'!$H$9*'Vstupy cost'!$B$19*1.2*12)</f>
        <v>-188081.99375327997</v>
      </c>
      <c r="H166" s="41">
        <f>IF($F$165=0,0,-'Vstupy cost'!$H$9*'Vstupy cost'!$B$19*1.2*12)</f>
        <v>-188081.99375327997</v>
      </c>
      <c r="I166" s="41">
        <f>IF($F$165=0,0,-'Vstupy cost'!$H$9*'Vstupy cost'!$B$19*1.2*12)</f>
        <v>-188081.99375327997</v>
      </c>
      <c r="J166" s="41">
        <f>IF($F$165=0,0,-'Vstupy cost'!$H$9*'Vstupy cost'!$B$19*1.2*12)</f>
        <v>-188081.99375327997</v>
      </c>
      <c r="K166" s="41">
        <f>IF($F$165=0,0,-'Vstupy cost'!$H$9*'Vstupy cost'!$B$19*1.2*12)</f>
        <v>-188081.99375327997</v>
      </c>
      <c r="L166" s="41">
        <f>IF($F$165=0,0,-'Vstupy cost'!$H$9*'Vstupy cost'!$B$19*1.2*12)</f>
        <v>-188081.99375327997</v>
      </c>
      <c r="M166" s="42">
        <f t="shared" si="129"/>
        <v>-1128491.9625196799</v>
      </c>
      <c r="O166" s="38">
        <f>SUM(C166:F166)</f>
        <v>0</v>
      </c>
      <c r="P166" s="25"/>
      <c r="Q166" s="25">
        <f>SUM(G166:L166)</f>
        <v>-1128491.9625196799</v>
      </c>
      <c r="R166" s="35"/>
      <c r="S166" s="22">
        <f t="shared" si="138"/>
        <v>0</v>
      </c>
    </row>
    <row r="167" spans="1:19" ht="13.95" hidden="1" customHeight="1" outlineLevel="1">
      <c r="A167" s="5" t="s">
        <v>122</v>
      </c>
      <c r="B167" s="24" t="s">
        <v>98</v>
      </c>
      <c r="C167" s="25"/>
      <c r="D167" s="25"/>
      <c r="E167" s="25">
        <f>'Vstupy cost'!$J$9*1.2</f>
        <v>378000</v>
      </c>
      <c r="F167" s="25">
        <f>'Vstupy cost'!$J$9*1.2</f>
        <v>378000</v>
      </c>
      <c r="G167" s="25">
        <f>'Vstupy cost'!$J$9*1.2</f>
        <v>378000</v>
      </c>
      <c r="H167" s="25">
        <f>'Vstupy cost'!$J$9*1.2</f>
        <v>378000</v>
      </c>
      <c r="I167" s="25">
        <f>'Vstupy cost'!$J$9*1.2</f>
        <v>378000</v>
      </c>
      <c r="J167" s="25">
        <f>'Vstupy cost'!$J$9*1.2</f>
        <v>378000</v>
      </c>
      <c r="K167" s="25">
        <f>'Vstupy cost'!$J$9*1.2</f>
        <v>378000</v>
      </c>
      <c r="L167" s="25">
        <f>'Vstupy cost'!$J$9*1.2</f>
        <v>378000</v>
      </c>
      <c r="M167" s="35">
        <f t="shared" si="129"/>
        <v>3024000</v>
      </c>
      <c r="O167" s="38">
        <f>SUM(C167:F167)</f>
        <v>756000</v>
      </c>
      <c r="P167" s="25">
        <f>SUM(G167:K167)*0.35</f>
        <v>661500</v>
      </c>
      <c r="Q167" s="25">
        <f>SUM(G167:K167)*0.65+L167</f>
        <v>1606500</v>
      </c>
      <c r="R167" s="35"/>
      <c r="S167" s="22">
        <f t="shared" si="138"/>
        <v>0</v>
      </c>
    </row>
    <row r="168" spans="1:19" ht="13.95" hidden="1" customHeight="1" outlineLevel="1">
      <c r="A168" s="33" t="s">
        <v>99</v>
      </c>
      <c r="B168" s="32"/>
      <c r="C168" s="36">
        <f>SUM(C169:C172)</f>
        <v>267351.60000000003</v>
      </c>
      <c r="D168" s="36">
        <f t="shared" ref="D168:L168" si="139">SUM(D169:D172)</f>
        <v>1298030.8320000004</v>
      </c>
      <c r="E168" s="36">
        <f t="shared" si="139"/>
        <v>1172380.9089600001</v>
      </c>
      <c r="F168" s="36">
        <f t="shared" si="139"/>
        <v>1204096.3362288002</v>
      </c>
      <c r="G168" s="36">
        <f t="shared" si="139"/>
        <v>1236763.2263156641</v>
      </c>
      <c r="H168" s="36">
        <f t="shared" si="139"/>
        <v>1270410.1231051341</v>
      </c>
      <c r="I168" s="36">
        <f t="shared" si="139"/>
        <v>1305066.4267982882</v>
      </c>
      <c r="J168" s="36">
        <f t="shared" si="139"/>
        <v>1340762.4196022367</v>
      </c>
      <c r="K168" s="36">
        <f t="shared" si="139"/>
        <v>1377529.292190304</v>
      </c>
      <c r="L168" s="36">
        <f t="shared" si="139"/>
        <v>1415399.1709560133</v>
      </c>
      <c r="M168" s="37">
        <f t="shared" si="129"/>
        <v>11887790.336156443</v>
      </c>
      <c r="O168" s="38"/>
      <c r="P168" s="25"/>
      <c r="Q168" s="25"/>
      <c r="R168" s="35"/>
      <c r="S168" s="22"/>
    </row>
    <row r="169" spans="1:19" ht="13.95" hidden="1" customHeight="1" outlineLevel="1">
      <c r="A169" s="5" t="s">
        <v>100</v>
      </c>
      <c r="B169" s="24" t="s">
        <v>98</v>
      </c>
      <c r="C169" s="25"/>
      <c r="D169" s="25">
        <f>'Vstupy cost'!$B$97*'Vstupy cost'!$B$98*1.2*12</f>
        <v>115200</v>
      </c>
      <c r="E169" s="25">
        <f>'Vstupy cost'!$B$97*'Vstupy cost'!$B$98*1.2*12</f>
        <v>115200</v>
      </c>
      <c r="F169" s="25">
        <f>'Vstupy cost'!$B$97*'Vstupy cost'!$B$98*1.2*12</f>
        <v>115200</v>
      </c>
      <c r="G169" s="25">
        <f>'Vstupy cost'!$B$97*'Vstupy cost'!$B$98*1.2*12</f>
        <v>115200</v>
      </c>
      <c r="H169" s="25">
        <f>'Vstupy cost'!$B$97*'Vstupy cost'!$B$98*1.2*12</f>
        <v>115200</v>
      </c>
      <c r="I169" s="25">
        <f>'Vstupy cost'!$B$97*'Vstupy cost'!$B$98*1.2*12</f>
        <v>115200</v>
      </c>
      <c r="J169" s="25">
        <f>'Vstupy cost'!$B$97*'Vstupy cost'!$B$98*1.2*12</f>
        <v>115200</v>
      </c>
      <c r="K169" s="25">
        <f>'Vstupy cost'!$B$97*'Vstupy cost'!$B$98*1.2*12</f>
        <v>115200</v>
      </c>
      <c r="L169" s="25">
        <f>'Vstupy cost'!$B$97*'Vstupy cost'!$B$98*1.2*12</f>
        <v>115200</v>
      </c>
      <c r="M169" s="35">
        <f t="shared" si="129"/>
        <v>1036800</v>
      </c>
      <c r="O169" s="38">
        <f>SUM(C169:F169)+G169*0.5</f>
        <v>403200</v>
      </c>
      <c r="P169" s="25"/>
      <c r="Q169" s="25">
        <f>SUM(H169:L169)+G169*0.5</f>
        <v>633600</v>
      </c>
      <c r="R169" s="35"/>
      <c r="S169" s="22">
        <f t="shared" ref="S169" si="140">SUM(O169:R169)-M169</f>
        <v>0</v>
      </c>
    </row>
    <row r="170" spans="1:19" ht="13.95" hidden="1" customHeight="1" outlineLevel="1">
      <c r="A170" s="5" t="s">
        <v>101</v>
      </c>
      <c r="B170" s="24" t="s">
        <v>98</v>
      </c>
      <c r="C170" s="25">
        <f>'Vstupy cost'!B88*'Vstupy cost'!B85*12*1.398</f>
        <v>110721.60000000002</v>
      </c>
      <c r="D170" s="25">
        <f>PRODUCT('Vstupy cost'!C88,'Vstupy cost'!C85,12,1.398)</f>
        <v>456172.99200000003</v>
      </c>
      <c r="E170" s="25">
        <f>PRODUCT('Vstupy cost'!D88,'Vstupy cost'!D85,12,1.398)</f>
        <v>469858.18176000006</v>
      </c>
      <c r="F170" s="25">
        <f>PRODUCT('Vstupy cost'!E88,'Vstupy cost'!E85,12,1.398)</f>
        <v>483953.92721280007</v>
      </c>
      <c r="G170" s="25">
        <f>PRODUCT('Vstupy cost'!F88,'Vstupy cost'!F85,12,1.398)</f>
        <v>498472.54502918414</v>
      </c>
      <c r="H170" s="25">
        <f>PRODUCT('Vstupy cost'!G88,'Vstupy cost'!G85,12,1.398)</f>
        <v>513426.72138005961</v>
      </c>
      <c r="I170" s="25">
        <f>PRODUCT('Vstupy cost'!H88,'Vstupy cost'!H85,12,1.398)</f>
        <v>528829.52302146144</v>
      </c>
      <c r="J170" s="25">
        <f>PRODUCT('Vstupy cost'!I88,'Vstupy cost'!I85,12,1.398)</f>
        <v>544694.40871210524</v>
      </c>
      <c r="K170" s="25">
        <f>PRODUCT('Vstupy cost'!J88,'Vstupy cost'!J85,12,1.398)</f>
        <v>561035.24097346852</v>
      </c>
      <c r="L170" s="25">
        <f>PRODUCT('Vstupy cost'!K88,'Vstupy cost'!K85,12,1.398)</f>
        <v>577866.29820267251</v>
      </c>
      <c r="M170" s="35">
        <f t="shared" si="129"/>
        <v>4745031.4382917508</v>
      </c>
      <c r="O170" s="38">
        <f>SUM(C170:F170)</f>
        <v>1520706.7009728001</v>
      </c>
      <c r="P170" s="25">
        <f t="shared" ref="P170:P171" si="141">SUM(G170:K170)*0.35</f>
        <v>926260.45369069744</v>
      </c>
      <c r="Q170" s="25">
        <f t="shared" ref="Q170:Q171" si="142">SUM(G170:K170)*0.65+L170</f>
        <v>2298064.2836282537</v>
      </c>
      <c r="R170" s="35"/>
      <c r="S170" s="22">
        <f>SUM(O170:R170)-M170</f>
        <v>0</v>
      </c>
    </row>
    <row r="171" spans="1:19" ht="13.95" hidden="1" customHeight="1" outlineLevel="1">
      <c r="A171" s="5" t="s">
        <v>102</v>
      </c>
      <c r="B171" s="24" t="s">
        <v>98</v>
      </c>
      <c r="C171" s="25">
        <f>'Vstupy cost'!B89*'Vstupy cost'!B85*12*1.398</f>
        <v>0</v>
      </c>
      <c r="D171" s="25">
        <f>PRODUCT('Vstupy cost'!C89,'Vstupy cost'!C85,12,1.398)</f>
        <v>570216.24000000011</v>
      </c>
      <c r="E171" s="25">
        <f>PRODUCT('Vstupy cost'!D89,'Vstupy cost'!D85,12,1.398)</f>
        <v>587322.72719999996</v>
      </c>
      <c r="F171" s="25">
        <f>PRODUCT('Vstupy cost'!E89,'Vstupy cost'!E85,12,1.398)</f>
        <v>604942.40901600011</v>
      </c>
      <c r="G171" s="25">
        <f>PRODUCT('Vstupy cost'!F89,'Vstupy cost'!F85,12,1.398)</f>
        <v>623090.68128648004</v>
      </c>
      <c r="H171" s="25">
        <f>PRODUCT('Vstupy cost'!G89,'Vstupy cost'!G85,12,1.398)</f>
        <v>641783.40172507451</v>
      </c>
      <c r="I171" s="25">
        <f>PRODUCT('Vstupy cost'!H89,'Vstupy cost'!H85,12,1.398)</f>
        <v>661036.9037768268</v>
      </c>
      <c r="J171" s="25">
        <f>PRODUCT('Vstupy cost'!I89,'Vstupy cost'!I85,12,1.398)</f>
        <v>680868.01089013158</v>
      </c>
      <c r="K171" s="25">
        <f>PRODUCT('Vstupy cost'!J89,'Vstupy cost'!J85,12,1.398)</f>
        <v>701294.05121683551</v>
      </c>
      <c r="L171" s="25">
        <f>PRODUCT('Vstupy cost'!K89,'Vstupy cost'!K85,12,1.398)</f>
        <v>722332.87275334063</v>
      </c>
      <c r="M171" s="35">
        <f t="shared" si="129"/>
        <v>5792887.2978646886</v>
      </c>
      <c r="O171" s="38">
        <f>SUM(C171:F171)-1000000</f>
        <v>762481.37621600018</v>
      </c>
      <c r="P171" s="25">
        <f t="shared" si="141"/>
        <v>1157825.5671133718</v>
      </c>
      <c r="Q171" s="25">
        <f t="shared" si="142"/>
        <v>2872580.354535317</v>
      </c>
      <c r="R171" s="35">
        <v>1000000</v>
      </c>
      <c r="S171" s="22">
        <f t="shared" ref="S171:S172" si="143">SUM(O171:R171)-M171</f>
        <v>0</v>
      </c>
    </row>
    <row r="172" spans="1:19" ht="13.95" hidden="1" customHeight="1" outlineLevel="1">
      <c r="A172" s="5" t="s">
        <v>103</v>
      </c>
      <c r="B172" s="24" t="s">
        <v>98</v>
      </c>
      <c r="C172" s="25">
        <f>'Vstupy cost'!$B$117*1.2+'Vstupy cost'!$B$119*1.39</f>
        <v>156630</v>
      </c>
      <c r="D172" s="25">
        <f>'Vstupy cost'!$B$118*1.2</f>
        <v>156441.60000000001</v>
      </c>
      <c r="E172" s="25"/>
      <c r="F172" s="25"/>
      <c r="G172" s="25"/>
      <c r="H172" s="25"/>
      <c r="I172" s="25"/>
      <c r="J172" s="25"/>
      <c r="K172" s="25"/>
      <c r="L172" s="25"/>
      <c r="M172" s="35">
        <f t="shared" si="129"/>
        <v>313071.59999999998</v>
      </c>
      <c r="O172" s="38">
        <f t="shared" ref="O172" si="144">SUM(C172:G172)</f>
        <v>313071.59999999998</v>
      </c>
      <c r="P172" s="25"/>
      <c r="Q172" s="25">
        <f t="shared" ref="Q172" si="145">SUM(H172:L172)</f>
        <v>0</v>
      </c>
      <c r="R172" s="35"/>
      <c r="S172" s="22">
        <f t="shared" si="143"/>
        <v>0</v>
      </c>
    </row>
    <row r="173" spans="1:19" ht="13.95" hidden="1" customHeight="1" outlineLevel="1">
      <c r="A173" s="33" t="s">
        <v>80</v>
      </c>
      <c r="B173" s="32"/>
      <c r="C173" s="36">
        <f t="shared" ref="C173:L173" si="146">SUM(C174:C174)</f>
        <v>0</v>
      </c>
      <c r="D173" s="36">
        <f t="shared" si="146"/>
        <v>253000</v>
      </c>
      <c r="E173" s="36">
        <f t="shared" si="146"/>
        <v>455000</v>
      </c>
      <c r="F173" s="36">
        <f t="shared" si="146"/>
        <v>750000</v>
      </c>
      <c r="G173" s="36">
        <f t="shared" si="146"/>
        <v>990000</v>
      </c>
      <c r="H173" s="36">
        <f t="shared" si="146"/>
        <v>990000</v>
      </c>
      <c r="I173" s="36">
        <f t="shared" si="146"/>
        <v>990000</v>
      </c>
      <c r="J173" s="36">
        <f t="shared" si="146"/>
        <v>990000</v>
      </c>
      <c r="K173" s="36">
        <f t="shared" si="146"/>
        <v>990000</v>
      </c>
      <c r="L173" s="36">
        <f t="shared" si="146"/>
        <v>990000</v>
      </c>
      <c r="M173" s="37">
        <f t="shared" si="129"/>
        <v>7398000</v>
      </c>
      <c r="O173" s="38"/>
      <c r="P173" s="25"/>
      <c r="Q173" s="25"/>
      <c r="R173" s="35"/>
      <c r="S173" s="22"/>
    </row>
    <row r="174" spans="1:19" ht="13.95" hidden="1" customHeight="1" outlineLevel="1" thickBot="1">
      <c r="A174" s="9" t="s">
        <v>104</v>
      </c>
      <c r="B174" s="39"/>
      <c r="C174" s="39">
        <f>'Vstupy cost'!$B$113</f>
        <v>0</v>
      </c>
      <c r="D174" s="39">
        <f>'Vstupy cost'!$C$113</f>
        <v>253000</v>
      </c>
      <c r="E174" s="39">
        <f>'Vstupy cost'!$D$113</f>
        <v>455000</v>
      </c>
      <c r="F174" s="39">
        <f>'Vstupy cost'!$E$113</f>
        <v>750000</v>
      </c>
      <c r="G174" s="39">
        <f>'Vstupy cost'!$F$113</f>
        <v>990000</v>
      </c>
      <c r="H174" s="39">
        <f>'Vstupy cost'!$G$113</f>
        <v>990000</v>
      </c>
      <c r="I174" s="39">
        <f>'Vstupy cost'!$H$113</f>
        <v>990000</v>
      </c>
      <c r="J174" s="39">
        <f>'Vstupy cost'!$I$113</f>
        <v>990000</v>
      </c>
      <c r="K174" s="39">
        <f>'Vstupy cost'!$J$113</f>
        <v>990000</v>
      </c>
      <c r="L174" s="39">
        <f>'Vstupy cost'!$K$113</f>
        <v>990000</v>
      </c>
      <c r="M174" s="40">
        <f t="shared" ref="M174" si="147">SUM(C174:L174)</f>
        <v>7398000</v>
      </c>
      <c r="O174" s="188">
        <f>SUM(C174:F174)</f>
        <v>1458000</v>
      </c>
      <c r="P174" s="39"/>
      <c r="Q174" s="39">
        <v>3000000</v>
      </c>
      <c r="R174" s="40">
        <f>SUM(G174:L174)-Q174</f>
        <v>2940000</v>
      </c>
      <c r="S174" s="22">
        <f t="shared" ref="S174" si="148">SUM(O174:R174)-M174</f>
        <v>0</v>
      </c>
    </row>
    <row r="175" spans="1:19" ht="13.95" hidden="1" customHeight="1" outlineLevel="1" thickBot="1">
      <c r="O175" s="9"/>
      <c r="P175" s="39"/>
      <c r="Q175" s="39"/>
      <c r="R175" s="40">
        <f>SUM(C175:L175)</f>
        <v>0</v>
      </c>
      <c r="S175" s="22"/>
    </row>
    <row r="176" spans="1:19" s="10" customFormat="1" ht="13.95" hidden="1" customHeight="1" collapsed="1">
      <c r="A176" s="1" t="s">
        <v>21</v>
      </c>
      <c r="B176" s="2"/>
      <c r="C176" s="125">
        <f>SUM(C178,C184,C195,C200)</f>
        <v>378073.20000000007</v>
      </c>
      <c r="D176" s="125">
        <f t="shared" ref="D176:L176" si="149">SUM(D178,D184,D195,D200)</f>
        <v>1950182.2000000002</v>
      </c>
      <c r="E176" s="125">
        <f t="shared" si="149"/>
        <v>26364379.164800003</v>
      </c>
      <c r="F176" s="125">
        <f t="shared" si="149"/>
        <v>88495999.199331999</v>
      </c>
      <c r="G176" s="125">
        <f t="shared" si="149"/>
        <v>17123709.315895323</v>
      </c>
      <c r="H176" s="125">
        <f t="shared" si="149"/>
        <v>17263904.719184779</v>
      </c>
      <c r="I176" s="125">
        <f t="shared" si="149"/>
        <v>17408305.984572921</v>
      </c>
      <c r="J176" s="125">
        <f t="shared" si="149"/>
        <v>17749279.287922706</v>
      </c>
      <c r="K176" s="125">
        <f t="shared" si="149"/>
        <v>19582234.590372987</v>
      </c>
      <c r="L176" s="125">
        <f t="shared" si="149"/>
        <v>19740025.751896776</v>
      </c>
      <c r="M176" s="126">
        <f>SUM(C176:L176)</f>
        <v>226056093.41397747</v>
      </c>
      <c r="O176" s="128">
        <f>SUM(O178:O201)</f>
        <v>94210333.764131978</v>
      </c>
      <c r="P176" s="129">
        <f>SUM(P178:P201)</f>
        <v>50648361.353350297</v>
      </c>
      <c r="Q176" s="129">
        <f>SUM(Q178:Q201)</f>
        <v>77257398.296495199</v>
      </c>
      <c r="R176" s="130">
        <f>SUM(R178:R201)</f>
        <v>3940000</v>
      </c>
      <c r="S176" s="22">
        <f t="shared" ref="S176" si="150">SUM(O176:R176)-M176</f>
        <v>0</v>
      </c>
    </row>
    <row r="177" spans="1:19" s="10" customFormat="1" ht="13.95" hidden="1" customHeight="1" outlineLevel="1">
      <c r="A177" s="6"/>
      <c r="B177" s="4" t="s">
        <v>83</v>
      </c>
      <c r="C177" s="4" t="s">
        <v>84</v>
      </c>
      <c r="D177" s="4" t="s">
        <v>85</v>
      </c>
      <c r="E177" s="4" t="s">
        <v>86</v>
      </c>
      <c r="F177" s="4" t="s">
        <v>87</v>
      </c>
      <c r="G177" s="4" t="s">
        <v>88</v>
      </c>
      <c r="H177" s="4" t="s">
        <v>89</v>
      </c>
      <c r="I177" s="4" t="s">
        <v>90</v>
      </c>
      <c r="J177" s="4" t="s">
        <v>91</v>
      </c>
      <c r="K177" s="4" t="s">
        <v>92</v>
      </c>
      <c r="L177" s="4" t="s">
        <v>93</v>
      </c>
      <c r="M177" s="34" t="s">
        <v>11</v>
      </c>
      <c r="O177" s="27" t="s">
        <v>94</v>
      </c>
      <c r="P177" s="4" t="s">
        <v>95</v>
      </c>
      <c r="Q177" s="4" t="s">
        <v>96</v>
      </c>
      <c r="R177" s="28" t="s">
        <v>97</v>
      </c>
    </row>
    <row r="178" spans="1:19" ht="13.95" hidden="1" customHeight="1" outlineLevel="1">
      <c r="A178" s="33" t="s">
        <v>105</v>
      </c>
      <c r="B178" s="32"/>
      <c r="C178" s="36">
        <f>SUM(C179:C183)</f>
        <v>0</v>
      </c>
      <c r="D178" s="36">
        <f t="shared" ref="D178:L178" si="151">SUM(D179:D183)</f>
        <v>0</v>
      </c>
      <c r="E178" s="36">
        <f t="shared" si="151"/>
        <v>6591840</v>
      </c>
      <c r="F178" s="36">
        <f t="shared" si="151"/>
        <v>56469600</v>
      </c>
      <c r="G178" s="36">
        <f t="shared" si="151"/>
        <v>339600</v>
      </c>
      <c r="H178" s="36">
        <f t="shared" si="151"/>
        <v>339600</v>
      </c>
      <c r="I178" s="36">
        <f t="shared" si="151"/>
        <v>339600</v>
      </c>
      <c r="J178" s="36">
        <f t="shared" si="151"/>
        <v>531840</v>
      </c>
      <c r="K178" s="36">
        <f t="shared" si="151"/>
        <v>2211600</v>
      </c>
      <c r="L178" s="36">
        <f t="shared" si="151"/>
        <v>2211600</v>
      </c>
      <c r="M178" s="37">
        <f t="shared" ref="M178:M200" si="152">SUM(C178:L178)</f>
        <v>69035280</v>
      </c>
      <c r="O178" s="38"/>
      <c r="P178" s="25"/>
      <c r="Q178" s="25"/>
      <c r="R178" s="149"/>
      <c r="S178" s="22"/>
    </row>
    <row r="179" spans="1:19" ht="13.95" hidden="1" customHeight="1" outlineLevel="1">
      <c r="A179" s="5" t="s">
        <v>106</v>
      </c>
      <c r="B179" s="24" t="s">
        <v>107</v>
      </c>
      <c r="C179" s="25"/>
      <c r="D179" s="25"/>
      <c r="E179" s="25">
        <f>'Vstupy cost'!$M$10*1.2</f>
        <v>6408000</v>
      </c>
      <c r="F179" s="25">
        <f>'Vstupy cost'!$N$10*1.2</f>
        <v>55992000</v>
      </c>
      <c r="G179" s="25"/>
      <c r="H179" s="25"/>
      <c r="I179" s="25"/>
      <c r="J179" s="25"/>
      <c r="K179" s="25"/>
      <c r="L179" s="25"/>
      <c r="M179" s="35">
        <f t="shared" si="152"/>
        <v>62400000</v>
      </c>
      <c r="O179" s="38">
        <f>SUM(C179:E179)+0.65*F179</f>
        <v>42802800</v>
      </c>
      <c r="P179" s="25">
        <f>SUM(F179:K179)*0.35</f>
        <v>19597200</v>
      </c>
      <c r="Q179" s="25">
        <f>SUM(H179:L179)*0.65</f>
        <v>0</v>
      </c>
      <c r="R179" s="35"/>
      <c r="S179" s="22">
        <f t="shared" ref="S179:S182" si="153">SUM(O179:R179)-M179</f>
        <v>0</v>
      </c>
    </row>
    <row r="180" spans="1:19" ht="13.95" hidden="1" customHeight="1" outlineLevel="1">
      <c r="A180" s="5" t="s">
        <v>108</v>
      </c>
      <c r="B180" s="24" t="s">
        <v>107</v>
      </c>
      <c r="C180" s="25"/>
      <c r="D180" s="25"/>
      <c r="E180" s="25">
        <f>ROUND('Vstupy cost'!$C$188*1.2,-3)</f>
        <v>138000</v>
      </c>
      <c r="F180" s="25">
        <f>ROUND('Vstupy cost'!$C$188*1.2,-3)</f>
        <v>138000</v>
      </c>
      <c r="G180" s="25"/>
      <c r="H180" s="25"/>
      <c r="I180" s="25"/>
      <c r="J180" s="25"/>
      <c r="K180" s="25"/>
      <c r="L180" s="25"/>
      <c r="M180" s="35">
        <f t="shared" si="152"/>
        <v>276000</v>
      </c>
      <c r="O180" s="38">
        <f>SUM(C180:E180)+F180*0.65</f>
        <v>227700</v>
      </c>
      <c r="P180" s="25">
        <f>SUM(F180:K180)*0.35</f>
        <v>48300</v>
      </c>
      <c r="Q180" s="25">
        <f>SUM(H180:L180)*0.65</f>
        <v>0</v>
      </c>
      <c r="R180" s="35"/>
      <c r="S180" s="22">
        <f t="shared" si="153"/>
        <v>0</v>
      </c>
    </row>
    <row r="181" spans="1:19" ht="13.95" hidden="1" customHeight="1" outlineLevel="1">
      <c r="A181" s="5" t="s">
        <v>109</v>
      </c>
      <c r="B181" s="24" t="s">
        <v>98</v>
      </c>
      <c r="C181" s="25"/>
      <c r="D181" s="25"/>
      <c r="E181" s="25"/>
      <c r="F181" s="25"/>
      <c r="G181" s="25"/>
      <c r="H181" s="25"/>
      <c r="I181" s="25"/>
      <c r="J181" s="25">
        <f>$E$179*'Vstupy cost'!$B$48</f>
        <v>192240</v>
      </c>
      <c r="K181" s="25">
        <f>SUM($E$179:$F$179)*'Vstupy cost'!$B$48</f>
        <v>1872000</v>
      </c>
      <c r="L181" s="25">
        <f>SUM($E$179:$F$179)*'Vstupy cost'!$B$48</f>
        <v>1872000</v>
      </c>
      <c r="M181" s="35">
        <f t="shared" si="152"/>
        <v>3936240</v>
      </c>
      <c r="O181" s="38">
        <f t="shared" ref="O181" si="154">SUM(C181:F181)</f>
        <v>0</v>
      </c>
      <c r="P181" s="25"/>
      <c r="Q181" s="25">
        <f>SUM(H181:L181)</f>
        <v>3936240</v>
      </c>
      <c r="R181" s="35"/>
      <c r="S181" s="22">
        <f t="shared" si="153"/>
        <v>0</v>
      </c>
    </row>
    <row r="182" spans="1:19" ht="13.95" hidden="1" customHeight="1" outlineLevel="1">
      <c r="A182" s="5" t="s">
        <v>110</v>
      </c>
      <c r="B182" s="24" t="s">
        <v>98</v>
      </c>
      <c r="C182" s="25"/>
      <c r="D182" s="25"/>
      <c r="E182" s="25">
        <f>$E$180*'Vstupy cost'!$B$190</f>
        <v>13800</v>
      </c>
      <c r="F182" s="25">
        <f>SUM($E$180,$F$180)*'Vstupy cost'!$B$190</f>
        <v>27600</v>
      </c>
      <c r="G182" s="25">
        <f>SUM($E$180,$F$180)*'Vstupy cost'!$B$190</f>
        <v>27600</v>
      </c>
      <c r="H182" s="25">
        <f>SUM($E$180,$F$180)*'Vstupy cost'!$B$190</f>
        <v>27600</v>
      </c>
      <c r="I182" s="25">
        <f>SUM($E$180,$F$180)*'Vstupy cost'!$B$190</f>
        <v>27600</v>
      </c>
      <c r="J182" s="25">
        <f>SUM($E$180,$F$180)*'Vstupy cost'!$B$190</f>
        <v>27600</v>
      </c>
      <c r="K182" s="25">
        <f>SUM($E$180,$F$180)*'Vstupy cost'!$B$190</f>
        <v>27600</v>
      </c>
      <c r="L182" s="25">
        <f>SUM($E$180,$F$180)*'Vstupy cost'!$B$190</f>
        <v>27600</v>
      </c>
      <c r="M182" s="35">
        <f t="shared" si="152"/>
        <v>207000</v>
      </c>
      <c r="O182" s="38">
        <f>SUM(C182:G182)</f>
        <v>69000</v>
      </c>
      <c r="P182" s="25"/>
      <c r="Q182" s="25">
        <f>SUM(H182:L182)</f>
        <v>138000</v>
      </c>
      <c r="R182" s="35"/>
      <c r="S182" s="22">
        <f t="shared" si="153"/>
        <v>0</v>
      </c>
    </row>
    <row r="183" spans="1:19" ht="13.95" hidden="1" customHeight="1" outlineLevel="1">
      <c r="A183" s="5" t="s">
        <v>111</v>
      </c>
      <c r="B183" s="24" t="s">
        <v>98</v>
      </c>
      <c r="C183" s="25"/>
      <c r="D183" s="25"/>
      <c r="E183" s="25">
        <f>'Vstupy cost'!$R$10*1.2</f>
        <v>32040</v>
      </c>
      <c r="F183" s="25">
        <f>'Vstupy cost'!$S$10*1.2</f>
        <v>312000</v>
      </c>
      <c r="G183" s="25">
        <f>'Vstupy cost'!$S$10*1.2</f>
        <v>312000</v>
      </c>
      <c r="H183" s="25">
        <f>'Vstupy cost'!$S$10*1.2</f>
        <v>312000</v>
      </c>
      <c r="I183" s="25">
        <f>'Vstupy cost'!$S$10*1.2</f>
        <v>312000</v>
      </c>
      <c r="J183" s="25">
        <f>'Vstupy cost'!$S$10*1.2</f>
        <v>312000</v>
      </c>
      <c r="K183" s="25">
        <f>'Vstupy cost'!$S$10*1.2</f>
        <v>312000</v>
      </c>
      <c r="L183" s="25">
        <f>'Vstupy cost'!$S$10*1.2</f>
        <v>312000</v>
      </c>
      <c r="M183" s="35">
        <f t="shared" si="152"/>
        <v>2216040</v>
      </c>
      <c r="O183" s="38">
        <f>SUM(E183:G183)</f>
        <v>656040</v>
      </c>
      <c r="P183" s="25"/>
      <c r="Q183" s="25">
        <f>SUM(H183:L183)</f>
        <v>1560000</v>
      </c>
      <c r="R183" s="35"/>
      <c r="S183" s="22"/>
    </row>
    <row r="184" spans="1:19" ht="13.95" hidden="1" customHeight="1" outlineLevel="1">
      <c r="A184" s="33" t="s">
        <v>112</v>
      </c>
      <c r="B184" s="32"/>
      <c r="C184" s="36">
        <f>SUM(C185:C194)</f>
        <v>0</v>
      </c>
      <c r="D184" s="36">
        <f t="shared" ref="D184:L184" si="155">SUM(D185:D194)</f>
        <v>0</v>
      </c>
      <c r="E184" s="36">
        <f>SUM(E185:E194)</f>
        <v>16853048.256000001</v>
      </c>
      <c r="F184" s="36">
        <f>SUM(F185:F194)</f>
        <v>26926602.33622</v>
      </c>
      <c r="G184" s="36">
        <f t="shared" si="155"/>
        <v>11005729.206246721</v>
      </c>
      <c r="H184" s="36">
        <f t="shared" si="155"/>
        <v>11005729.206246721</v>
      </c>
      <c r="I184" s="36">
        <f t="shared" si="155"/>
        <v>11005729.206246721</v>
      </c>
      <c r="J184" s="36">
        <f t="shared" si="155"/>
        <v>11005729.206246721</v>
      </c>
      <c r="K184" s="36">
        <f t="shared" si="155"/>
        <v>11005729.206246721</v>
      </c>
      <c r="L184" s="36">
        <f t="shared" si="155"/>
        <v>11005729.206246721</v>
      </c>
      <c r="M184" s="37">
        <f t="shared" si="152"/>
        <v>109814025.82970032</v>
      </c>
      <c r="O184" s="38"/>
      <c r="P184" s="25"/>
      <c r="Q184" s="25"/>
      <c r="R184" s="35"/>
      <c r="S184" s="22"/>
    </row>
    <row r="185" spans="1:19" s="10" customFormat="1" ht="13.95" hidden="1" customHeight="1" outlineLevel="1">
      <c r="A185" s="5" t="s">
        <v>113</v>
      </c>
      <c r="B185" s="24" t="s">
        <v>107</v>
      </c>
      <c r="C185" s="25"/>
      <c r="D185" s="25"/>
      <c r="E185" s="25">
        <f>'Vstupy cost'!O10*1.2</f>
        <v>600000</v>
      </c>
      <c r="G185" s="25"/>
      <c r="H185" s="25"/>
      <c r="I185" s="25"/>
      <c r="J185" s="25"/>
      <c r="K185" s="25"/>
      <c r="L185" s="25"/>
      <c r="M185" s="35">
        <f t="shared" si="152"/>
        <v>600000</v>
      </c>
      <c r="O185" s="38">
        <f>E185</f>
        <v>600000</v>
      </c>
      <c r="P185" s="25"/>
      <c r="Q185" s="25"/>
      <c r="R185" s="35"/>
      <c r="S185" s="22">
        <f t="shared" ref="S185:S186" si="156">SUM(O185:R185)-M185</f>
        <v>0</v>
      </c>
    </row>
    <row r="186" spans="1:19" s="10" customFormat="1" ht="13.95" hidden="1" customHeight="1" outlineLevel="1">
      <c r="A186" s="5" t="s">
        <v>114</v>
      </c>
      <c r="B186" s="24" t="s">
        <v>98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35">
        <f t="shared" ref="M186" si="157">SUM(C186:L186)</f>
        <v>0</v>
      </c>
      <c r="O186" s="38">
        <f>SUM(F186:G186)*0.65</f>
        <v>0</v>
      </c>
      <c r="P186" s="25">
        <f>SUM(F186:J186)*0.35</f>
        <v>0</v>
      </c>
      <c r="Q186" s="25">
        <f>SUM(H186:J186)*0.65+SUM(K186:L186)</f>
        <v>0</v>
      </c>
      <c r="R186" s="35"/>
      <c r="S186" s="22">
        <f t="shared" si="156"/>
        <v>0</v>
      </c>
    </row>
    <row r="187" spans="1:19" ht="13.95" hidden="1" customHeight="1" outlineLevel="1">
      <c r="A187" s="5" t="s">
        <v>115</v>
      </c>
      <c r="B187" s="24" t="s">
        <v>107</v>
      </c>
      <c r="C187" s="25"/>
      <c r="D187" s="25"/>
      <c r="E187" s="25">
        <f>SUM('Vstupy cost'!$B$67,'Vstupy cost'!$B$63,'Vstupy cost'!$B$64/2)*1.2</f>
        <v>14040000</v>
      </c>
      <c r="F187" s="25">
        <f>SUM('Vstupy cost'!$B$64/2,'Vstupy cost'!$B$66)*1.2</f>
        <v>13200000</v>
      </c>
      <c r="G187" s="25"/>
      <c r="H187" s="25"/>
      <c r="I187" s="25"/>
      <c r="J187" s="25"/>
      <c r="K187" s="25"/>
      <c r="L187" s="25"/>
      <c r="M187" s="35">
        <f t="shared" si="152"/>
        <v>27240000</v>
      </c>
      <c r="O187" s="38">
        <f>SUM(C187:F187)</f>
        <v>27240000</v>
      </c>
      <c r="P187" s="25">
        <f>SUM(H187:K187)*0.35</f>
        <v>0</v>
      </c>
      <c r="Q187" s="25">
        <f>SUM(H187:K187)*0.65+L187</f>
        <v>0</v>
      </c>
      <c r="R187" s="35"/>
      <c r="S187" s="22">
        <f t="shared" ref="S187" si="158">SUM(O187:R187)-M187</f>
        <v>0</v>
      </c>
    </row>
    <row r="188" spans="1:19" ht="13.95" hidden="1" customHeight="1" outlineLevel="1">
      <c r="A188" s="5" t="s">
        <v>116</v>
      </c>
      <c r="B188" s="24" t="s">
        <v>107</v>
      </c>
      <c r="C188" s="80"/>
      <c r="D188" s="25"/>
      <c r="E188" s="25"/>
      <c r="F188" s="25"/>
      <c r="G188" s="25"/>
      <c r="H188" s="25"/>
      <c r="I188" s="25"/>
      <c r="J188" s="25"/>
      <c r="K188" s="25"/>
      <c r="L188" s="25"/>
      <c r="M188" s="35">
        <f t="shared" si="152"/>
        <v>0</v>
      </c>
      <c r="O188" s="38">
        <f t="shared" ref="O188:O189" si="159">SUM(C188:F188)</f>
        <v>0</v>
      </c>
      <c r="P188" s="25"/>
      <c r="Q188" s="25"/>
      <c r="R188" s="35"/>
      <c r="S188" s="22">
        <f t="shared" ref="S188:S189" si="160">SUM(O188:R188)-M188</f>
        <v>0</v>
      </c>
    </row>
    <row r="189" spans="1:19" ht="13.95" hidden="1" customHeight="1" outlineLevel="1">
      <c r="A189" s="5" t="s">
        <v>117</v>
      </c>
      <c r="B189" s="24" t="s">
        <v>107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35">
        <f t="shared" si="152"/>
        <v>0</v>
      </c>
      <c r="O189" s="38">
        <f t="shared" si="159"/>
        <v>0</v>
      </c>
      <c r="P189" s="25"/>
      <c r="Q189" s="25"/>
      <c r="R189" s="35"/>
      <c r="S189" s="22">
        <f t="shared" si="160"/>
        <v>0</v>
      </c>
    </row>
    <row r="190" spans="1:19" ht="13.95" hidden="1" customHeight="1" outlineLevel="1">
      <c r="A190" s="5" t="s">
        <v>118</v>
      </c>
      <c r="B190" s="24" t="s">
        <v>107</v>
      </c>
      <c r="C190" s="80"/>
      <c r="D190" s="25"/>
      <c r="E190" s="25">
        <f>'Vstupy cost'!$K$10*1.2</f>
        <v>600000</v>
      </c>
      <c r="F190" s="25">
        <f>'Vstupy cost'!$L$10*1.2</f>
        <v>7800000</v>
      </c>
      <c r="G190" s="25"/>
      <c r="H190" s="25"/>
      <c r="I190" s="25"/>
      <c r="J190" s="25"/>
      <c r="K190" s="25"/>
      <c r="L190" s="25"/>
      <c r="M190" s="35">
        <f t="shared" si="152"/>
        <v>8400000</v>
      </c>
      <c r="O190" s="38">
        <f>SUM(C190:E190)+F190*0.65</f>
        <v>5670000</v>
      </c>
      <c r="P190" s="25">
        <f>SUM(F190:L190)*0.35</f>
        <v>2730000</v>
      </c>
      <c r="Q190" s="25">
        <f>SUM(H190:L190)*0.65</f>
        <v>0</v>
      </c>
      <c r="R190" s="35"/>
      <c r="S190" s="22">
        <f t="shared" ref="S190:S194" si="161">SUM(O190:R190)-M190</f>
        <v>0</v>
      </c>
    </row>
    <row r="191" spans="1:19" ht="13.95" hidden="1" customHeight="1" outlineLevel="1">
      <c r="A191" s="5" t="s">
        <v>119</v>
      </c>
      <c r="B191" s="24" t="s">
        <v>98</v>
      </c>
      <c r="C191" s="25"/>
      <c r="D191" s="25"/>
      <c r="E191" s="25">
        <f>'Vstupy cost'!$E$10*'Vstupy cost'!$B$19*1.2*24*365</f>
        <v>722048.25600000005</v>
      </c>
      <c r="F191" s="25">
        <f>SUM('Vstupy cost'!$E$10*'Vstupy cost'!$B$19*1.2*24*365,'Vstupy cost'!$F$10*'Vstupy cost'!$B$19*1.2*24*365/3)</f>
        <v>4156318.6560000004</v>
      </c>
      <c r="G191" s="25">
        <f>'Vstupy cost'!$F$10*'Vstupy cost'!$B$19*1.2*24*365</f>
        <v>10302811.200000001</v>
      </c>
      <c r="H191" s="25">
        <f>'Vstupy cost'!$F$10*'Vstupy cost'!$B$19*1.2*24*365</f>
        <v>10302811.200000001</v>
      </c>
      <c r="I191" s="25">
        <f>'Vstupy cost'!$F$10*'Vstupy cost'!$B$19*1.2*24*365</f>
        <v>10302811.200000001</v>
      </c>
      <c r="J191" s="25">
        <f>'Vstupy cost'!$F$10*'Vstupy cost'!$B$19*1.2*24*365</f>
        <v>10302811.200000001</v>
      </c>
      <c r="K191" s="25">
        <f>'Vstupy cost'!$F$10*'Vstupy cost'!$B$19*1.2*24*365</f>
        <v>10302811.200000001</v>
      </c>
      <c r="L191" s="25">
        <f>'Vstupy cost'!$F$10*'Vstupy cost'!$B$19*1.2*24*365</f>
        <v>10302811.200000001</v>
      </c>
      <c r="M191" s="35">
        <f t="shared" si="152"/>
        <v>66695234.112000011</v>
      </c>
      <c r="O191" s="38">
        <f>SUM(C191:F191)</f>
        <v>4878366.9120000005</v>
      </c>
      <c r="P191" s="25">
        <f>SUM(G191:K191)*0.35</f>
        <v>18029919.600000001</v>
      </c>
      <c r="Q191" s="25">
        <f>SUM(G191:K191)*0.65+L191</f>
        <v>43786947.600000009</v>
      </c>
      <c r="R191" s="35"/>
      <c r="S191" s="22">
        <f t="shared" si="161"/>
        <v>0</v>
      </c>
    </row>
    <row r="192" spans="1:19" ht="13.95" hidden="1" customHeight="1" outlineLevel="1">
      <c r="A192" s="5" t="s">
        <v>120</v>
      </c>
      <c r="B192" s="24" t="s">
        <v>107</v>
      </c>
      <c r="C192" s="25"/>
      <c r="D192" s="25"/>
      <c r="F192" s="25">
        <f>'Vstupy cost'!$I$10*1.2</f>
        <v>879283.68021999893</v>
      </c>
      <c r="G192" s="25"/>
      <c r="H192" s="25"/>
      <c r="I192" s="25"/>
      <c r="J192" s="25"/>
      <c r="K192" s="25"/>
      <c r="L192" s="25"/>
      <c r="M192" s="35">
        <f t="shared" si="152"/>
        <v>879283.68021999893</v>
      </c>
      <c r="O192" s="38">
        <f>SUM(C192:G192)</f>
        <v>879283.68021999893</v>
      </c>
      <c r="P192" s="25">
        <f>SUM(H192:L192)*0.35</f>
        <v>0</v>
      </c>
      <c r="Q192" s="25">
        <f>SUM(H192:L192)*0.65</f>
        <v>0</v>
      </c>
      <c r="R192" s="35"/>
      <c r="S192" s="22">
        <f t="shared" si="161"/>
        <v>0</v>
      </c>
    </row>
    <row r="193" spans="1:19" s="10" customFormat="1" ht="13.95" hidden="1" customHeight="1" outlineLevel="1">
      <c r="A193" s="5" t="s">
        <v>121</v>
      </c>
      <c r="B193" s="24" t="s">
        <v>98</v>
      </c>
      <c r="C193" s="41"/>
      <c r="D193" s="41"/>
      <c r="E193" s="41"/>
      <c r="F193" s="41"/>
      <c r="G193" s="41">
        <f>IF($F$192=0,0,-'Vstupy cost'!$H$10*'Vstupy cost'!$B$19*1.2*12)</f>
        <v>-188081.99375327997</v>
      </c>
      <c r="H193" s="41">
        <f>IF($F$192=0,0,-'Vstupy cost'!$H$10*'Vstupy cost'!$B$19*1.2*12)</f>
        <v>-188081.99375327997</v>
      </c>
      <c r="I193" s="41">
        <f>IF($F$192=0,0,-'Vstupy cost'!$H$10*'Vstupy cost'!$B$19*1.2*12)</f>
        <v>-188081.99375327997</v>
      </c>
      <c r="J193" s="41">
        <f>IF($F$192=0,0,-'Vstupy cost'!$H$10*'Vstupy cost'!$B$19*1.2*12)</f>
        <v>-188081.99375327997</v>
      </c>
      <c r="K193" s="41">
        <f>IF($F$192=0,0,-'Vstupy cost'!$H$10*'Vstupy cost'!$B$19*1.2*12)</f>
        <v>-188081.99375327997</v>
      </c>
      <c r="L193" s="41">
        <f>IF($F$192=0,0,-'Vstupy cost'!$H$10*'Vstupy cost'!$B$19*1.2*12)</f>
        <v>-188081.99375327997</v>
      </c>
      <c r="M193" s="42">
        <f t="shared" si="152"/>
        <v>-1128491.9625196799</v>
      </c>
      <c r="O193" s="38">
        <f>SUM(C193:F193)</f>
        <v>0</v>
      </c>
      <c r="P193" s="25"/>
      <c r="Q193" s="25">
        <f>SUM(G193:L193)</f>
        <v>-1128491.9625196799</v>
      </c>
      <c r="R193" s="35"/>
      <c r="S193" s="22">
        <f t="shared" si="161"/>
        <v>0</v>
      </c>
    </row>
    <row r="194" spans="1:19" ht="13.95" hidden="1" customHeight="1" outlineLevel="1">
      <c r="A194" s="5" t="s">
        <v>122</v>
      </c>
      <c r="B194" s="24" t="s">
        <v>98</v>
      </c>
      <c r="C194" s="25"/>
      <c r="D194" s="25"/>
      <c r="E194" s="25">
        <f>'Vstupy cost'!$J$10*1.2</f>
        <v>891000</v>
      </c>
      <c r="F194" s="25">
        <f>'Vstupy cost'!$J$10*1.2</f>
        <v>891000</v>
      </c>
      <c r="G194" s="25">
        <f>'Vstupy cost'!$J$10*1.2</f>
        <v>891000</v>
      </c>
      <c r="H194" s="25">
        <f>'Vstupy cost'!$J$10*1.2</f>
        <v>891000</v>
      </c>
      <c r="I194" s="25">
        <f>'Vstupy cost'!$J$10*1.2</f>
        <v>891000</v>
      </c>
      <c r="J194" s="25">
        <f>'Vstupy cost'!$J$10*1.2</f>
        <v>891000</v>
      </c>
      <c r="K194" s="25">
        <f>'Vstupy cost'!$J$10*1.2</f>
        <v>891000</v>
      </c>
      <c r="L194" s="25">
        <f>'Vstupy cost'!$J$10*1.2</f>
        <v>891000</v>
      </c>
      <c r="M194" s="35">
        <f t="shared" si="152"/>
        <v>7128000</v>
      </c>
      <c r="O194" s="38">
        <f>SUM(C194:F194)</f>
        <v>1782000</v>
      </c>
      <c r="P194" s="25">
        <f>SUM(G194:K194)*0.35</f>
        <v>1559250</v>
      </c>
      <c r="Q194" s="25">
        <f>SUM(G194:K194)*0.65+L194</f>
        <v>3786750</v>
      </c>
      <c r="R194" s="35"/>
      <c r="S194" s="22">
        <f t="shared" si="161"/>
        <v>0</v>
      </c>
    </row>
    <row r="195" spans="1:19" ht="13.95" hidden="1" customHeight="1" outlineLevel="1">
      <c r="A195" s="33" t="s">
        <v>99</v>
      </c>
      <c r="B195" s="32"/>
      <c r="C195" s="36">
        <f>SUM(C196:C199)</f>
        <v>378073.20000000007</v>
      </c>
      <c r="D195" s="36">
        <f t="shared" ref="D195" si="162">SUM(D196:D199)</f>
        <v>1697182.2000000002</v>
      </c>
      <c r="E195" s="36">
        <f t="shared" ref="E195" si="163">SUM(E196:E199)</f>
        <v>2464490.9088000003</v>
      </c>
      <c r="F195" s="36">
        <f t="shared" ref="F195" si="164">SUM(F196:F199)</f>
        <v>4349796.8631120007</v>
      </c>
      <c r="G195" s="36">
        <f t="shared" ref="G195" si="165">SUM(G196:G199)</f>
        <v>4788380.1096486012</v>
      </c>
      <c r="H195" s="36">
        <f t="shared" ref="H195" si="166">SUM(H196:H199)</f>
        <v>4928575.5129380589</v>
      </c>
      <c r="I195" s="36">
        <f t="shared" ref="I195" si="167">SUM(I196:I199)</f>
        <v>5072976.7783262003</v>
      </c>
      <c r="J195" s="36">
        <f t="shared" ref="J195" si="168">SUM(J196:J199)</f>
        <v>5221710.0816759868</v>
      </c>
      <c r="K195" s="36">
        <f t="shared" ref="K195" si="169">SUM(K196:K199)</f>
        <v>5374905.3841262665</v>
      </c>
      <c r="L195" s="36">
        <f t="shared" ref="L195" si="170">SUM(L196:L199)</f>
        <v>5532696.5456500538</v>
      </c>
      <c r="M195" s="37">
        <f t="shared" si="152"/>
        <v>39808787.584277168</v>
      </c>
      <c r="O195" s="38"/>
      <c r="P195" s="25"/>
      <c r="Q195" s="25"/>
      <c r="R195" s="35"/>
      <c r="S195" s="22"/>
    </row>
    <row r="196" spans="1:19" ht="13.95" hidden="1" customHeight="1" outlineLevel="1">
      <c r="A196" s="5" t="s">
        <v>100</v>
      </c>
      <c r="B196" s="24" t="s">
        <v>98</v>
      </c>
      <c r="C196" s="25"/>
      <c r="D196" s="25">
        <f>'Vstupy cost'!$B$97*'Vstupy cost'!$B$98*1.2*12</f>
        <v>115200</v>
      </c>
      <c r="E196" s="25">
        <f>'Vstupy cost'!$B$97*'Vstupy cost'!$B$98*1.2*12</f>
        <v>115200</v>
      </c>
      <c r="F196" s="25">
        <f>'Vstupy cost'!$B$97*'Vstupy cost'!$B$98*1.2*12</f>
        <v>115200</v>
      </c>
      <c r="G196" s="25">
        <f>'Vstupy cost'!$B$97*'Vstupy cost'!$B$98*1.2*12</f>
        <v>115200</v>
      </c>
      <c r="H196" s="25">
        <f>'Vstupy cost'!$B$97*'Vstupy cost'!$B$98*1.2*12</f>
        <v>115200</v>
      </c>
      <c r="I196" s="25">
        <f>'Vstupy cost'!$B$97*'Vstupy cost'!$B$98*1.2*12</f>
        <v>115200</v>
      </c>
      <c r="J196" s="25">
        <f>'Vstupy cost'!$B$97*'Vstupy cost'!$B$98*1.2*12</f>
        <v>115200</v>
      </c>
      <c r="K196" s="25">
        <f>'Vstupy cost'!$B$97*'Vstupy cost'!$B$98*1.2*12</f>
        <v>115200</v>
      </c>
      <c r="L196" s="25">
        <f>'Vstupy cost'!$B$97*'Vstupy cost'!$B$98*1.2*12</f>
        <v>115200</v>
      </c>
      <c r="M196" s="35">
        <f t="shared" si="152"/>
        <v>1036800</v>
      </c>
      <c r="O196" s="38">
        <f>SUM(C196:F196)+G196*0.5</f>
        <v>403200</v>
      </c>
      <c r="P196" s="25"/>
      <c r="Q196" s="25">
        <f>SUM(H196:L196)+G196*0.5</f>
        <v>633600</v>
      </c>
      <c r="R196" s="35"/>
      <c r="S196" s="22">
        <f t="shared" ref="S196" si="171">SUM(O196:R196)-M196</f>
        <v>0</v>
      </c>
    </row>
    <row r="197" spans="1:19" ht="13.95" hidden="1" customHeight="1" outlineLevel="1">
      <c r="A197" s="5" t="s">
        <v>101</v>
      </c>
      <c r="B197" s="24" t="s">
        <v>98</v>
      </c>
      <c r="C197" s="25">
        <f>'Vstupy cost'!B90*'Vstupy cost'!B85*12*1.398</f>
        <v>221443.20000000004</v>
      </c>
      <c r="D197" s="25">
        <f>'Vstupy cost'!C90*'Vstupy cost'!C85*12*1.398</f>
        <v>570216.24000000011</v>
      </c>
      <c r="E197" s="25">
        <f>'Vstupy cost'!D90*'Vstupy cost'!D85*12*1.398</f>
        <v>880984.09080000012</v>
      </c>
      <c r="F197" s="25">
        <f>'Vstupy cost'!E90*'Vstupy cost'!E85*12*1.398</f>
        <v>1209884.8180320002</v>
      </c>
      <c r="G197" s="25">
        <f>'Vstupy cost'!F90*'Vstupy cost'!F85*12*1.398</f>
        <v>1557726.7032162005</v>
      </c>
      <c r="H197" s="25">
        <f>'Vstupy cost'!G90*'Vstupy cost'!G85*12*1.398</f>
        <v>1604458.5043126864</v>
      </c>
      <c r="I197" s="25">
        <f>'Vstupy cost'!H90*'Vstupy cost'!H85*12*1.398</f>
        <v>1652592.2594420668</v>
      </c>
      <c r="J197" s="25">
        <f>'Vstupy cost'!I90*'Vstupy cost'!I85*12*1.398</f>
        <v>1702170.0272253288</v>
      </c>
      <c r="K197" s="25">
        <f>'Vstupy cost'!J90*'Vstupy cost'!J85*12*1.398</f>
        <v>1753235.1280420888</v>
      </c>
      <c r="L197" s="25">
        <f>'Vstupy cost'!K90*'Vstupy cost'!K85*12*1.398</f>
        <v>1805832.1818833514</v>
      </c>
      <c r="M197" s="35">
        <f t="shared" si="152"/>
        <v>12958543.152953723</v>
      </c>
      <c r="O197" s="38">
        <f>SUM(C197:F197)</f>
        <v>2882528.3488320005</v>
      </c>
      <c r="P197" s="25">
        <f t="shared" ref="P197:P198" si="172">SUM(G197:K197)*0.35</f>
        <v>2894563.9177834298</v>
      </c>
      <c r="Q197" s="25">
        <f t="shared" ref="Q197:Q198" si="173">SUM(G197:K197)*0.65+L197</f>
        <v>7181450.8863382936</v>
      </c>
      <c r="R197" s="35"/>
      <c r="S197" s="22">
        <f>SUM(O197:R197)-M197</f>
        <v>0</v>
      </c>
    </row>
    <row r="198" spans="1:19" ht="13.95" hidden="1" customHeight="1" outlineLevel="1">
      <c r="A198" s="5" t="s">
        <v>102</v>
      </c>
      <c r="B198" s="24" t="s">
        <v>98</v>
      </c>
      <c r="C198" s="25">
        <f>'Vstupy cost'!B91*'Vstupy cost'!B85*12*1.398</f>
        <v>0</v>
      </c>
      <c r="D198" s="25">
        <f>'Vstupy cost'!C91*'Vstupy cost'!C85*12*1.398</f>
        <v>855324.3600000001</v>
      </c>
      <c r="E198" s="25">
        <f>'Vstupy cost'!D91*'Vstupy cost'!D85*12*1.398</f>
        <v>1468306.8180000002</v>
      </c>
      <c r="F198" s="25">
        <f>'Vstupy cost'!E91*'Vstupy cost'!E85*12*1.398</f>
        <v>3024712.0450800005</v>
      </c>
      <c r="G198" s="25">
        <f>'Vstupy cost'!F91*'Vstupy cost'!F85*12*1.398</f>
        <v>3115453.4064324009</v>
      </c>
      <c r="H198" s="25">
        <f>'Vstupy cost'!G91*'Vstupy cost'!G85*12*1.398</f>
        <v>3208917.0086253728</v>
      </c>
      <c r="I198" s="25">
        <f>'Vstupy cost'!H91*'Vstupy cost'!H85*12*1.398</f>
        <v>3305184.5188841335</v>
      </c>
      <c r="J198" s="25">
        <f>'Vstupy cost'!I91*'Vstupy cost'!I85*12*1.398</f>
        <v>3404340.0544506577</v>
      </c>
      <c r="K198" s="25">
        <f>'Vstupy cost'!J91*'Vstupy cost'!J85*12*1.398</f>
        <v>3506470.2560841776</v>
      </c>
      <c r="L198" s="25">
        <f>'Vstupy cost'!K91*'Vstupy cost'!K85*12*1.398</f>
        <v>3611664.3637667028</v>
      </c>
      <c r="M198" s="35">
        <f t="shared" si="152"/>
        <v>25500372.831323449</v>
      </c>
      <c r="O198" s="38">
        <f>SUM(C198:F198)-1000000</f>
        <v>4348343.2230800008</v>
      </c>
      <c r="P198" s="25">
        <f t="shared" si="172"/>
        <v>5789127.8355668597</v>
      </c>
      <c r="Q198" s="25">
        <f t="shared" si="173"/>
        <v>14362901.772676587</v>
      </c>
      <c r="R198" s="35">
        <v>1000000</v>
      </c>
      <c r="S198" s="22">
        <f t="shared" ref="S198:S199" si="174">SUM(O198:R198)-M198</f>
        <v>0</v>
      </c>
    </row>
    <row r="199" spans="1:19" ht="13.95" hidden="1" customHeight="1" outlineLevel="1">
      <c r="A199" s="5" t="s">
        <v>103</v>
      </c>
      <c r="B199" s="24" t="s">
        <v>98</v>
      </c>
      <c r="C199" s="25">
        <f>'Vstupy cost'!$B$117*1.2+'Vstupy cost'!$B$119*1.39</f>
        <v>156630</v>
      </c>
      <c r="D199" s="25">
        <f>'Vstupy cost'!$B$118*1.2</f>
        <v>156441.60000000001</v>
      </c>
      <c r="E199" s="25"/>
      <c r="F199" s="25"/>
      <c r="G199" s="25"/>
      <c r="H199" s="25"/>
      <c r="I199" s="25"/>
      <c r="J199" s="25"/>
      <c r="K199" s="25"/>
      <c r="L199" s="25"/>
      <c r="M199" s="35">
        <f t="shared" si="152"/>
        <v>313071.59999999998</v>
      </c>
      <c r="O199" s="38">
        <f t="shared" ref="O199" si="175">SUM(C199:G199)</f>
        <v>313071.59999999998</v>
      </c>
      <c r="P199" s="25"/>
      <c r="Q199" s="25">
        <f t="shared" ref="Q199" si="176">SUM(H199:L199)</f>
        <v>0</v>
      </c>
      <c r="R199" s="35"/>
      <c r="S199" s="22">
        <f t="shared" si="174"/>
        <v>0</v>
      </c>
    </row>
    <row r="200" spans="1:19" ht="13.95" hidden="1" customHeight="1" outlineLevel="1">
      <c r="A200" s="33" t="s">
        <v>80</v>
      </c>
      <c r="B200" s="32"/>
      <c r="C200" s="36">
        <f t="shared" ref="C200:L200" si="177">SUM(C201:C201)</f>
        <v>0</v>
      </c>
      <c r="D200" s="36">
        <f t="shared" si="177"/>
        <v>253000</v>
      </c>
      <c r="E200" s="36">
        <f t="shared" si="177"/>
        <v>455000</v>
      </c>
      <c r="F200" s="36">
        <f t="shared" si="177"/>
        <v>750000</v>
      </c>
      <c r="G200" s="36">
        <f t="shared" si="177"/>
        <v>990000</v>
      </c>
      <c r="H200" s="36">
        <f t="shared" si="177"/>
        <v>990000</v>
      </c>
      <c r="I200" s="36">
        <f t="shared" si="177"/>
        <v>990000</v>
      </c>
      <c r="J200" s="36">
        <f t="shared" si="177"/>
        <v>990000</v>
      </c>
      <c r="K200" s="36">
        <f t="shared" si="177"/>
        <v>990000</v>
      </c>
      <c r="L200" s="36">
        <f t="shared" si="177"/>
        <v>990000</v>
      </c>
      <c r="M200" s="37">
        <f t="shared" si="152"/>
        <v>7398000</v>
      </c>
      <c r="O200" s="38"/>
      <c r="P200" s="25"/>
      <c r="Q200" s="25"/>
      <c r="R200" s="35"/>
      <c r="S200" s="22"/>
    </row>
    <row r="201" spans="1:19" ht="13.95" hidden="1" customHeight="1" outlineLevel="1" thickBot="1">
      <c r="A201" s="9" t="s">
        <v>104</v>
      </c>
      <c r="B201" s="39"/>
      <c r="C201" s="39">
        <f>'Vstupy cost'!$B$113</f>
        <v>0</v>
      </c>
      <c r="D201" s="39">
        <f>'Vstupy cost'!$C$113</f>
        <v>253000</v>
      </c>
      <c r="E201" s="39">
        <f>'Vstupy cost'!$D$113</f>
        <v>455000</v>
      </c>
      <c r="F201" s="39">
        <f>'Vstupy cost'!$E$113</f>
        <v>750000</v>
      </c>
      <c r="G201" s="39">
        <f>'Vstupy cost'!$F$113</f>
        <v>990000</v>
      </c>
      <c r="H201" s="39">
        <f>'Vstupy cost'!$G$113</f>
        <v>990000</v>
      </c>
      <c r="I201" s="39">
        <f>'Vstupy cost'!$H$113</f>
        <v>990000</v>
      </c>
      <c r="J201" s="39">
        <f>'Vstupy cost'!$I$113</f>
        <v>990000</v>
      </c>
      <c r="K201" s="39">
        <f>'Vstupy cost'!$J$113</f>
        <v>990000</v>
      </c>
      <c r="L201" s="39">
        <f>'Vstupy cost'!$K$113</f>
        <v>990000</v>
      </c>
      <c r="M201" s="40">
        <f t="shared" ref="M201" si="178">SUM(C201:L201)</f>
        <v>7398000</v>
      </c>
      <c r="O201" s="188">
        <f>SUM(C201:F201)</f>
        <v>1458000</v>
      </c>
      <c r="P201" s="39"/>
      <c r="Q201" s="39">
        <v>3000000</v>
      </c>
      <c r="R201" s="40">
        <f>SUM(G201:L201)-Q201</f>
        <v>2940000</v>
      </c>
      <c r="S201" s="22">
        <f t="shared" ref="S201" si="179">SUM(O201:R201)-M201</f>
        <v>0</v>
      </c>
    </row>
    <row r="202" spans="1:19" ht="13.95" hidden="1" customHeight="1" outlineLevel="1">
      <c r="O202" s="10"/>
      <c r="P202" s="10"/>
      <c r="Q202" s="10"/>
      <c r="R202" s="10"/>
      <c r="S202" s="22"/>
    </row>
    <row r="203" spans="1:19" s="10" customFormat="1" ht="13.95" hidden="1" customHeight="1" collapsed="1">
      <c r="A203" s="1" t="s">
        <v>22</v>
      </c>
      <c r="B203" s="2"/>
      <c r="C203" s="125">
        <f>SUM(C205,C211,C222,C227)</f>
        <v>378073.20000000007</v>
      </c>
      <c r="D203" s="125">
        <f t="shared" ref="D203:L203" si="180">SUM(D205,D211,D222,D227)</f>
        <v>1950182.2000000002</v>
      </c>
      <c r="E203" s="125">
        <f t="shared" si="180"/>
        <v>23740503.612800002</v>
      </c>
      <c r="F203" s="125">
        <f t="shared" si="180"/>
        <v>68340251.656348005</v>
      </c>
      <c r="G203" s="125">
        <f t="shared" si="180"/>
        <v>19687626.660924502</v>
      </c>
      <c r="H203" s="125">
        <f t="shared" si="180"/>
        <v>19842776.240564838</v>
      </c>
      <c r="I203" s="125">
        <f t="shared" si="180"/>
        <v>20002580.307594381</v>
      </c>
      <c r="J203" s="125">
        <f t="shared" si="180"/>
        <v>20280794.496634811</v>
      </c>
      <c r="K203" s="125">
        <f t="shared" si="180"/>
        <v>21488714.631346453</v>
      </c>
      <c r="L203" s="125">
        <f t="shared" si="180"/>
        <v>21663336.850099444</v>
      </c>
      <c r="M203" s="126">
        <f>SUM(C203:L203)</f>
        <v>217374839.85631242</v>
      </c>
      <c r="O203" s="128">
        <f>SUM(O205:O228)</f>
        <v>78793430.669147998</v>
      </c>
      <c r="P203" s="129">
        <f>SUM(P205:P228)</f>
        <v>47916430.207040988</v>
      </c>
      <c r="Q203" s="129">
        <f>SUM(Q205:Q228)</f>
        <v>86724978.980123445</v>
      </c>
      <c r="R203" s="130">
        <f>SUM(R205:R228)</f>
        <v>3940000</v>
      </c>
      <c r="S203" s="22">
        <f t="shared" ref="S203" si="181">SUM(O203:R203)-M203</f>
        <v>0</v>
      </c>
    </row>
    <row r="204" spans="1:19" s="10" customFormat="1" ht="13.95" hidden="1" customHeight="1" outlineLevel="1">
      <c r="A204" s="6"/>
      <c r="B204" s="4" t="s">
        <v>83</v>
      </c>
      <c r="C204" s="4" t="s">
        <v>84</v>
      </c>
      <c r="D204" s="4" t="s">
        <v>85</v>
      </c>
      <c r="E204" s="4" t="s">
        <v>86</v>
      </c>
      <c r="F204" s="4" t="s">
        <v>87</v>
      </c>
      <c r="G204" s="4" t="s">
        <v>88</v>
      </c>
      <c r="H204" s="4" t="s">
        <v>89</v>
      </c>
      <c r="I204" s="4" t="s">
        <v>90</v>
      </c>
      <c r="J204" s="4" t="s">
        <v>91</v>
      </c>
      <c r="K204" s="4" t="s">
        <v>92</v>
      </c>
      <c r="L204" s="4" t="s">
        <v>93</v>
      </c>
      <c r="M204" s="34" t="s">
        <v>11</v>
      </c>
      <c r="O204" s="27" t="s">
        <v>94</v>
      </c>
      <c r="P204" s="4" t="s">
        <v>95</v>
      </c>
      <c r="Q204" s="4" t="s">
        <v>96</v>
      </c>
      <c r="R204" s="28" t="s">
        <v>97</v>
      </c>
    </row>
    <row r="205" spans="1:19" ht="13.95" hidden="1" customHeight="1" outlineLevel="1">
      <c r="A205" s="33" t="s">
        <v>105</v>
      </c>
      <c r="B205" s="32"/>
      <c r="C205" s="36">
        <f>SUM(C206:C210)</f>
        <v>0</v>
      </c>
      <c r="D205" s="36">
        <f t="shared" ref="D205:L205" si="182">SUM(D206:D210)</f>
        <v>0</v>
      </c>
      <c r="E205" s="36">
        <f t="shared" si="182"/>
        <v>3957936</v>
      </c>
      <c r="F205" s="36">
        <f t="shared" si="182"/>
        <v>34970400</v>
      </c>
      <c r="G205" s="36">
        <f t="shared" si="182"/>
        <v>219600</v>
      </c>
      <c r="H205" s="36">
        <f t="shared" si="182"/>
        <v>219600</v>
      </c>
      <c r="I205" s="36">
        <f t="shared" si="182"/>
        <v>219600</v>
      </c>
      <c r="J205" s="36">
        <f t="shared" si="182"/>
        <v>333216</v>
      </c>
      <c r="K205" s="36">
        <f t="shared" si="182"/>
        <v>1371600</v>
      </c>
      <c r="L205" s="36">
        <f t="shared" si="182"/>
        <v>1371600</v>
      </c>
      <c r="M205" s="37">
        <f t="shared" ref="M205:M227" si="183">SUM(C205:L205)</f>
        <v>42663552</v>
      </c>
      <c r="O205" s="38"/>
      <c r="P205" s="25"/>
      <c r="Q205" s="25"/>
      <c r="R205" s="149"/>
      <c r="S205" s="22"/>
    </row>
    <row r="206" spans="1:19" ht="13.95" hidden="1" customHeight="1" outlineLevel="1">
      <c r="A206" s="5" t="s">
        <v>106</v>
      </c>
      <c r="B206" s="24" t="s">
        <v>107</v>
      </c>
      <c r="C206" s="25"/>
      <c r="D206" s="25"/>
      <c r="E206" s="25">
        <f>'Vstupy cost'!$M$11*1.2</f>
        <v>3787200</v>
      </c>
      <c r="F206" s="25">
        <f>'Vstupy cost'!$N$11*1.2</f>
        <v>34612800</v>
      </c>
      <c r="G206" s="25"/>
      <c r="H206" s="25"/>
      <c r="I206" s="25"/>
      <c r="J206" s="25"/>
      <c r="K206" s="25"/>
      <c r="L206" s="25"/>
      <c r="M206" s="35">
        <f t="shared" si="183"/>
        <v>38400000</v>
      </c>
      <c r="O206" s="38">
        <f>SUM(C206:E206)+0.65*F206</f>
        <v>26285520</v>
      </c>
      <c r="P206" s="25">
        <f>SUM(F206:K206)*0.35</f>
        <v>12114480</v>
      </c>
      <c r="Q206" s="25">
        <f>SUM(H206:L206)*0.65</f>
        <v>0</v>
      </c>
      <c r="R206" s="35"/>
      <c r="S206" s="22">
        <f t="shared" ref="S206:S209" si="184">SUM(O206:R206)-M206</f>
        <v>0</v>
      </c>
    </row>
    <row r="207" spans="1:19" ht="13.95" hidden="1" customHeight="1" outlineLevel="1">
      <c r="A207" s="5" t="s">
        <v>108</v>
      </c>
      <c r="B207" s="24" t="s">
        <v>107</v>
      </c>
      <c r="C207" s="25"/>
      <c r="D207" s="25"/>
      <c r="E207" s="25">
        <f>ROUND('Vstupy cost'!$C$188*1.2,-3)</f>
        <v>138000</v>
      </c>
      <c r="F207" s="25">
        <f>ROUND('Vstupy cost'!$C$188*1.2,-3)</f>
        <v>138000</v>
      </c>
      <c r="G207" s="25"/>
      <c r="H207" s="25"/>
      <c r="I207" s="25"/>
      <c r="J207" s="25"/>
      <c r="K207" s="25"/>
      <c r="L207" s="25"/>
      <c r="M207" s="35">
        <f t="shared" si="183"/>
        <v>276000</v>
      </c>
      <c r="O207" s="38">
        <f>SUM(C207:E207)+F207*0.65</f>
        <v>227700</v>
      </c>
      <c r="P207" s="25">
        <f>SUM(F207:K207)*0.35</f>
        <v>48300</v>
      </c>
      <c r="Q207" s="25">
        <f>SUM(H207:L207)*0.65</f>
        <v>0</v>
      </c>
      <c r="R207" s="35"/>
      <c r="S207" s="22">
        <f t="shared" si="184"/>
        <v>0</v>
      </c>
    </row>
    <row r="208" spans="1:19" ht="13.95" hidden="1" customHeight="1" outlineLevel="1">
      <c r="A208" s="5" t="s">
        <v>109</v>
      </c>
      <c r="B208" s="24" t="s">
        <v>98</v>
      </c>
      <c r="C208" s="25"/>
      <c r="D208" s="25"/>
      <c r="E208" s="25"/>
      <c r="F208" s="25"/>
      <c r="G208" s="25"/>
      <c r="H208" s="25"/>
      <c r="I208" s="25"/>
      <c r="J208" s="25">
        <f>$E$206*'Vstupy cost'!$B$48</f>
        <v>113616</v>
      </c>
      <c r="K208" s="25">
        <f>SUM($E$206:$F$206)*'Vstupy cost'!$B$48</f>
        <v>1152000</v>
      </c>
      <c r="L208" s="25">
        <f>SUM($E$206:$F$206)*'Vstupy cost'!$B$48</f>
        <v>1152000</v>
      </c>
      <c r="M208" s="35">
        <f t="shared" si="183"/>
        <v>2417616</v>
      </c>
      <c r="O208" s="38">
        <f t="shared" ref="O208" si="185">SUM(C208:F208)</f>
        <v>0</v>
      </c>
      <c r="P208" s="25"/>
      <c r="Q208" s="25">
        <f>SUM(H208:L208)</f>
        <v>2417616</v>
      </c>
      <c r="R208" s="35"/>
      <c r="S208" s="22">
        <f t="shared" si="184"/>
        <v>0</v>
      </c>
    </row>
    <row r="209" spans="1:19" ht="13.95" hidden="1" customHeight="1" outlineLevel="1">
      <c r="A209" s="5" t="s">
        <v>110</v>
      </c>
      <c r="B209" s="24" t="s">
        <v>98</v>
      </c>
      <c r="C209" s="25"/>
      <c r="D209" s="25"/>
      <c r="E209" s="25">
        <f>$E$207*'Vstupy cost'!$B$190</f>
        <v>13800</v>
      </c>
      <c r="F209" s="25">
        <f>SUM($E$207,$F$207)*'Vstupy cost'!$B$190</f>
        <v>27600</v>
      </c>
      <c r="G209" s="25">
        <f>SUM($E$207,$F$207)*'Vstupy cost'!$B$190</f>
        <v>27600</v>
      </c>
      <c r="H209" s="25">
        <f>SUM($E$207,$F$207)*'Vstupy cost'!$B$190</f>
        <v>27600</v>
      </c>
      <c r="I209" s="25">
        <f>SUM($E$207,$F$207)*'Vstupy cost'!$B$190</f>
        <v>27600</v>
      </c>
      <c r="J209" s="25">
        <f>SUM($E$207,$F$207)*'Vstupy cost'!$B$190</f>
        <v>27600</v>
      </c>
      <c r="K209" s="25">
        <f>SUM($E$207,$F$207)*'Vstupy cost'!$B$190</f>
        <v>27600</v>
      </c>
      <c r="L209" s="25">
        <f>SUM($E$207,$F$207)*'Vstupy cost'!$B$190</f>
        <v>27600</v>
      </c>
      <c r="M209" s="35">
        <f t="shared" si="183"/>
        <v>207000</v>
      </c>
      <c r="O209" s="38">
        <f>SUM(C209:G209)</f>
        <v>69000</v>
      </c>
      <c r="P209" s="25"/>
      <c r="Q209" s="25">
        <f>SUM(H209:L209)</f>
        <v>138000</v>
      </c>
      <c r="R209" s="35"/>
      <c r="S209" s="22">
        <f t="shared" si="184"/>
        <v>0</v>
      </c>
    </row>
    <row r="210" spans="1:19" ht="13.95" hidden="1" customHeight="1" outlineLevel="1">
      <c r="A210" s="5" t="s">
        <v>111</v>
      </c>
      <c r="B210" s="24" t="s">
        <v>98</v>
      </c>
      <c r="C210" s="25"/>
      <c r="D210" s="25"/>
      <c r="E210" s="25">
        <f>'Vstupy cost'!$R$11*1.2</f>
        <v>18936</v>
      </c>
      <c r="F210" s="25">
        <f>'Vstupy cost'!$S$11*1.2</f>
        <v>192000</v>
      </c>
      <c r="G210" s="25">
        <f>'Vstupy cost'!$S$11*1.2</f>
        <v>192000</v>
      </c>
      <c r="H210" s="25">
        <f>'Vstupy cost'!$S$11*1.2</f>
        <v>192000</v>
      </c>
      <c r="I210" s="25">
        <f>'Vstupy cost'!$S$11*1.2</f>
        <v>192000</v>
      </c>
      <c r="J210" s="25">
        <f>'Vstupy cost'!$S$11*1.2</f>
        <v>192000</v>
      </c>
      <c r="K210" s="25">
        <f>'Vstupy cost'!$S$11*1.2</f>
        <v>192000</v>
      </c>
      <c r="L210" s="25">
        <f>'Vstupy cost'!$S$11*1.2</f>
        <v>192000</v>
      </c>
      <c r="M210" s="35">
        <f t="shared" si="183"/>
        <v>1362936</v>
      </c>
      <c r="O210" s="38">
        <f>SUM(E210:G210)</f>
        <v>402936</v>
      </c>
      <c r="P210" s="25"/>
      <c r="Q210" s="25">
        <f>SUM(H210:L210)</f>
        <v>960000</v>
      </c>
      <c r="R210" s="35"/>
      <c r="S210" s="22"/>
    </row>
    <row r="211" spans="1:19" ht="13.95" hidden="1" customHeight="1" outlineLevel="1">
      <c r="A211" s="33" t="s">
        <v>112</v>
      </c>
      <c r="B211" s="32"/>
      <c r="C211" s="36">
        <f>SUM(C212:C221)</f>
        <v>0</v>
      </c>
      <c r="D211" s="36">
        <f t="shared" ref="D211:L211" si="186">SUM(D212:D221)</f>
        <v>0</v>
      </c>
      <c r="E211" s="36">
        <f>SUM(E212:E221)</f>
        <v>16863076.704</v>
      </c>
      <c r="F211" s="36">
        <f>SUM(F212:F221)</f>
        <v>27665112.38422</v>
      </c>
      <c r="G211" s="36">
        <f t="shared" si="186"/>
        <v>13191174.006246718</v>
      </c>
      <c r="H211" s="36">
        <f t="shared" si="186"/>
        <v>13191174.006246718</v>
      </c>
      <c r="I211" s="36">
        <f t="shared" si="186"/>
        <v>13191174.006246718</v>
      </c>
      <c r="J211" s="36">
        <f t="shared" si="186"/>
        <v>13191174.006246718</v>
      </c>
      <c r="K211" s="36">
        <f t="shared" si="186"/>
        <v>13191174.006246718</v>
      </c>
      <c r="L211" s="36">
        <f t="shared" si="186"/>
        <v>13191174.006246718</v>
      </c>
      <c r="M211" s="37">
        <f t="shared" si="183"/>
        <v>123675233.12570029</v>
      </c>
      <c r="O211" s="38"/>
      <c r="P211" s="25"/>
      <c r="Q211" s="25"/>
      <c r="R211" s="35"/>
      <c r="S211" s="22"/>
    </row>
    <row r="212" spans="1:19" s="10" customFormat="1" ht="13.95" hidden="1" customHeight="1" outlineLevel="1">
      <c r="A212" s="5" t="s">
        <v>113</v>
      </c>
      <c r="B212" s="24" t="s">
        <v>107</v>
      </c>
      <c r="C212" s="25"/>
      <c r="D212" s="25"/>
      <c r="E212" s="25">
        <f>'Vstupy cost'!O11*1.2</f>
        <v>600000</v>
      </c>
      <c r="F212" s="25"/>
      <c r="H212" s="25"/>
      <c r="I212" s="25"/>
      <c r="J212" s="25"/>
      <c r="K212" s="25"/>
      <c r="L212" s="25"/>
      <c r="M212" s="35">
        <f t="shared" si="183"/>
        <v>600000</v>
      </c>
      <c r="O212" s="38">
        <f>E212</f>
        <v>600000</v>
      </c>
      <c r="P212" s="25"/>
      <c r="Q212" s="25"/>
      <c r="R212" s="35"/>
      <c r="S212" s="22">
        <f t="shared" ref="S212:S213" si="187">SUM(O212:R212)-M212</f>
        <v>0</v>
      </c>
    </row>
    <row r="213" spans="1:19" s="10" customFormat="1" ht="13.95" hidden="1" customHeight="1" outlineLevel="1">
      <c r="A213" s="5" t="s">
        <v>114</v>
      </c>
      <c r="B213" s="24" t="s">
        <v>98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35">
        <f t="shared" ref="M213" si="188">SUM(C213:L213)</f>
        <v>0</v>
      </c>
      <c r="O213" s="38">
        <f>SUM(F213:G213)*0.65</f>
        <v>0</v>
      </c>
      <c r="P213" s="25">
        <f>SUM(F213:J213)*0.35</f>
        <v>0</v>
      </c>
      <c r="Q213" s="25">
        <f>SUM(H213:J213)*0.65+SUM(K213:L213)</f>
        <v>0</v>
      </c>
      <c r="R213" s="35"/>
      <c r="S213" s="22">
        <f t="shared" si="187"/>
        <v>0</v>
      </c>
    </row>
    <row r="214" spans="1:19" ht="13.95" hidden="1" customHeight="1" outlineLevel="1">
      <c r="A214" s="5" t="s">
        <v>115</v>
      </c>
      <c r="B214" s="24" t="s">
        <v>107</v>
      </c>
      <c r="C214" s="25"/>
      <c r="D214" s="25"/>
      <c r="E214" s="25">
        <f>SUM('Vstupy cost'!$B$67,'Vstupy cost'!$B$63,'Vstupy cost'!$B$64/2)*1.2</f>
        <v>14040000</v>
      </c>
      <c r="F214" s="25">
        <f>SUM('Vstupy cost'!$B$64/2,'Vstupy cost'!$B$66)*1.2</f>
        <v>13200000</v>
      </c>
      <c r="G214" s="25"/>
      <c r="H214" s="25"/>
      <c r="I214" s="25"/>
      <c r="J214" s="25"/>
      <c r="K214" s="25"/>
      <c r="L214" s="25"/>
      <c r="M214" s="35">
        <f t="shared" si="183"/>
        <v>27240000</v>
      </c>
      <c r="O214" s="38">
        <f>SUM(C214:F214)</f>
        <v>27240000</v>
      </c>
      <c r="P214" s="25">
        <f>SUM(H214:K214)*0.35</f>
        <v>0</v>
      </c>
      <c r="Q214" s="25">
        <f>SUM(H214:K214)*0.65+L214</f>
        <v>0</v>
      </c>
      <c r="R214" s="35"/>
      <c r="S214" s="22">
        <f t="shared" ref="S214" si="189">SUM(O214:R214)-M214</f>
        <v>0</v>
      </c>
    </row>
    <row r="215" spans="1:19" ht="13.95" hidden="1" customHeight="1" outlineLevel="1">
      <c r="A215" s="5" t="s">
        <v>116</v>
      </c>
      <c r="B215" s="24" t="s">
        <v>107</v>
      </c>
      <c r="C215" s="80"/>
      <c r="D215" s="25"/>
      <c r="E215" s="25"/>
      <c r="F215" s="25"/>
      <c r="G215" s="25"/>
      <c r="H215" s="25"/>
      <c r="I215" s="25"/>
      <c r="J215" s="25"/>
      <c r="K215" s="25"/>
      <c r="L215" s="25"/>
      <c r="M215" s="35">
        <f t="shared" si="183"/>
        <v>0</v>
      </c>
      <c r="O215" s="38">
        <f t="shared" ref="O215:O216" si="190">SUM(C215:F215)</f>
        <v>0</v>
      </c>
      <c r="P215" s="25"/>
      <c r="Q215" s="25"/>
      <c r="R215" s="35"/>
      <c r="S215" s="22">
        <f t="shared" ref="S215:S216" si="191">SUM(O215:R215)-M215</f>
        <v>0</v>
      </c>
    </row>
    <row r="216" spans="1:19" ht="13.95" hidden="1" customHeight="1" outlineLevel="1">
      <c r="A216" s="5" t="s">
        <v>117</v>
      </c>
      <c r="B216" s="24" t="s">
        <v>107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35">
        <f t="shared" si="183"/>
        <v>0</v>
      </c>
      <c r="O216" s="38">
        <f t="shared" si="190"/>
        <v>0</v>
      </c>
      <c r="P216" s="25"/>
      <c r="Q216" s="25"/>
      <c r="R216" s="35"/>
      <c r="S216" s="22">
        <f t="shared" si="191"/>
        <v>0</v>
      </c>
    </row>
    <row r="217" spans="1:19" ht="13.95" hidden="1" customHeight="1" outlineLevel="1">
      <c r="A217" s="5" t="s">
        <v>118</v>
      </c>
      <c r="B217" s="24" t="s">
        <v>107</v>
      </c>
      <c r="C217" s="80"/>
      <c r="D217" s="25"/>
      <c r="E217" s="25">
        <f>'Vstupy cost'!$K$11*1.2</f>
        <v>600000</v>
      </c>
      <c r="F217" s="25">
        <f>'Vstupy cost'!$L$11*1.2</f>
        <v>7800000</v>
      </c>
      <c r="G217" s="25"/>
      <c r="H217" s="25"/>
      <c r="I217" s="25"/>
      <c r="J217" s="25"/>
      <c r="K217" s="25"/>
      <c r="L217" s="25"/>
      <c r="M217" s="35">
        <f t="shared" si="183"/>
        <v>8400000</v>
      </c>
      <c r="O217" s="38">
        <f>SUM(C217:E217)+F217*0.65</f>
        <v>5670000</v>
      </c>
      <c r="P217" s="25">
        <f>SUM(F217:L217)*0.35</f>
        <v>2730000</v>
      </c>
      <c r="Q217" s="25">
        <f>SUM(H217:L217)*0.65</f>
        <v>0</v>
      </c>
      <c r="R217" s="35"/>
      <c r="S217" s="22">
        <f t="shared" ref="S217:S221" si="192">SUM(O217:R217)-M217</f>
        <v>0</v>
      </c>
    </row>
    <row r="218" spans="1:19" ht="13.95" hidden="1" customHeight="1" outlineLevel="1">
      <c r="A218" s="5" t="s">
        <v>119</v>
      </c>
      <c r="B218" s="24" t="s">
        <v>98</v>
      </c>
      <c r="C218" s="25"/>
      <c r="D218" s="25"/>
      <c r="E218" s="25">
        <f>'Vstupy cost'!$E$11*'Vstupy cost'!$B$19*1.2*24*365</f>
        <v>732076.70399999991</v>
      </c>
      <c r="F218" s="25">
        <f>SUM('Vstupy cost'!$E$11*'Vstupy cost'!$B$19*1.2*24*365,'Vstupy cost'!$F$11*'Vstupy cost'!$B$19*1.2*24*365/3)</f>
        <v>4894828.7039999999</v>
      </c>
      <c r="G218" s="25">
        <f>'Vstupy cost'!$F$11*'Vstupy cost'!$B$19*1.2*24*365</f>
        <v>12488255.999999998</v>
      </c>
      <c r="H218" s="25">
        <f>'Vstupy cost'!$F$11*'Vstupy cost'!$B$19*1.2*24*365</f>
        <v>12488255.999999998</v>
      </c>
      <c r="I218" s="25">
        <f>'Vstupy cost'!$F$11*'Vstupy cost'!$B$19*1.2*24*365</f>
        <v>12488255.999999998</v>
      </c>
      <c r="J218" s="25">
        <f>'Vstupy cost'!$F$11*'Vstupy cost'!$B$19*1.2*24*365</f>
        <v>12488255.999999998</v>
      </c>
      <c r="K218" s="25">
        <f>'Vstupy cost'!$F$11*'Vstupy cost'!$B$19*1.2*24*365</f>
        <v>12488255.999999998</v>
      </c>
      <c r="L218" s="25">
        <f>'Vstupy cost'!$F$11*'Vstupy cost'!$B$19*1.2*24*365</f>
        <v>12488255.999999998</v>
      </c>
      <c r="M218" s="35">
        <f t="shared" si="183"/>
        <v>80556441.407999992</v>
      </c>
      <c r="O218" s="38">
        <f>SUM(C218:F218)</f>
        <v>5626905.4079999998</v>
      </c>
      <c r="P218" s="25">
        <f>SUM(G218:K218)*0.35</f>
        <v>21854447.999999996</v>
      </c>
      <c r="Q218" s="25">
        <f>SUM(G218:K218)*0.65+L218</f>
        <v>53075088</v>
      </c>
      <c r="R218" s="35"/>
      <c r="S218" s="22">
        <f t="shared" si="192"/>
        <v>0</v>
      </c>
    </row>
    <row r="219" spans="1:19" ht="13.95" hidden="1" customHeight="1" outlineLevel="1">
      <c r="A219" s="5" t="s">
        <v>120</v>
      </c>
      <c r="B219" s="24" t="s">
        <v>107</v>
      </c>
      <c r="C219" s="25"/>
      <c r="D219" s="25"/>
      <c r="F219" s="25">
        <f>'Vstupy cost'!$I$11*1.2</f>
        <v>879283.68021999893</v>
      </c>
      <c r="G219" s="25"/>
      <c r="H219" s="25"/>
      <c r="I219" s="25"/>
      <c r="J219" s="25"/>
      <c r="K219" s="25"/>
      <c r="L219" s="25"/>
      <c r="M219" s="35">
        <f t="shared" si="183"/>
        <v>879283.68021999893</v>
      </c>
      <c r="O219" s="38">
        <f>SUM(C219:G219)</f>
        <v>879283.68021999893</v>
      </c>
      <c r="P219" s="25">
        <f>SUM(H219:L219)*0.35</f>
        <v>0</v>
      </c>
      <c r="Q219" s="25">
        <f>SUM(H219:L219)*0.65</f>
        <v>0</v>
      </c>
      <c r="R219" s="35"/>
      <c r="S219" s="22">
        <f t="shared" si="192"/>
        <v>0</v>
      </c>
    </row>
    <row r="220" spans="1:19" s="10" customFormat="1" ht="13.95" hidden="1" customHeight="1" outlineLevel="1">
      <c r="A220" s="5" t="s">
        <v>121</v>
      </c>
      <c r="B220" s="24" t="s">
        <v>98</v>
      </c>
      <c r="C220" s="86"/>
      <c r="D220" s="41"/>
      <c r="E220" s="41"/>
      <c r="F220" s="41"/>
      <c r="G220" s="41">
        <f>IF($F$219=0,0,-'Vstupy cost'!$H$11*'Vstupy cost'!$B$19*1.2*12)</f>
        <v>-188081.99375327997</v>
      </c>
      <c r="H220" s="41">
        <f>IF($F$219=0,0,-'Vstupy cost'!$H$11*'Vstupy cost'!$B$19*1.2*12)</f>
        <v>-188081.99375327997</v>
      </c>
      <c r="I220" s="41">
        <f>IF($F$219=0,0,-'Vstupy cost'!$H$11*'Vstupy cost'!$B$19*1.2*12)</f>
        <v>-188081.99375327997</v>
      </c>
      <c r="J220" s="41">
        <f>IF($F$219=0,0,-'Vstupy cost'!$H$11*'Vstupy cost'!$B$19*1.2*12)</f>
        <v>-188081.99375327997</v>
      </c>
      <c r="K220" s="41">
        <f>IF($F$219=0,0,-'Vstupy cost'!$H$11*'Vstupy cost'!$B$19*1.2*12)</f>
        <v>-188081.99375327997</v>
      </c>
      <c r="L220" s="41">
        <f>IF($F$219=0,0,-'Vstupy cost'!$H$11*'Vstupy cost'!$B$19*1.2*12)</f>
        <v>-188081.99375327997</v>
      </c>
      <c r="M220" s="42">
        <f t="shared" si="183"/>
        <v>-1128491.9625196799</v>
      </c>
      <c r="O220" s="38">
        <f>SUM(C220:F220)</f>
        <v>0</v>
      </c>
      <c r="P220" s="25"/>
      <c r="Q220" s="25">
        <f>SUM(G220:L220)</f>
        <v>-1128491.9625196799</v>
      </c>
      <c r="R220" s="35"/>
      <c r="S220" s="22">
        <f t="shared" si="192"/>
        <v>0</v>
      </c>
    </row>
    <row r="221" spans="1:19" ht="13.95" hidden="1" customHeight="1" outlineLevel="1">
      <c r="A221" s="5" t="s">
        <v>122</v>
      </c>
      <c r="B221" s="24" t="s">
        <v>98</v>
      </c>
      <c r="C221" s="25"/>
      <c r="D221" s="25"/>
      <c r="E221" s="25">
        <f>'Vstupy cost'!$J$11*1.2</f>
        <v>891000</v>
      </c>
      <c r="F221" s="25">
        <f>'Vstupy cost'!$J$11*1.2</f>
        <v>891000</v>
      </c>
      <c r="G221" s="25">
        <f>'Vstupy cost'!$J$11*1.2</f>
        <v>891000</v>
      </c>
      <c r="H221" s="25">
        <f>'Vstupy cost'!$J$11*1.2</f>
        <v>891000</v>
      </c>
      <c r="I221" s="25">
        <f>'Vstupy cost'!$J$11*1.2</f>
        <v>891000</v>
      </c>
      <c r="J221" s="25">
        <f>'Vstupy cost'!$J$11*1.2</f>
        <v>891000</v>
      </c>
      <c r="K221" s="25">
        <f>'Vstupy cost'!$J$11*1.2</f>
        <v>891000</v>
      </c>
      <c r="L221" s="25">
        <f>'Vstupy cost'!$J$11*1.2</f>
        <v>891000</v>
      </c>
      <c r="M221" s="35">
        <f t="shared" si="183"/>
        <v>7128000</v>
      </c>
      <c r="O221" s="38">
        <f>SUM(C221:F221)</f>
        <v>1782000</v>
      </c>
      <c r="P221" s="25">
        <f>SUM(G221:K221)*0.35</f>
        <v>1559250</v>
      </c>
      <c r="Q221" s="25">
        <f>SUM(G221:K221)*0.65+L221</f>
        <v>3786750</v>
      </c>
      <c r="R221" s="35"/>
      <c r="S221" s="22">
        <f t="shared" si="192"/>
        <v>0</v>
      </c>
    </row>
    <row r="222" spans="1:19" ht="13.95" hidden="1" customHeight="1" outlineLevel="1">
      <c r="A222" s="33" t="s">
        <v>99</v>
      </c>
      <c r="B222" s="32"/>
      <c r="C222" s="36">
        <f>SUM(C223:C226)</f>
        <v>378073.20000000007</v>
      </c>
      <c r="D222" s="36">
        <f t="shared" ref="D222" si="193">SUM(D223:D226)</f>
        <v>1697182.2000000002</v>
      </c>
      <c r="E222" s="36">
        <f t="shared" ref="E222" si="194">SUM(E223:E226)</f>
        <v>2464490.9088000003</v>
      </c>
      <c r="F222" s="36">
        <f t="shared" ref="F222" si="195">SUM(F223:F226)</f>
        <v>4954739.2721280009</v>
      </c>
      <c r="G222" s="36">
        <f t="shared" ref="G222" si="196">SUM(G223:G226)</f>
        <v>5286852.6546777859</v>
      </c>
      <c r="H222" s="36">
        <f t="shared" ref="H222" si="197">SUM(H223:H226)</f>
        <v>5442002.2343181185</v>
      </c>
      <c r="I222" s="36">
        <f t="shared" ref="I222" si="198">SUM(I223:I226)</f>
        <v>5601806.3013476627</v>
      </c>
      <c r="J222" s="36">
        <f t="shared" ref="J222" si="199">SUM(J223:J226)</f>
        <v>5766404.4903880926</v>
      </c>
      <c r="K222" s="36">
        <f t="shared" ref="K222" si="200">SUM(K223:K226)</f>
        <v>5935940.6250997353</v>
      </c>
      <c r="L222" s="36">
        <f t="shared" ref="L222" si="201">SUM(L223:L226)</f>
        <v>6110562.8438527277</v>
      </c>
      <c r="M222" s="37">
        <f t="shared" si="183"/>
        <v>43638054.730612122</v>
      </c>
      <c r="O222" s="38"/>
      <c r="P222" s="25"/>
      <c r="Q222" s="25"/>
      <c r="R222" s="35"/>
      <c r="S222" s="22"/>
    </row>
    <row r="223" spans="1:19" ht="13.95" hidden="1" customHeight="1" outlineLevel="1">
      <c r="A223" s="5" t="s">
        <v>100</v>
      </c>
      <c r="B223" s="24" t="s">
        <v>98</v>
      </c>
      <c r="C223" s="25"/>
      <c r="D223" s="25">
        <f>'Vstupy cost'!$B$97*'Vstupy cost'!$B$98*1.2*12</f>
        <v>115200</v>
      </c>
      <c r="E223" s="25">
        <f>'Vstupy cost'!$B$97*'Vstupy cost'!$B$98*1.2*12</f>
        <v>115200</v>
      </c>
      <c r="F223" s="25">
        <f>'Vstupy cost'!$B$97*'Vstupy cost'!$B$98*1.2*12</f>
        <v>115200</v>
      </c>
      <c r="G223" s="25">
        <f>'Vstupy cost'!$B$97*'Vstupy cost'!$B$98*1.2*12</f>
        <v>115200</v>
      </c>
      <c r="H223" s="25">
        <f>'Vstupy cost'!$B$97*'Vstupy cost'!$B$98*1.2*12</f>
        <v>115200</v>
      </c>
      <c r="I223" s="25">
        <f>'Vstupy cost'!$B$97*'Vstupy cost'!$B$98*1.2*12</f>
        <v>115200</v>
      </c>
      <c r="J223" s="25">
        <f>'Vstupy cost'!$B$97*'Vstupy cost'!$B$98*1.2*12</f>
        <v>115200</v>
      </c>
      <c r="K223" s="25">
        <f>'Vstupy cost'!$B$97*'Vstupy cost'!$B$98*1.2*12</f>
        <v>115200</v>
      </c>
      <c r="L223" s="25">
        <f>'Vstupy cost'!$B$97*'Vstupy cost'!$B$98*1.2*12</f>
        <v>115200</v>
      </c>
      <c r="M223" s="35">
        <f t="shared" si="183"/>
        <v>1036800</v>
      </c>
      <c r="O223" s="38">
        <f>SUM(C223:F223)+G223*0.5</f>
        <v>403200</v>
      </c>
      <c r="P223" s="25"/>
      <c r="Q223" s="25">
        <f>SUM(H223:L223)+G223*0.5</f>
        <v>633600</v>
      </c>
      <c r="R223" s="35"/>
      <c r="S223" s="22">
        <f t="shared" ref="S223" si="202">SUM(O223:R223)-M223</f>
        <v>0</v>
      </c>
    </row>
    <row r="224" spans="1:19" ht="13.95" hidden="1" customHeight="1" outlineLevel="1">
      <c r="A224" s="5" t="s">
        <v>101</v>
      </c>
      <c r="B224" s="24" t="s">
        <v>98</v>
      </c>
      <c r="C224" s="25">
        <f>'Vstupy cost'!B92*'Vstupy cost'!B85*12*1.398</f>
        <v>221443.20000000004</v>
      </c>
      <c r="D224" s="25">
        <f>'Vstupy cost'!C92*'Vstupy cost'!C85*12*1.398</f>
        <v>570216.24000000011</v>
      </c>
      <c r="E224" s="25">
        <f>'Vstupy cost'!D92*'Vstupy cost'!D85*12*1.398</f>
        <v>880984.09080000012</v>
      </c>
      <c r="F224" s="25">
        <f>'Vstupy cost'!E92*'Vstupy cost'!E85*12*1.398</f>
        <v>1512356.0225400003</v>
      </c>
      <c r="G224" s="25">
        <f>'Vstupy cost'!F92*'Vstupy cost'!F85*12*1.398</f>
        <v>1744653.9076021444</v>
      </c>
      <c r="H224" s="25">
        <f>'Vstupy cost'!G92*'Vstupy cost'!G85*12*1.398</f>
        <v>1796993.5248302089</v>
      </c>
      <c r="I224" s="25">
        <f>'Vstupy cost'!H92*'Vstupy cost'!H85*12*1.398</f>
        <v>1850903.3305751148</v>
      </c>
      <c r="J224" s="25">
        <f>'Vstupy cost'!I92*'Vstupy cost'!I85*12*1.398</f>
        <v>1906430.4304923685</v>
      </c>
      <c r="K224" s="25">
        <f>'Vstupy cost'!J92*'Vstupy cost'!J85*12*1.398</f>
        <v>1963623.3434071396</v>
      </c>
      <c r="L224" s="25">
        <f>'Vstupy cost'!K92*'Vstupy cost'!K85*12*1.398</f>
        <v>2022532.0437093535</v>
      </c>
      <c r="M224" s="35">
        <f t="shared" si="183"/>
        <v>14470136.133956328</v>
      </c>
      <c r="O224" s="38">
        <f>SUM(C224:F224)</f>
        <v>3184999.5533400006</v>
      </c>
      <c r="P224" s="25">
        <f t="shared" ref="P224:P225" si="203">SUM(G224:K224)*0.35</f>
        <v>3241911.5879174415</v>
      </c>
      <c r="Q224" s="25">
        <f t="shared" ref="Q224:Q225" si="204">SUM(G224:K224)*0.65+L224</f>
        <v>8043224.9926988883</v>
      </c>
      <c r="R224" s="35"/>
      <c r="S224" s="22">
        <f>SUM(O224:R224)-M224</f>
        <v>0</v>
      </c>
    </row>
    <row r="225" spans="1:19" ht="13.95" hidden="1" customHeight="1" outlineLevel="1">
      <c r="A225" s="5" t="s">
        <v>102</v>
      </c>
      <c r="B225" s="24" t="s">
        <v>98</v>
      </c>
      <c r="C225" s="25">
        <f>'Vstupy cost'!B93*'Vstupy cost'!B85*12*1.398</f>
        <v>0</v>
      </c>
      <c r="D225" s="25">
        <f>'Vstupy cost'!C93*'Vstupy cost'!C85*12*1.398</f>
        <v>855324.3600000001</v>
      </c>
      <c r="E225" s="25">
        <f>'Vstupy cost'!D93*'Vstupy cost'!D85*12*1.398</f>
        <v>1468306.8180000002</v>
      </c>
      <c r="F225" s="25">
        <f>'Vstupy cost'!E93*'Vstupy cost'!E85*12*1.398</f>
        <v>3327183.2495880006</v>
      </c>
      <c r="G225" s="25">
        <f>'Vstupy cost'!F93*'Vstupy cost'!F85*12*1.398</f>
        <v>3426998.7470756411</v>
      </c>
      <c r="H225" s="25">
        <f>'Vstupy cost'!G93*'Vstupy cost'!G85*12*1.398</f>
        <v>3529808.7094879099</v>
      </c>
      <c r="I225" s="25">
        <f>'Vstupy cost'!H93*'Vstupy cost'!H85*12*1.398</f>
        <v>3635702.9707725476</v>
      </c>
      <c r="J225" s="25">
        <f>'Vstupy cost'!I93*'Vstupy cost'!I85*12*1.398</f>
        <v>3744774.0598957241</v>
      </c>
      <c r="K225" s="25">
        <f>'Vstupy cost'!J93*'Vstupy cost'!J85*12*1.398</f>
        <v>3857117.2816925952</v>
      </c>
      <c r="L225" s="25">
        <f>'Vstupy cost'!K93*'Vstupy cost'!K85*12*1.398</f>
        <v>3972830.8001433741</v>
      </c>
      <c r="M225" s="35">
        <f t="shared" si="183"/>
        <v>27818046.996655792</v>
      </c>
      <c r="O225" s="38">
        <f>SUM(C225:F225)-1000000</f>
        <v>4650814.4275880009</v>
      </c>
      <c r="P225" s="25">
        <f t="shared" si="203"/>
        <v>6368040.6191235464</v>
      </c>
      <c r="Q225" s="25">
        <f t="shared" si="204"/>
        <v>15799191.949944247</v>
      </c>
      <c r="R225" s="35">
        <v>1000000</v>
      </c>
      <c r="S225" s="22">
        <f t="shared" ref="S225:S226" si="205">SUM(O225:R225)-M225</f>
        <v>0</v>
      </c>
    </row>
    <row r="226" spans="1:19" ht="13.95" hidden="1" customHeight="1" outlineLevel="1">
      <c r="A226" s="5" t="s">
        <v>103</v>
      </c>
      <c r="B226" s="24" t="s">
        <v>98</v>
      </c>
      <c r="C226" s="25">
        <f>'Vstupy cost'!$B$117*1.2+'Vstupy cost'!$B$119*1.39</f>
        <v>156630</v>
      </c>
      <c r="D226" s="25">
        <f>'Vstupy cost'!$B$118*1.2</f>
        <v>156441.60000000001</v>
      </c>
      <c r="E226" s="25"/>
      <c r="F226" s="25"/>
      <c r="G226" s="25"/>
      <c r="H226" s="25"/>
      <c r="I226" s="25"/>
      <c r="J226" s="25"/>
      <c r="K226" s="25"/>
      <c r="L226" s="25"/>
      <c r="M226" s="35">
        <f t="shared" si="183"/>
        <v>313071.59999999998</v>
      </c>
      <c r="O226" s="38">
        <f t="shared" ref="O226" si="206">SUM(C226:G226)</f>
        <v>313071.59999999998</v>
      </c>
      <c r="P226" s="25"/>
      <c r="Q226" s="25">
        <f t="shared" ref="Q226" si="207">SUM(H226:L226)</f>
        <v>0</v>
      </c>
      <c r="R226" s="35"/>
      <c r="S226" s="22">
        <f t="shared" si="205"/>
        <v>0</v>
      </c>
    </row>
    <row r="227" spans="1:19" ht="13.95" hidden="1" customHeight="1" outlineLevel="1">
      <c r="A227" s="33" t="s">
        <v>80</v>
      </c>
      <c r="B227" s="32"/>
      <c r="C227" s="36">
        <f t="shared" ref="C227:L227" si="208">SUM(C228:C228)</f>
        <v>0</v>
      </c>
      <c r="D227" s="36">
        <f t="shared" si="208"/>
        <v>253000</v>
      </c>
      <c r="E227" s="36">
        <f t="shared" si="208"/>
        <v>455000</v>
      </c>
      <c r="F227" s="36">
        <f t="shared" si="208"/>
        <v>750000</v>
      </c>
      <c r="G227" s="36">
        <f t="shared" si="208"/>
        <v>990000</v>
      </c>
      <c r="H227" s="36">
        <f t="shared" si="208"/>
        <v>990000</v>
      </c>
      <c r="I227" s="36">
        <f t="shared" si="208"/>
        <v>990000</v>
      </c>
      <c r="J227" s="36">
        <f t="shared" si="208"/>
        <v>990000</v>
      </c>
      <c r="K227" s="36">
        <f t="shared" si="208"/>
        <v>990000</v>
      </c>
      <c r="L227" s="36">
        <f t="shared" si="208"/>
        <v>990000</v>
      </c>
      <c r="M227" s="37">
        <f t="shared" si="183"/>
        <v>7398000</v>
      </c>
      <c r="O227" s="38"/>
      <c r="P227" s="25"/>
      <c r="Q227" s="25"/>
      <c r="R227" s="35"/>
      <c r="S227" s="22"/>
    </row>
    <row r="228" spans="1:19" ht="13.95" hidden="1" customHeight="1" outlineLevel="1" thickBot="1">
      <c r="A228" s="9" t="s">
        <v>104</v>
      </c>
      <c r="B228" s="39"/>
      <c r="C228" s="39">
        <f>'Vstupy cost'!$B$113</f>
        <v>0</v>
      </c>
      <c r="D228" s="39">
        <f>'Vstupy cost'!$C$113</f>
        <v>253000</v>
      </c>
      <c r="E228" s="39">
        <f>'Vstupy cost'!$D$113</f>
        <v>455000</v>
      </c>
      <c r="F228" s="39">
        <f>'Vstupy cost'!$E$113</f>
        <v>750000</v>
      </c>
      <c r="G228" s="39">
        <f>'Vstupy cost'!$F$113</f>
        <v>990000</v>
      </c>
      <c r="H228" s="39">
        <f>'Vstupy cost'!$G$113</f>
        <v>990000</v>
      </c>
      <c r="I228" s="39">
        <f>'Vstupy cost'!$H$113</f>
        <v>990000</v>
      </c>
      <c r="J228" s="39">
        <f>'Vstupy cost'!$I$113</f>
        <v>990000</v>
      </c>
      <c r="K228" s="39">
        <f>'Vstupy cost'!$J$113</f>
        <v>990000</v>
      </c>
      <c r="L228" s="39">
        <f>'Vstupy cost'!$K$113</f>
        <v>990000</v>
      </c>
      <c r="M228" s="40">
        <f t="shared" ref="M228" si="209">SUM(C228:L228)</f>
        <v>7398000</v>
      </c>
      <c r="O228" s="188">
        <f>SUM(C228:F228)</f>
        <v>1458000</v>
      </c>
      <c r="P228" s="39"/>
      <c r="Q228" s="39">
        <v>3000000</v>
      </c>
      <c r="R228" s="40">
        <f>SUM(G228:L228)-Q228</f>
        <v>2940000</v>
      </c>
      <c r="S228" s="22">
        <f t="shared" ref="S228" si="210">SUM(O228:R228)-M228</f>
        <v>0</v>
      </c>
    </row>
    <row r="229" spans="1:19" ht="13.95" hidden="1" customHeight="1" outlineLevel="1">
      <c r="S229" s="22"/>
    </row>
    <row r="230" spans="1:19" s="10" customFormat="1" ht="13.95" hidden="1" customHeight="1" collapsed="1">
      <c r="A230" s="1" t="s">
        <v>23</v>
      </c>
      <c r="B230" s="2"/>
      <c r="C230" s="125">
        <f>SUM(C232,C238,C249,C254)</f>
        <v>267351.60000000003</v>
      </c>
      <c r="D230" s="125">
        <f t="shared" ref="D230:L230" si="211">SUM(D232,D238,D249,D254)</f>
        <v>1551030.8320000004</v>
      </c>
      <c r="E230" s="125">
        <f t="shared" si="211"/>
        <v>2757180.9089600001</v>
      </c>
      <c r="F230" s="125">
        <f t="shared" si="211"/>
        <v>56781429.0404488</v>
      </c>
      <c r="G230" s="125">
        <f t="shared" si="211"/>
        <v>4859128.3045623843</v>
      </c>
      <c r="H230" s="125">
        <f t="shared" si="211"/>
        <v>4892775.201351854</v>
      </c>
      <c r="I230" s="125">
        <f t="shared" si="211"/>
        <v>4927431.5050450079</v>
      </c>
      <c r="J230" s="125">
        <f t="shared" si="211"/>
        <v>4963127.4978489568</v>
      </c>
      <c r="K230" s="125">
        <f t="shared" si="211"/>
        <v>5841394.3704370242</v>
      </c>
      <c r="L230" s="125">
        <f t="shared" si="211"/>
        <v>5879264.2492027339</v>
      </c>
      <c r="M230" s="126">
        <f>SUM(C230:L230)</f>
        <v>92720113.509856761</v>
      </c>
      <c r="O230" s="128">
        <f>SUM(O232:O255)</f>
        <v>50716642.381408803</v>
      </c>
      <c r="P230" s="129">
        <f>SUM(P232:P255)</f>
        <v>16591930.89680407</v>
      </c>
      <c r="Q230" s="129">
        <f>SUM(Q232:Q255)</f>
        <v>21471540.231643893</v>
      </c>
      <c r="R230" s="130">
        <f>SUM(R232:R255)</f>
        <v>3940000</v>
      </c>
      <c r="S230" s="22">
        <f t="shared" ref="S230" si="212">SUM(O230:R230)-M230</f>
        <v>0</v>
      </c>
    </row>
    <row r="231" spans="1:19" s="10" customFormat="1" ht="13.95" hidden="1" customHeight="1" outlineLevel="1">
      <c r="A231" s="6"/>
      <c r="B231" s="4" t="s">
        <v>83</v>
      </c>
      <c r="C231" s="4" t="s">
        <v>84</v>
      </c>
      <c r="D231" s="4" t="s">
        <v>85</v>
      </c>
      <c r="E231" s="4" t="s">
        <v>86</v>
      </c>
      <c r="F231" s="4" t="s">
        <v>87</v>
      </c>
      <c r="G231" s="4" t="s">
        <v>88</v>
      </c>
      <c r="H231" s="4" t="s">
        <v>89</v>
      </c>
      <c r="I231" s="4" t="s">
        <v>90</v>
      </c>
      <c r="J231" s="4" t="s">
        <v>91</v>
      </c>
      <c r="K231" s="4" t="s">
        <v>92</v>
      </c>
      <c r="L231" s="4" t="s">
        <v>93</v>
      </c>
      <c r="M231" s="34" t="s">
        <v>11</v>
      </c>
      <c r="O231" s="27" t="s">
        <v>94</v>
      </c>
      <c r="P231" s="4" t="s">
        <v>95</v>
      </c>
      <c r="Q231" s="4" t="s">
        <v>96</v>
      </c>
      <c r="R231" s="28" t="s">
        <v>97</v>
      </c>
    </row>
    <row r="232" spans="1:19" ht="13.95" hidden="1" customHeight="1" outlineLevel="1">
      <c r="A232" s="33" t="s">
        <v>105</v>
      </c>
      <c r="B232" s="32"/>
      <c r="C232" s="36">
        <f>SUM(C233:C237)</f>
        <v>0</v>
      </c>
      <c r="D232" s="36">
        <f t="shared" ref="D232:L232" si="213">SUM(D233:D237)</f>
        <v>0</v>
      </c>
      <c r="E232" s="36">
        <f t="shared" si="213"/>
        <v>151800</v>
      </c>
      <c r="F232" s="36">
        <f t="shared" si="213"/>
        <v>28355850</v>
      </c>
      <c r="G232" s="36">
        <f t="shared" si="213"/>
        <v>167850</v>
      </c>
      <c r="H232" s="36">
        <f t="shared" si="213"/>
        <v>167850</v>
      </c>
      <c r="I232" s="36">
        <f t="shared" si="213"/>
        <v>167850</v>
      </c>
      <c r="J232" s="36">
        <f t="shared" si="213"/>
        <v>167850</v>
      </c>
      <c r="K232" s="36">
        <f t="shared" si="213"/>
        <v>1009350</v>
      </c>
      <c r="L232" s="36">
        <f t="shared" si="213"/>
        <v>1009350</v>
      </c>
      <c r="M232" s="37">
        <f t="shared" ref="M232:M254" si="214">SUM(C232:L232)</f>
        <v>31197750</v>
      </c>
      <c r="O232" s="38"/>
      <c r="P232" s="25"/>
      <c r="Q232" s="25"/>
      <c r="R232" s="149"/>
      <c r="S232" s="22"/>
    </row>
    <row r="233" spans="1:19" ht="13.95" hidden="1" customHeight="1" outlineLevel="1">
      <c r="A233" s="5" t="s">
        <v>106</v>
      </c>
      <c r="B233" s="24" t="s">
        <v>107</v>
      </c>
      <c r="C233" s="25"/>
      <c r="D233" s="25"/>
      <c r="E233" s="25">
        <f>'Vstupy cost'!$M$12*1.2</f>
        <v>0</v>
      </c>
      <c r="F233" s="25">
        <f>'Vstupy cost'!$N$12*1.2</f>
        <v>28050000</v>
      </c>
      <c r="G233" s="25"/>
      <c r="H233" s="25"/>
      <c r="I233" s="25"/>
      <c r="J233" s="25"/>
      <c r="K233" s="25"/>
      <c r="L233" s="25"/>
      <c r="M233" s="35">
        <f t="shared" si="214"/>
        <v>28050000</v>
      </c>
      <c r="O233" s="38">
        <f>SUM(C233:E233)+0.65*F233</f>
        <v>18232500</v>
      </c>
      <c r="P233" s="25">
        <f>SUM(F233:K233)*0.35</f>
        <v>9817500</v>
      </c>
      <c r="Q233" s="25">
        <f>SUM(H233:L233)*0.65</f>
        <v>0</v>
      </c>
      <c r="R233" s="35"/>
      <c r="S233" s="22">
        <f t="shared" ref="S233:S236" si="215">SUM(O233:R233)-M233</f>
        <v>0</v>
      </c>
    </row>
    <row r="234" spans="1:19" ht="13.95" hidden="1" customHeight="1" outlineLevel="1">
      <c r="A234" s="5" t="s">
        <v>108</v>
      </c>
      <c r="B234" s="24" t="s">
        <v>107</v>
      </c>
      <c r="C234" s="25"/>
      <c r="D234" s="25"/>
      <c r="E234" s="25">
        <f>ROUND('Vstupy cost'!$C$188*1.2,-3)</f>
        <v>138000</v>
      </c>
      <c r="F234" s="25">
        <f>ROUND('Vstupy cost'!$C$188*1.2,-3)</f>
        <v>138000</v>
      </c>
      <c r="G234" s="25"/>
      <c r="H234" s="25"/>
      <c r="I234" s="25"/>
      <c r="J234" s="25"/>
      <c r="K234" s="25"/>
      <c r="L234" s="25"/>
      <c r="M234" s="35">
        <f t="shared" si="214"/>
        <v>276000</v>
      </c>
      <c r="O234" s="38">
        <f>SUM(C234:E234)+F234*0.65</f>
        <v>227700</v>
      </c>
      <c r="P234" s="25">
        <f>SUM(F234:K234)*0.35</f>
        <v>48300</v>
      </c>
      <c r="Q234" s="25">
        <f>SUM(H234:L234)*0.65</f>
        <v>0</v>
      </c>
      <c r="R234" s="35"/>
      <c r="S234" s="22">
        <f t="shared" si="215"/>
        <v>0</v>
      </c>
    </row>
    <row r="235" spans="1:19" ht="13.95" hidden="1" customHeight="1" outlineLevel="1">
      <c r="A235" s="5" t="s">
        <v>109</v>
      </c>
      <c r="B235" s="24" t="s">
        <v>98</v>
      </c>
      <c r="C235" s="25"/>
      <c r="D235" s="25"/>
      <c r="E235" s="25"/>
      <c r="F235" s="25"/>
      <c r="G235" s="25"/>
      <c r="H235" s="25"/>
      <c r="I235" s="25"/>
      <c r="J235" s="25">
        <f>$E$233*'Vstupy cost'!$B$48</f>
        <v>0</v>
      </c>
      <c r="K235" s="25">
        <f>SUM($E$233:$F$233)*'Vstupy cost'!$B$48</f>
        <v>841500</v>
      </c>
      <c r="L235" s="25">
        <f>SUM($E$233:$F$233)*'Vstupy cost'!$B$48</f>
        <v>841500</v>
      </c>
      <c r="M235" s="35">
        <f t="shared" si="214"/>
        <v>1683000</v>
      </c>
      <c r="O235" s="38">
        <f t="shared" ref="O235" si="216">SUM(C235:F235)</f>
        <v>0</v>
      </c>
      <c r="P235" s="25"/>
      <c r="Q235" s="25">
        <f>SUM(H235:L235)</f>
        <v>1683000</v>
      </c>
      <c r="R235" s="35"/>
      <c r="S235" s="22">
        <f t="shared" si="215"/>
        <v>0</v>
      </c>
    </row>
    <row r="236" spans="1:19" ht="13.95" hidden="1" customHeight="1" outlineLevel="1">
      <c r="A236" s="5" t="s">
        <v>110</v>
      </c>
      <c r="B236" s="24" t="s">
        <v>98</v>
      </c>
      <c r="C236" s="25"/>
      <c r="D236" s="25"/>
      <c r="E236" s="25">
        <f>$E$234*'Vstupy cost'!$B$190</f>
        <v>13800</v>
      </c>
      <c r="F236" s="25">
        <f>SUM($E$234,$F$234)*'Vstupy cost'!$B$190</f>
        <v>27600</v>
      </c>
      <c r="G236" s="25">
        <f>SUM($E$234,$F$234)*'Vstupy cost'!$B$190</f>
        <v>27600</v>
      </c>
      <c r="H236" s="25">
        <f>SUM($E$234,$F$234)*'Vstupy cost'!$B$190</f>
        <v>27600</v>
      </c>
      <c r="I236" s="25">
        <f>SUM($E$234,$F$234)*'Vstupy cost'!$B$190</f>
        <v>27600</v>
      </c>
      <c r="J236" s="25">
        <f>SUM($E$234,$F$234)*'Vstupy cost'!$B$190</f>
        <v>27600</v>
      </c>
      <c r="K236" s="25">
        <f>SUM($E$234,$F$234)*'Vstupy cost'!$B$190</f>
        <v>27600</v>
      </c>
      <c r="L236" s="25">
        <f>SUM($E$234,$F$234)*'Vstupy cost'!$B$190</f>
        <v>27600</v>
      </c>
      <c r="M236" s="35">
        <f t="shared" si="214"/>
        <v>207000</v>
      </c>
      <c r="O236" s="38">
        <f>SUM(C236:G236)</f>
        <v>69000</v>
      </c>
      <c r="P236" s="25"/>
      <c r="Q236" s="25">
        <f>SUM(H236:L236)</f>
        <v>138000</v>
      </c>
      <c r="R236" s="35"/>
      <c r="S236" s="22">
        <f t="shared" si="215"/>
        <v>0</v>
      </c>
    </row>
    <row r="237" spans="1:19" ht="13.95" hidden="1" customHeight="1" outlineLevel="1">
      <c r="A237" s="5" t="s">
        <v>111</v>
      </c>
      <c r="B237" s="24" t="s">
        <v>98</v>
      </c>
      <c r="C237" s="25"/>
      <c r="D237" s="25"/>
      <c r="E237" s="25">
        <f>'Vstupy cost'!$R$12*1.2</f>
        <v>0</v>
      </c>
      <c r="F237" s="25">
        <f>'Vstupy cost'!$S$12*1.2</f>
        <v>140250</v>
      </c>
      <c r="G237" s="25">
        <f>'Vstupy cost'!$S$12*1.2</f>
        <v>140250</v>
      </c>
      <c r="H237" s="25">
        <f>'Vstupy cost'!$S$12*1.2</f>
        <v>140250</v>
      </c>
      <c r="I237" s="25">
        <f>'Vstupy cost'!$S$12*1.2</f>
        <v>140250</v>
      </c>
      <c r="J237" s="25">
        <f>'Vstupy cost'!$S$12*1.2</f>
        <v>140250</v>
      </c>
      <c r="K237" s="25">
        <f>'Vstupy cost'!$S$12*1.2</f>
        <v>140250</v>
      </c>
      <c r="L237" s="25">
        <f>'Vstupy cost'!$S$12*1.2</f>
        <v>140250</v>
      </c>
      <c r="M237" s="35">
        <f t="shared" si="214"/>
        <v>981750</v>
      </c>
      <c r="O237" s="38">
        <f>SUM(E237:G237)</f>
        <v>280500</v>
      </c>
      <c r="P237" s="25"/>
      <c r="Q237" s="25">
        <f>SUM(H237:L237)</f>
        <v>701250</v>
      </c>
      <c r="R237" s="35"/>
      <c r="S237" s="22"/>
    </row>
    <row r="238" spans="1:19" ht="13.95" hidden="1" customHeight="1" outlineLevel="1">
      <c r="A238" s="33" t="s">
        <v>112</v>
      </c>
      <c r="B238" s="32"/>
      <c r="C238" s="36">
        <f>SUM(C239:C248)</f>
        <v>0</v>
      </c>
      <c r="D238" s="36">
        <f t="shared" ref="D238" si="217">SUM(D239:D248)</f>
        <v>0</v>
      </c>
      <c r="E238" s="36">
        <f>SUM(E239:E248)</f>
        <v>978000</v>
      </c>
      <c r="F238" s="36">
        <f>SUM(F239:F248)</f>
        <v>26471482.704220001</v>
      </c>
      <c r="G238" s="36">
        <f t="shared" ref="G238" si="218">SUM(G239:G248)</f>
        <v>2464515.0782467201</v>
      </c>
      <c r="H238" s="36">
        <f t="shared" ref="H238" si="219">SUM(H239:H248)</f>
        <v>2464515.0782467201</v>
      </c>
      <c r="I238" s="36">
        <f t="shared" ref="I238" si="220">SUM(I239:I248)</f>
        <v>2464515.0782467201</v>
      </c>
      <c r="J238" s="36">
        <f t="shared" ref="J238" si="221">SUM(J239:J248)</f>
        <v>2464515.0782467201</v>
      </c>
      <c r="K238" s="36">
        <f t="shared" ref="K238" si="222">SUM(K239:K248)</f>
        <v>2464515.0782467201</v>
      </c>
      <c r="L238" s="36">
        <f t="shared" ref="L238" si="223">SUM(L239:L248)</f>
        <v>2464515.0782467201</v>
      </c>
      <c r="M238" s="37">
        <f t="shared" si="214"/>
        <v>42236573.173700325</v>
      </c>
      <c r="O238" s="38"/>
      <c r="P238" s="25"/>
      <c r="Q238" s="25"/>
      <c r="R238" s="35"/>
      <c r="S238" s="22"/>
    </row>
    <row r="239" spans="1:19" s="10" customFormat="1" ht="13.95" hidden="1" customHeight="1" outlineLevel="1">
      <c r="A239" s="5" t="s">
        <v>113</v>
      </c>
      <c r="B239" s="24" t="s">
        <v>107</v>
      </c>
      <c r="C239" s="25"/>
      <c r="E239" s="25">
        <f>'Vstupy cost'!O12*1.2</f>
        <v>600000</v>
      </c>
      <c r="F239" s="25"/>
      <c r="H239" s="25"/>
      <c r="I239" s="25"/>
      <c r="J239" s="25"/>
      <c r="K239" s="25"/>
      <c r="L239" s="25"/>
      <c r="M239" s="35">
        <f t="shared" si="214"/>
        <v>600000</v>
      </c>
      <c r="O239" s="38">
        <f>E239</f>
        <v>600000</v>
      </c>
      <c r="P239" s="25"/>
      <c r="Q239" s="25"/>
      <c r="R239" s="35"/>
      <c r="S239" s="22">
        <f t="shared" ref="S239:S240" si="224">SUM(O239:R239)-M239</f>
        <v>0</v>
      </c>
    </row>
    <row r="240" spans="1:19" s="10" customFormat="1" ht="13.95" hidden="1" customHeight="1" outlineLevel="1">
      <c r="A240" s="5" t="s">
        <v>114</v>
      </c>
      <c r="B240" s="24" t="s">
        <v>98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35">
        <f t="shared" ref="M240" si="225">SUM(C240:L240)</f>
        <v>0</v>
      </c>
      <c r="O240" s="38">
        <f>SUM(F240:G240)*0.65</f>
        <v>0</v>
      </c>
      <c r="P240" s="25">
        <f>SUM(F240:J240)*0.35</f>
        <v>0</v>
      </c>
      <c r="Q240" s="25">
        <f>SUM(H240:J240)*0.65+SUM(K240:L240)</f>
        <v>0</v>
      </c>
      <c r="R240" s="35"/>
      <c r="S240" s="22">
        <f t="shared" si="224"/>
        <v>0</v>
      </c>
    </row>
    <row r="241" spans="1:19" ht="13.95" hidden="1" customHeight="1" outlineLevel="1">
      <c r="A241" s="5" t="s">
        <v>115</v>
      </c>
      <c r="B241" s="24" t="s">
        <v>107</v>
      </c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35">
        <f t="shared" ref="M241" si="226">SUM(C241:L241)</f>
        <v>0</v>
      </c>
      <c r="O241" s="38">
        <f>SUM(C241:F241)</f>
        <v>0</v>
      </c>
      <c r="P241" s="25">
        <f>SUM(H241:K241)*0.35</f>
        <v>0</v>
      </c>
      <c r="Q241" s="25">
        <f>SUM(H241:K241)*0.65+L241</f>
        <v>0</v>
      </c>
      <c r="R241" s="35"/>
      <c r="S241" s="22">
        <f t="shared" ref="S241" si="227">SUM(O241:R241)-M241</f>
        <v>0</v>
      </c>
    </row>
    <row r="242" spans="1:19" ht="13.95" hidden="1" customHeight="1" outlineLevel="1">
      <c r="A242" s="5" t="s">
        <v>116</v>
      </c>
      <c r="B242" s="24" t="s">
        <v>107</v>
      </c>
      <c r="C242" s="80"/>
      <c r="D242" s="25"/>
      <c r="E242" s="25"/>
      <c r="F242" s="25">
        <f>'Vstupy cost'!$B$72*1.2</f>
        <v>24216000</v>
      </c>
      <c r="G242" s="25"/>
      <c r="H242" s="25"/>
      <c r="I242" s="25"/>
      <c r="J242" s="25"/>
      <c r="K242" s="25"/>
      <c r="L242" s="25"/>
      <c r="M242" s="35">
        <f t="shared" si="214"/>
        <v>24216000</v>
      </c>
      <c r="O242" s="38">
        <f t="shared" ref="O242:O243" si="228">SUM(C242:F242)</f>
        <v>24216000</v>
      </c>
      <c r="P242" s="25"/>
      <c r="Q242" s="25"/>
      <c r="R242" s="35"/>
      <c r="S242" s="22">
        <f t="shared" ref="S242:S243" si="229">SUM(O242:R242)-M242</f>
        <v>0</v>
      </c>
    </row>
    <row r="243" spans="1:19" ht="13.95" hidden="1" customHeight="1" outlineLevel="1">
      <c r="A243" s="5" t="s">
        <v>117</v>
      </c>
      <c r="B243" s="24" t="s">
        <v>107</v>
      </c>
      <c r="C243" s="25"/>
      <c r="D243" s="25"/>
      <c r="E243" s="25"/>
      <c r="F243" s="25">
        <f>'Vstupy cost'!$Q$12*1.2</f>
        <v>240000</v>
      </c>
      <c r="G243" s="25"/>
      <c r="H243" s="25"/>
      <c r="I243" s="25"/>
      <c r="J243" s="25"/>
      <c r="K243" s="25"/>
      <c r="L243" s="25"/>
      <c r="M243" s="35">
        <f t="shared" si="214"/>
        <v>240000</v>
      </c>
      <c r="O243" s="38">
        <f t="shared" si="228"/>
        <v>240000</v>
      </c>
      <c r="P243" s="25"/>
      <c r="Q243" s="25"/>
      <c r="R243" s="35"/>
      <c r="S243" s="22">
        <f t="shared" si="229"/>
        <v>0</v>
      </c>
    </row>
    <row r="244" spans="1:19" ht="13.95" hidden="1" customHeight="1" outlineLevel="1">
      <c r="A244" s="5" t="s">
        <v>118</v>
      </c>
      <c r="B244" s="24" t="s">
        <v>107</v>
      </c>
      <c r="C244" s="80"/>
      <c r="D244" s="25"/>
      <c r="E244" s="25">
        <f>'Vstupy cost'!$K$12*1.2</f>
        <v>0</v>
      </c>
      <c r="F244" s="25">
        <f>'Vstupy cost'!$L$12*1.2</f>
        <v>0</v>
      </c>
      <c r="G244" s="25"/>
      <c r="H244" s="25"/>
      <c r="I244" s="25"/>
      <c r="J244" s="25"/>
      <c r="K244" s="25"/>
      <c r="L244" s="25"/>
      <c r="M244" s="35">
        <f t="shared" si="214"/>
        <v>0</v>
      </c>
      <c r="O244" s="38">
        <f>SUM(C244:E244)+F244*0.65</f>
        <v>0</v>
      </c>
      <c r="P244" s="25">
        <f>SUM(F244:L244)*0.35</f>
        <v>0</v>
      </c>
      <c r="Q244" s="25">
        <f>SUM(H244:L244)*0.65</f>
        <v>0</v>
      </c>
      <c r="R244" s="35"/>
      <c r="S244" s="22">
        <f t="shared" ref="S244:S248" si="230">SUM(O244:R244)-M244</f>
        <v>0</v>
      </c>
    </row>
    <row r="245" spans="1:19" ht="13.95" hidden="1" customHeight="1" outlineLevel="1">
      <c r="A245" s="5" t="s">
        <v>119</v>
      </c>
      <c r="B245" s="24" t="s">
        <v>98</v>
      </c>
      <c r="C245" s="25"/>
      <c r="D245" s="25"/>
      <c r="E245" s="25">
        <f>'Vstupy cost'!$E$12*'Vstupy cost'!$B$19*1.2*24*365</f>
        <v>0</v>
      </c>
      <c r="F245" s="25">
        <f>SUM('Vstupy cost'!$E$12*'Vstupy cost'!$B$19*1.2*24*365,'Vstupy cost'!$F$12*'Vstupy cost'!$B$19*1.2*24*365/3)</f>
        <v>758199.02400000009</v>
      </c>
      <c r="G245" s="25">
        <f>'Vstupy cost'!$F$12*'Vstupy cost'!$B$19*1.2*24*365</f>
        <v>2274597.0720000002</v>
      </c>
      <c r="H245" s="25">
        <f>'Vstupy cost'!$F$12*'Vstupy cost'!$B$19*1.2*24*365</f>
        <v>2274597.0720000002</v>
      </c>
      <c r="I245" s="25">
        <f>'Vstupy cost'!$F$12*'Vstupy cost'!$B$19*1.2*24*365</f>
        <v>2274597.0720000002</v>
      </c>
      <c r="J245" s="25">
        <f>'Vstupy cost'!$F$12*'Vstupy cost'!$B$19*1.2*24*365</f>
        <v>2274597.0720000002</v>
      </c>
      <c r="K245" s="25">
        <f>'Vstupy cost'!$F$12*'Vstupy cost'!$B$19*1.2*24*365</f>
        <v>2274597.0720000002</v>
      </c>
      <c r="L245" s="25">
        <f>'Vstupy cost'!$F$12*'Vstupy cost'!$B$19*1.2*24*365</f>
        <v>2274597.0720000002</v>
      </c>
      <c r="M245" s="35">
        <f t="shared" si="214"/>
        <v>14405781.456000002</v>
      </c>
      <c r="O245" s="38">
        <f>SUM(C245:F245)</f>
        <v>758199.02400000009</v>
      </c>
      <c r="P245" s="25">
        <f>SUM(G245:K245)*0.35</f>
        <v>3980544.8760000002</v>
      </c>
      <c r="Q245" s="25">
        <f>SUM(G245:K245)*0.65+L245</f>
        <v>9667037.5560000017</v>
      </c>
      <c r="R245" s="35"/>
      <c r="S245" s="22">
        <f t="shared" si="230"/>
        <v>0</v>
      </c>
    </row>
    <row r="246" spans="1:19" ht="13.95" hidden="1" customHeight="1" outlineLevel="1">
      <c r="A246" s="5" t="s">
        <v>120</v>
      </c>
      <c r="B246" s="24" t="s">
        <v>107</v>
      </c>
      <c r="C246" s="25"/>
      <c r="D246" s="25"/>
      <c r="F246" s="25">
        <f>'Vstupy cost'!$I$12*1.2</f>
        <v>879283.68021999893</v>
      </c>
      <c r="G246" s="25"/>
      <c r="H246" s="25"/>
      <c r="I246" s="25"/>
      <c r="J246" s="25"/>
      <c r="K246" s="25"/>
      <c r="L246" s="25"/>
      <c r="M246" s="35">
        <f t="shared" si="214"/>
        <v>879283.68021999893</v>
      </c>
      <c r="O246" s="38">
        <f>SUM(C246:G246)</f>
        <v>879283.68021999893</v>
      </c>
      <c r="P246" s="25">
        <f>SUM(H246:L246)*0.35</f>
        <v>0</v>
      </c>
      <c r="Q246" s="25">
        <f>SUM(H246:L246)*0.65</f>
        <v>0</v>
      </c>
      <c r="R246" s="35"/>
      <c r="S246" s="22">
        <f t="shared" si="230"/>
        <v>0</v>
      </c>
    </row>
    <row r="247" spans="1:19" s="10" customFormat="1" ht="13.95" hidden="1" customHeight="1" outlineLevel="1">
      <c r="A247" s="5" t="s">
        <v>121</v>
      </c>
      <c r="B247" s="24" t="s">
        <v>98</v>
      </c>
      <c r="C247" s="41"/>
      <c r="D247" s="41"/>
      <c r="E247" s="41"/>
      <c r="F247" s="41"/>
      <c r="G247" s="41">
        <f>IF($F$246=0,0,-'Vstupy cost'!$H$12*'Vstupy cost'!$B$19*1.2*12)</f>
        <v>-188081.99375327997</v>
      </c>
      <c r="H247" s="41">
        <f>IF($F$246=0,0,-'Vstupy cost'!$H$12*'Vstupy cost'!$B$19*1.2*12)</f>
        <v>-188081.99375327997</v>
      </c>
      <c r="I247" s="41">
        <f>IF($F$246=0,0,-'Vstupy cost'!$H$12*'Vstupy cost'!$B$19*1.2*12)</f>
        <v>-188081.99375327997</v>
      </c>
      <c r="J247" s="41">
        <f>IF($F$246=0,0,-'Vstupy cost'!$H$12*'Vstupy cost'!$B$19*1.2*12)</f>
        <v>-188081.99375327997</v>
      </c>
      <c r="K247" s="41">
        <f>IF($F$246=0,0,-'Vstupy cost'!$H$12*'Vstupy cost'!$B$19*1.2*12)</f>
        <v>-188081.99375327997</v>
      </c>
      <c r="L247" s="41">
        <f>IF($F$246=0,0,-'Vstupy cost'!$H$12*'Vstupy cost'!$B$19*1.2*12)</f>
        <v>-188081.99375327997</v>
      </c>
      <c r="M247" s="42">
        <f t="shared" si="214"/>
        <v>-1128491.9625196799</v>
      </c>
      <c r="O247" s="38">
        <f>SUM(C247:F247)</f>
        <v>0</v>
      </c>
      <c r="P247" s="25"/>
      <c r="Q247" s="25">
        <f>SUM(G247:L247)</f>
        <v>-1128491.9625196799</v>
      </c>
      <c r="R247" s="35"/>
      <c r="S247" s="22">
        <f t="shared" si="230"/>
        <v>0</v>
      </c>
    </row>
    <row r="248" spans="1:19" ht="13.95" hidden="1" customHeight="1" outlineLevel="1">
      <c r="A248" s="5" t="s">
        <v>122</v>
      </c>
      <c r="B248" s="24" t="s">
        <v>98</v>
      </c>
      <c r="C248" s="25"/>
      <c r="D248" s="25"/>
      <c r="E248" s="25">
        <f>'Vstupy cost'!$J$12*1.2</f>
        <v>378000</v>
      </c>
      <c r="F248" s="25">
        <f>'Vstupy cost'!$J$12*1.2</f>
        <v>378000</v>
      </c>
      <c r="G248" s="25">
        <f>'Vstupy cost'!$J$12*1.2</f>
        <v>378000</v>
      </c>
      <c r="H248" s="25">
        <f>'Vstupy cost'!$J$12*1.2</f>
        <v>378000</v>
      </c>
      <c r="I248" s="25">
        <f>'Vstupy cost'!$J$12*1.2</f>
        <v>378000</v>
      </c>
      <c r="J248" s="25">
        <f>'Vstupy cost'!$J$12*1.2</f>
        <v>378000</v>
      </c>
      <c r="K248" s="25">
        <f>'Vstupy cost'!$J$12*1.2</f>
        <v>378000</v>
      </c>
      <c r="L248" s="25">
        <f>'Vstupy cost'!$J$12*1.2</f>
        <v>378000</v>
      </c>
      <c r="M248" s="35">
        <f t="shared" si="214"/>
        <v>3024000</v>
      </c>
      <c r="O248" s="38">
        <f>SUM(C248:F248)</f>
        <v>756000</v>
      </c>
      <c r="P248" s="25">
        <f>SUM(G248:K248)*0.35</f>
        <v>661500</v>
      </c>
      <c r="Q248" s="25">
        <f>SUM(G248:K248)*0.65+L248</f>
        <v>1606500</v>
      </c>
      <c r="R248" s="35"/>
      <c r="S248" s="22">
        <f t="shared" si="230"/>
        <v>0</v>
      </c>
    </row>
    <row r="249" spans="1:19" ht="13.95" hidden="1" customHeight="1" outlineLevel="1">
      <c r="A249" s="33" t="s">
        <v>99</v>
      </c>
      <c r="B249" s="32"/>
      <c r="C249" s="36">
        <f>SUM(C250:C253)</f>
        <v>267351.60000000003</v>
      </c>
      <c r="D249" s="36">
        <f t="shared" ref="D249:L249" si="231">SUM(D250:D253)</f>
        <v>1298030.8320000004</v>
      </c>
      <c r="E249" s="36">
        <f t="shared" si="231"/>
        <v>1172380.9089600001</v>
      </c>
      <c r="F249" s="36">
        <f t="shared" si="231"/>
        <v>1204096.3362288002</v>
      </c>
      <c r="G249" s="36">
        <f t="shared" si="231"/>
        <v>1236763.2263156641</v>
      </c>
      <c r="H249" s="36">
        <f t="shared" si="231"/>
        <v>1270410.1231051341</v>
      </c>
      <c r="I249" s="36">
        <f t="shared" si="231"/>
        <v>1305066.4267982882</v>
      </c>
      <c r="J249" s="36">
        <f t="shared" si="231"/>
        <v>1340762.4196022367</v>
      </c>
      <c r="K249" s="36">
        <f t="shared" si="231"/>
        <v>1377529.292190304</v>
      </c>
      <c r="L249" s="36">
        <f t="shared" si="231"/>
        <v>1415399.1709560133</v>
      </c>
      <c r="M249" s="37">
        <f t="shared" si="214"/>
        <v>11887790.336156443</v>
      </c>
      <c r="O249" s="38"/>
      <c r="P249" s="25"/>
      <c r="Q249" s="25"/>
      <c r="R249" s="35"/>
      <c r="S249" s="22"/>
    </row>
    <row r="250" spans="1:19" ht="13.95" hidden="1" customHeight="1" outlineLevel="1">
      <c r="A250" s="5" t="s">
        <v>100</v>
      </c>
      <c r="B250" s="24" t="s">
        <v>98</v>
      </c>
      <c r="C250" s="25"/>
      <c r="D250" s="25">
        <f>'Vstupy cost'!$B$97*'Vstupy cost'!$B$98*1.2*12</f>
        <v>115200</v>
      </c>
      <c r="E250" s="25">
        <f>'Vstupy cost'!$B$97*'Vstupy cost'!$B$98*1.2*12</f>
        <v>115200</v>
      </c>
      <c r="F250" s="25">
        <f>'Vstupy cost'!$B$97*'Vstupy cost'!$B$98*1.2*12</f>
        <v>115200</v>
      </c>
      <c r="G250" s="25">
        <f>'Vstupy cost'!$B$97*'Vstupy cost'!$B$98*1.2*12</f>
        <v>115200</v>
      </c>
      <c r="H250" s="25">
        <f>'Vstupy cost'!$B$97*'Vstupy cost'!$B$98*1.2*12</f>
        <v>115200</v>
      </c>
      <c r="I250" s="25">
        <f>'Vstupy cost'!$B$97*'Vstupy cost'!$B$98*1.2*12</f>
        <v>115200</v>
      </c>
      <c r="J250" s="25">
        <f>'Vstupy cost'!$B$97*'Vstupy cost'!$B$98*1.2*12</f>
        <v>115200</v>
      </c>
      <c r="K250" s="25">
        <f>'Vstupy cost'!$B$97*'Vstupy cost'!$B$98*1.2*12</f>
        <v>115200</v>
      </c>
      <c r="L250" s="25">
        <f>'Vstupy cost'!$B$97*'Vstupy cost'!$B$98*1.2*12</f>
        <v>115200</v>
      </c>
      <c r="M250" s="35">
        <f t="shared" si="214"/>
        <v>1036800</v>
      </c>
      <c r="O250" s="38">
        <f>SUM(C250:F250)+G250*0.5</f>
        <v>403200</v>
      </c>
      <c r="P250" s="25"/>
      <c r="Q250" s="25">
        <f>SUM(H250:L250)+G250*0.5</f>
        <v>633600</v>
      </c>
      <c r="R250" s="35"/>
      <c r="S250" s="22">
        <f t="shared" ref="S250" si="232">SUM(O250:R250)-M250</f>
        <v>0</v>
      </c>
    </row>
    <row r="251" spans="1:19" ht="13.95" hidden="1" customHeight="1" outlineLevel="1">
      <c r="A251" s="5" t="s">
        <v>101</v>
      </c>
      <c r="B251" s="24" t="s">
        <v>98</v>
      </c>
      <c r="C251" s="25">
        <f>'Vstupy cost'!B88*'Vstupy cost'!B85*12*1.398</f>
        <v>110721.60000000002</v>
      </c>
      <c r="D251" s="25">
        <f>'Vstupy cost'!C88*'Vstupy cost'!C85*12*1.398</f>
        <v>456172.99200000003</v>
      </c>
      <c r="E251" s="25">
        <f>'Vstupy cost'!D88*'Vstupy cost'!D85*12*1.398</f>
        <v>469858.18176000006</v>
      </c>
      <c r="F251" s="25">
        <f>'Vstupy cost'!E88*'Vstupy cost'!E85*12*1.398</f>
        <v>483953.92721280007</v>
      </c>
      <c r="G251" s="25">
        <f>'Vstupy cost'!F88*'Vstupy cost'!F85*12*1.398</f>
        <v>498472.54502918414</v>
      </c>
      <c r="H251" s="25">
        <f>'Vstupy cost'!G88*'Vstupy cost'!G85*12*1.398</f>
        <v>513426.72138005961</v>
      </c>
      <c r="I251" s="25">
        <f>'Vstupy cost'!H88*'Vstupy cost'!H85*12*1.398</f>
        <v>528829.52302146144</v>
      </c>
      <c r="J251" s="25">
        <f>'Vstupy cost'!I88*'Vstupy cost'!I85*12*1.398</f>
        <v>544694.40871210524</v>
      </c>
      <c r="K251" s="25">
        <f>'Vstupy cost'!J88*'Vstupy cost'!J85*12*1.398</f>
        <v>561035.24097346852</v>
      </c>
      <c r="L251" s="25">
        <f>'Vstupy cost'!K88*'Vstupy cost'!K85*12*1.398</f>
        <v>577866.29820267251</v>
      </c>
      <c r="M251" s="35">
        <f t="shared" si="214"/>
        <v>4745031.4382917508</v>
      </c>
      <c r="O251" s="38">
        <f>SUM(C251:F251)</f>
        <v>1520706.7009728001</v>
      </c>
      <c r="P251" s="25">
        <f t="shared" ref="P251:P252" si="233">SUM(G251:K251)*0.35</f>
        <v>926260.45369069744</v>
      </c>
      <c r="Q251" s="25">
        <f t="shared" ref="Q251:Q252" si="234">SUM(G251:K251)*0.65+L251</f>
        <v>2298064.2836282537</v>
      </c>
      <c r="R251" s="35"/>
      <c r="S251" s="22">
        <f>SUM(O251:R251)-M251</f>
        <v>0</v>
      </c>
    </row>
    <row r="252" spans="1:19" ht="13.95" hidden="1" customHeight="1" outlineLevel="1">
      <c r="A252" s="5" t="s">
        <v>102</v>
      </c>
      <c r="B252" s="24" t="s">
        <v>98</v>
      </c>
      <c r="C252" s="25">
        <f>'Vstupy cost'!B89*'Vstupy cost'!B85*12*1.398</f>
        <v>0</v>
      </c>
      <c r="D252" s="25">
        <f>'Vstupy cost'!C89*'Vstupy cost'!C85*12*1.398</f>
        <v>570216.24000000011</v>
      </c>
      <c r="E252" s="25">
        <f>'Vstupy cost'!D89*'Vstupy cost'!D85*12*1.398</f>
        <v>587322.72719999996</v>
      </c>
      <c r="F252" s="25">
        <f>'Vstupy cost'!E89*'Vstupy cost'!E85*12*1.398</f>
        <v>604942.40901600011</v>
      </c>
      <c r="G252" s="25">
        <f>'Vstupy cost'!F89*'Vstupy cost'!F85*12*1.398</f>
        <v>623090.68128648004</v>
      </c>
      <c r="H252" s="25">
        <f>'Vstupy cost'!G89*'Vstupy cost'!G85*12*1.398</f>
        <v>641783.40172507451</v>
      </c>
      <c r="I252" s="25">
        <f>'Vstupy cost'!H89*'Vstupy cost'!H85*12*1.398</f>
        <v>661036.9037768268</v>
      </c>
      <c r="J252" s="25">
        <f>'Vstupy cost'!I89*'Vstupy cost'!I85*12*1.398</f>
        <v>680868.01089013158</v>
      </c>
      <c r="K252" s="25">
        <f>'Vstupy cost'!J89*'Vstupy cost'!J85*12*1.398</f>
        <v>701294.05121683551</v>
      </c>
      <c r="L252" s="25">
        <f>'Vstupy cost'!K89*'Vstupy cost'!K85*12*1.398</f>
        <v>722332.87275334063</v>
      </c>
      <c r="M252" s="35">
        <f t="shared" si="214"/>
        <v>5792887.2978646886</v>
      </c>
      <c r="O252" s="38">
        <f>SUM(C252:F252)-1000000</f>
        <v>762481.37621600018</v>
      </c>
      <c r="P252" s="25">
        <f t="shared" si="233"/>
        <v>1157825.5671133718</v>
      </c>
      <c r="Q252" s="25">
        <f t="shared" si="234"/>
        <v>2872580.354535317</v>
      </c>
      <c r="R252" s="35">
        <v>1000000</v>
      </c>
      <c r="S252" s="22">
        <f t="shared" ref="S252:S253" si="235">SUM(O252:R252)-M252</f>
        <v>0</v>
      </c>
    </row>
    <row r="253" spans="1:19" ht="13.95" hidden="1" customHeight="1" outlineLevel="1">
      <c r="A253" s="5" t="s">
        <v>103</v>
      </c>
      <c r="B253" s="24" t="s">
        <v>98</v>
      </c>
      <c r="C253" s="25">
        <f>'Vstupy cost'!$B$117*1.2+'Vstupy cost'!$B$119*1.39</f>
        <v>156630</v>
      </c>
      <c r="D253" s="25">
        <f>'Vstupy cost'!$B$118*1.2</f>
        <v>156441.60000000001</v>
      </c>
      <c r="E253" s="25"/>
      <c r="F253" s="25"/>
      <c r="G253" s="25"/>
      <c r="H253" s="25"/>
      <c r="I253" s="25"/>
      <c r="J253" s="25"/>
      <c r="K253" s="25"/>
      <c r="L253" s="25"/>
      <c r="M253" s="35">
        <f t="shared" si="214"/>
        <v>313071.59999999998</v>
      </c>
      <c r="O253" s="38">
        <f t="shared" ref="O253" si="236">SUM(C253:G253)</f>
        <v>313071.59999999998</v>
      </c>
      <c r="P253" s="25"/>
      <c r="Q253" s="25">
        <f t="shared" ref="Q253" si="237">SUM(H253:L253)</f>
        <v>0</v>
      </c>
      <c r="R253" s="35"/>
      <c r="S253" s="22">
        <f t="shared" si="235"/>
        <v>0</v>
      </c>
    </row>
    <row r="254" spans="1:19" ht="13.95" hidden="1" customHeight="1" outlineLevel="1">
      <c r="A254" s="33" t="s">
        <v>80</v>
      </c>
      <c r="B254" s="32"/>
      <c r="C254" s="36">
        <f t="shared" ref="C254:L254" si="238">SUM(C255:C255)</f>
        <v>0</v>
      </c>
      <c r="D254" s="36">
        <f t="shared" si="238"/>
        <v>253000</v>
      </c>
      <c r="E254" s="36">
        <f t="shared" si="238"/>
        <v>455000</v>
      </c>
      <c r="F254" s="36">
        <f t="shared" si="238"/>
        <v>750000</v>
      </c>
      <c r="G254" s="36">
        <f t="shared" si="238"/>
        <v>990000</v>
      </c>
      <c r="H254" s="36">
        <f t="shared" si="238"/>
        <v>990000</v>
      </c>
      <c r="I254" s="36">
        <f t="shared" si="238"/>
        <v>990000</v>
      </c>
      <c r="J254" s="36">
        <f t="shared" si="238"/>
        <v>990000</v>
      </c>
      <c r="K254" s="36">
        <f t="shared" si="238"/>
        <v>990000</v>
      </c>
      <c r="L254" s="36">
        <f t="shared" si="238"/>
        <v>990000</v>
      </c>
      <c r="M254" s="37">
        <f t="shared" si="214"/>
        <v>7398000</v>
      </c>
      <c r="O254" s="38"/>
      <c r="P254" s="25"/>
      <c r="Q254" s="25"/>
      <c r="R254" s="35"/>
      <c r="S254" s="22"/>
    </row>
    <row r="255" spans="1:19" ht="13.95" hidden="1" customHeight="1" outlineLevel="1" thickBot="1">
      <c r="A255" s="9" t="s">
        <v>104</v>
      </c>
      <c r="B255" s="39"/>
      <c r="C255" s="39">
        <f>'Vstupy cost'!$B$113</f>
        <v>0</v>
      </c>
      <c r="D255" s="39">
        <f>'Vstupy cost'!$C$113</f>
        <v>253000</v>
      </c>
      <c r="E255" s="39">
        <f>'Vstupy cost'!$D$113</f>
        <v>455000</v>
      </c>
      <c r="F255" s="39">
        <f>'Vstupy cost'!$E$113</f>
        <v>750000</v>
      </c>
      <c r="G255" s="39">
        <f>'Vstupy cost'!$F$113</f>
        <v>990000</v>
      </c>
      <c r="H255" s="39">
        <f>'Vstupy cost'!$G$113</f>
        <v>990000</v>
      </c>
      <c r="I255" s="39">
        <f>'Vstupy cost'!$H$113</f>
        <v>990000</v>
      </c>
      <c r="J255" s="39">
        <f>'Vstupy cost'!$I$113</f>
        <v>990000</v>
      </c>
      <c r="K255" s="39">
        <f>'Vstupy cost'!$J$113</f>
        <v>990000</v>
      </c>
      <c r="L255" s="39">
        <f>'Vstupy cost'!$K$113</f>
        <v>990000</v>
      </c>
      <c r="M255" s="40">
        <f t="shared" ref="M255" si="239">SUM(C255:L255)</f>
        <v>7398000</v>
      </c>
      <c r="O255" s="188">
        <f>SUM(C255:F255)</f>
        <v>1458000</v>
      </c>
      <c r="P255" s="39"/>
      <c r="Q255" s="39">
        <v>3000000</v>
      </c>
      <c r="R255" s="40">
        <f>SUM(G255:L255)-Q255</f>
        <v>2940000</v>
      </c>
      <c r="S255" s="22">
        <f t="shared" ref="S255" si="240">SUM(O255:R255)-M255</f>
        <v>0</v>
      </c>
    </row>
    <row r="256" spans="1:19" ht="13.95" hidden="1" customHeight="1" outlineLevel="1"/>
    <row r="257" spans="1:19" s="10" customFormat="1" ht="13.95" hidden="1" customHeight="1" collapsed="1">
      <c r="A257" s="1" t="s">
        <v>24</v>
      </c>
      <c r="B257" s="2"/>
      <c r="C257" s="125">
        <f>SUM(C259,C265,C276,C281)</f>
        <v>267351.60000000003</v>
      </c>
      <c r="D257" s="125">
        <f t="shared" ref="D257:L257" si="241">SUM(D259,D265,D276,D281)</f>
        <v>1551030.8320000004</v>
      </c>
      <c r="E257" s="125">
        <f t="shared" si="241"/>
        <v>7295393.6129599996</v>
      </c>
      <c r="F257" s="125">
        <f t="shared" si="241"/>
        <v>35697808.720448807</v>
      </c>
      <c r="G257" s="125">
        <f t="shared" si="241"/>
        <v>6308137.2325623836</v>
      </c>
      <c r="H257" s="125">
        <f t="shared" si="241"/>
        <v>6341784.1293518543</v>
      </c>
      <c r="I257" s="125">
        <f t="shared" si="241"/>
        <v>6376440.4330450082</v>
      </c>
      <c r="J257" s="125">
        <f t="shared" si="241"/>
        <v>6525752.4258489562</v>
      </c>
      <c r="K257" s="125">
        <f t="shared" si="241"/>
        <v>6736903.2984370235</v>
      </c>
      <c r="L257" s="125">
        <f t="shared" si="241"/>
        <v>6774773.1772027332</v>
      </c>
      <c r="M257" s="126">
        <f>SUM(C257:L257)</f>
        <v>83875375.461856768</v>
      </c>
      <c r="O257" s="128">
        <f>SUM(O259:O282)</f>
        <v>41862004.765408807</v>
      </c>
      <c r="P257" s="129">
        <f>SUM(P259:P282)</f>
        <v>11506114.020804068</v>
      </c>
      <c r="Q257" s="129">
        <f>SUM(Q259:Q282)</f>
        <v>26567256.675643891</v>
      </c>
      <c r="R257" s="130">
        <f>SUM(R259:R282)</f>
        <v>3940000</v>
      </c>
      <c r="S257" s="22">
        <f t="shared" ref="S257" si="242">SUM(O257:R257)-M257</f>
        <v>0</v>
      </c>
    </row>
    <row r="258" spans="1:19" s="10" customFormat="1" ht="13.95" hidden="1" customHeight="1" outlineLevel="1">
      <c r="A258" s="6"/>
      <c r="B258" s="4" t="s">
        <v>83</v>
      </c>
      <c r="C258" s="4" t="s">
        <v>84</v>
      </c>
      <c r="D258" s="4" t="s">
        <v>85</v>
      </c>
      <c r="E258" s="4" t="s">
        <v>86</v>
      </c>
      <c r="F258" s="4" t="s">
        <v>87</v>
      </c>
      <c r="G258" s="4" t="s">
        <v>88</v>
      </c>
      <c r="H258" s="4" t="s">
        <v>89</v>
      </c>
      <c r="I258" s="4" t="s">
        <v>90</v>
      </c>
      <c r="J258" s="4" t="s">
        <v>91</v>
      </c>
      <c r="K258" s="4" t="s">
        <v>92</v>
      </c>
      <c r="L258" s="4" t="s">
        <v>93</v>
      </c>
      <c r="M258" s="34" t="s">
        <v>11</v>
      </c>
      <c r="O258" s="27" t="s">
        <v>94</v>
      </c>
      <c r="P258" s="4" t="s">
        <v>95</v>
      </c>
      <c r="Q258" s="4" t="s">
        <v>96</v>
      </c>
      <c r="R258" s="28" t="s">
        <v>97</v>
      </c>
    </row>
    <row r="259" spans="1:19" ht="13.95" hidden="1" customHeight="1" outlineLevel="1">
      <c r="A259" s="33" t="s">
        <v>105</v>
      </c>
      <c r="B259" s="32"/>
      <c r="C259" s="36">
        <f>SUM(C260:C264)</f>
        <v>0</v>
      </c>
      <c r="D259" s="36">
        <f t="shared" ref="D259:L259" si="243">SUM(D260:D264)</f>
        <v>0</v>
      </c>
      <c r="E259" s="36">
        <f t="shared" si="243"/>
        <v>3957936</v>
      </c>
      <c r="F259" s="36">
        <f t="shared" si="243"/>
        <v>6026400</v>
      </c>
      <c r="G259" s="36">
        <f t="shared" si="243"/>
        <v>75600</v>
      </c>
      <c r="H259" s="36">
        <f t="shared" si="243"/>
        <v>75600</v>
      </c>
      <c r="I259" s="36">
        <f t="shared" si="243"/>
        <v>75600</v>
      </c>
      <c r="J259" s="36">
        <f t="shared" si="243"/>
        <v>189216</v>
      </c>
      <c r="K259" s="36">
        <f t="shared" si="243"/>
        <v>363600</v>
      </c>
      <c r="L259" s="36">
        <f t="shared" si="243"/>
        <v>363600</v>
      </c>
      <c r="M259" s="37">
        <f t="shared" ref="M259:M281" si="244">SUM(C259:L259)</f>
        <v>11127552</v>
      </c>
      <c r="O259" s="38"/>
      <c r="P259" s="25"/>
      <c r="Q259" s="25"/>
      <c r="R259" s="149"/>
      <c r="S259" s="22"/>
    </row>
    <row r="260" spans="1:19" ht="13.95" hidden="1" customHeight="1" outlineLevel="1">
      <c r="A260" s="5" t="s">
        <v>106</v>
      </c>
      <c r="B260" s="24" t="s">
        <v>107</v>
      </c>
      <c r="C260" s="25"/>
      <c r="D260" s="25"/>
      <c r="E260" s="25">
        <f>'Vstupy cost'!$M$13*1.2</f>
        <v>3787200</v>
      </c>
      <c r="F260" s="25">
        <f>'Vstupy cost'!$N$13*1.2</f>
        <v>5812800</v>
      </c>
      <c r="G260" s="25"/>
      <c r="H260" s="25"/>
      <c r="I260" s="25"/>
      <c r="J260" s="25"/>
      <c r="K260" s="25"/>
      <c r="L260" s="25"/>
      <c r="M260" s="35">
        <f t="shared" si="244"/>
        <v>9600000</v>
      </c>
      <c r="O260" s="38">
        <f>SUM(C260:E260)+0.65*F260</f>
        <v>7565520</v>
      </c>
      <c r="P260" s="25">
        <f>SUM(F260:K260)*0.35</f>
        <v>2034479.9999999998</v>
      </c>
      <c r="Q260" s="25">
        <f>SUM(H260:L260)*0.65</f>
        <v>0</v>
      </c>
      <c r="R260" s="35"/>
      <c r="S260" s="22">
        <f t="shared" ref="S260:S263" si="245">SUM(O260:R260)-M260</f>
        <v>0</v>
      </c>
    </row>
    <row r="261" spans="1:19" ht="13.95" hidden="1" customHeight="1" outlineLevel="1">
      <c r="A261" s="5" t="s">
        <v>108</v>
      </c>
      <c r="B261" s="24" t="s">
        <v>107</v>
      </c>
      <c r="C261" s="25"/>
      <c r="D261" s="25"/>
      <c r="E261" s="25">
        <f>ROUND('Vstupy cost'!$C$188*1.2,-3)</f>
        <v>138000</v>
      </c>
      <c r="F261" s="25">
        <f>ROUND('Vstupy cost'!$C$188*1.2,-3)</f>
        <v>138000</v>
      </c>
      <c r="G261" s="25"/>
      <c r="H261" s="25"/>
      <c r="I261" s="25"/>
      <c r="J261" s="25"/>
      <c r="K261" s="25"/>
      <c r="L261" s="25"/>
      <c r="M261" s="35">
        <f t="shared" si="244"/>
        <v>276000</v>
      </c>
      <c r="O261" s="38">
        <f>SUM(C261:E261)+F261*0.65</f>
        <v>227700</v>
      </c>
      <c r="P261" s="25">
        <f>SUM(F261:K261)*0.35</f>
        <v>48300</v>
      </c>
      <c r="Q261" s="25">
        <f>SUM(H261:L261)*0.65</f>
        <v>0</v>
      </c>
      <c r="R261" s="35"/>
      <c r="S261" s="22">
        <f t="shared" si="245"/>
        <v>0</v>
      </c>
    </row>
    <row r="262" spans="1:19" ht="13.95" hidden="1" customHeight="1" outlineLevel="1">
      <c r="A262" s="5" t="s">
        <v>109</v>
      </c>
      <c r="B262" s="24" t="s">
        <v>98</v>
      </c>
      <c r="C262" s="25"/>
      <c r="D262" s="25"/>
      <c r="E262" s="25"/>
      <c r="F262" s="25"/>
      <c r="G262" s="25"/>
      <c r="H262" s="25"/>
      <c r="I262" s="25"/>
      <c r="J262" s="25">
        <f>$E$260*'Vstupy cost'!$B$48</f>
        <v>113616</v>
      </c>
      <c r="K262" s="25">
        <f>SUM($E$260:$F$260)*'Vstupy cost'!$B$48</f>
        <v>288000</v>
      </c>
      <c r="L262" s="25">
        <f>SUM($E$260:$F$260)*'Vstupy cost'!$B$48</f>
        <v>288000</v>
      </c>
      <c r="M262" s="35">
        <f t="shared" si="244"/>
        <v>689616</v>
      </c>
      <c r="O262" s="38">
        <f t="shared" ref="O262" si="246">SUM(C262:F262)</f>
        <v>0</v>
      </c>
      <c r="P262" s="25"/>
      <c r="Q262" s="25">
        <f>SUM(H262:L262)</f>
        <v>689616</v>
      </c>
      <c r="R262" s="35"/>
      <c r="S262" s="22">
        <f t="shared" si="245"/>
        <v>0</v>
      </c>
    </row>
    <row r="263" spans="1:19" ht="13.95" hidden="1" customHeight="1" outlineLevel="1">
      <c r="A263" s="5" t="s">
        <v>110</v>
      </c>
      <c r="B263" s="24" t="s">
        <v>98</v>
      </c>
      <c r="C263" s="25"/>
      <c r="D263" s="25"/>
      <c r="E263" s="25">
        <f>$E$261*'Vstupy cost'!$B$190</f>
        <v>13800</v>
      </c>
      <c r="F263" s="25">
        <f>SUM($E$261,$F$261)*'Vstupy cost'!$B$190</f>
        <v>27600</v>
      </c>
      <c r="G263" s="25">
        <f>SUM($E$261,$F$261)*'Vstupy cost'!$B$190</f>
        <v>27600</v>
      </c>
      <c r="H263" s="25">
        <f>SUM($E$261,$F$261)*'Vstupy cost'!$B$190</f>
        <v>27600</v>
      </c>
      <c r="I263" s="25">
        <f>SUM($E$261,$F$261)*'Vstupy cost'!$B$190</f>
        <v>27600</v>
      </c>
      <c r="J263" s="25">
        <f>SUM($E$261,$F$261)*'Vstupy cost'!$B$190</f>
        <v>27600</v>
      </c>
      <c r="K263" s="25">
        <f>SUM($E$261,$F$261)*'Vstupy cost'!$B$190</f>
        <v>27600</v>
      </c>
      <c r="L263" s="25">
        <f>SUM($E$261,$F$261)*'Vstupy cost'!$B$190</f>
        <v>27600</v>
      </c>
      <c r="M263" s="35">
        <f t="shared" si="244"/>
        <v>207000</v>
      </c>
      <c r="O263" s="38">
        <f>SUM(C263:G263)</f>
        <v>69000</v>
      </c>
      <c r="P263" s="25"/>
      <c r="Q263" s="25">
        <f>SUM(H263:L263)</f>
        <v>138000</v>
      </c>
      <c r="R263" s="35"/>
      <c r="S263" s="22">
        <f t="shared" si="245"/>
        <v>0</v>
      </c>
    </row>
    <row r="264" spans="1:19" ht="13.95" hidden="1" customHeight="1" outlineLevel="1">
      <c r="A264" s="5" t="s">
        <v>111</v>
      </c>
      <c r="B264" s="24" t="s">
        <v>98</v>
      </c>
      <c r="C264" s="25"/>
      <c r="D264" s="25"/>
      <c r="E264" s="25">
        <f>'Vstupy cost'!$R$13*1.2</f>
        <v>18936</v>
      </c>
      <c r="F264" s="25">
        <f>'Vstupy cost'!$S$13*1.2</f>
        <v>48000</v>
      </c>
      <c r="G264" s="25">
        <f>'Vstupy cost'!$S$13*1.2</f>
        <v>48000</v>
      </c>
      <c r="H264" s="25">
        <f>'Vstupy cost'!$S$13*1.2</f>
        <v>48000</v>
      </c>
      <c r="I264" s="25">
        <f>'Vstupy cost'!$S$13*1.2</f>
        <v>48000</v>
      </c>
      <c r="J264" s="25">
        <f>'Vstupy cost'!$S$13*1.2</f>
        <v>48000</v>
      </c>
      <c r="K264" s="25">
        <f>'Vstupy cost'!$S$13*1.2</f>
        <v>48000</v>
      </c>
      <c r="L264" s="25">
        <f>'Vstupy cost'!$S$13*1.2</f>
        <v>48000</v>
      </c>
      <c r="M264" s="35">
        <f t="shared" si="244"/>
        <v>354936</v>
      </c>
      <c r="O264" s="38">
        <f>SUM(E264:G264)</f>
        <v>114936</v>
      </c>
      <c r="P264" s="25"/>
      <c r="Q264" s="25">
        <f>SUM(H264:L264)</f>
        <v>240000</v>
      </c>
      <c r="R264" s="35"/>
      <c r="S264" s="22"/>
    </row>
    <row r="265" spans="1:19" ht="13.95" hidden="1" customHeight="1" outlineLevel="1">
      <c r="A265" s="33" t="s">
        <v>112</v>
      </c>
      <c r="B265" s="32"/>
      <c r="C265" s="36">
        <f>SUM(C266:C275)</f>
        <v>0</v>
      </c>
      <c r="D265" s="36">
        <f t="shared" ref="D265" si="247">SUM(D266:D275)</f>
        <v>0</v>
      </c>
      <c r="E265" s="36">
        <f>SUM(E266:E275)</f>
        <v>1710076.7039999999</v>
      </c>
      <c r="F265" s="36">
        <f t="shared" ref="F265" si="248">SUM(F266:F275)</f>
        <v>27717312.38422</v>
      </c>
      <c r="G265" s="36">
        <f t="shared" ref="G265" si="249">SUM(G266:G275)</f>
        <v>4005774.00624672</v>
      </c>
      <c r="H265" s="36">
        <f t="shared" ref="H265" si="250">SUM(H266:H275)</f>
        <v>4005774.00624672</v>
      </c>
      <c r="I265" s="36">
        <f t="shared" ref="I265" si="251">SUM(I266:I275)</f>
        <v>4005774.00624672</v>
      </c>
      <c r="J265" s="36">
        <f t="shared" ref="J265" si="252">SUM(J266:J275)</f>
        <v>4005774.00624672</v>
      </c>
      <c r="K265" s="36">
        <f t="shared" ref="K265" si="253">SUM(K266:K275)</f>
        <v>4005774.00624672</v>
      </c>
      <c r="L265" s="36">
        <f t="shared" ref="L265" si="254">SUM(L266:L275)</f>
        <v>4005774.00624672</v>
      </c>
      <c r="M265" s="37">
        <f t="shared" si="244"/>
        <v>53462033.125700332</v>
      </c>
      <c r="O265" s="38"/>
      <c r="P265" s="25"/>
      <c r="Q265" s="25"/>
      <c r="R265" s="35"/>
      <c r="S265" s="22"/>
    </row>
    <row r="266" spans="1:19" s="10" customFormat="1" ht="13.95" hidden="1" customHeight="1" outlineLevel="1">
      <c r="A266" s="5" t="s">
        <v>113</v>
      </c>
      <c r="B266" s="24" t="s">
        <v>107</v>
      </c>
      <c r="C266" s="25"/>
      <c r="E266" s="25">
        <f>'Vstupy cost'!O13*1.2</f>
        <v>600000</v>
      </c>
      <c r="F266" s="25"/>
      <c r="G266" s="25"/>
      <c r="H266" s="25"/>
      <c r="I266" s="25"/>
      <c r="J266" s="25"/>
      <c r="K266" s="25"/>
      <c r="L266" s="25"/>
      <c r="M266" s="35">
        <f t="shared" si="244"/>
        <v>600000</v>
      </c>
      <c r="O266" s="38">
        <f>E266</f>
        <v>600000</v>
      </c>
      <c r="P266" s="25"/>
      <c r="Q266" s="25"/>
      <c r="R266" s="35"/>
      <c r="S266" s="22">
        <f t="shared" ref="S266:S267" si="255">SUM(O266:R266)-M266</f>
        <v>0</v>
      </c>
    </row>
    <row r="267" spans="1:19" s="10" customFormat="1" ht="13.95" hidden="1" customHeight="1" outlineLevel="1">
      <c r="A267" s="5" t="s">
        <v>114</v>
      </c>
      <c r="B267" s="24" t="s">
        <v>98</v>
      </c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35">
        <f t="shared" ref="M267" si="256">SUM(C267:L267)</f>
        <v>0</v>
      </c>
      <c r="O267" s="38">
        <f>SUM(F267:G267)*0.65</f>
        <v>0</v>
      </c>
      <c r="P267" s="25">
        <f>SUM(F267:J267)*0.35</f>
        <v>0</v>
      </c>
      <c r="Q267" s="25">
        <f>SUM(H267:J267)*0.65+SUM(K267:L267)</f>
        <v>0</v>
      </c>
      <c r="R267" s="35"/>
      <c r="S267" s="22">
        <f t="shared" si="255"/>
        <v>0</v>
      </c>
    </row>
    <row r="268" spans="1:19" ht="13.95" hidden="1" customHeight="1" outlineLevel="1">
      <c r="A268" s="5" t="s">
        <v>115</v>
      </c>
      <c r="B268" s="24" t="s">
        <v>107</v>
      </c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35">
        <f t="shared" ref="M268" si="257">SUM(C268:L268)</f>
        <v>0</v>
      </c>
      <c r="O268" s="38">
        <f>SUM(C268:F268)</f>
        <v>0</v>
      </c>
      <c r="P268" s="25">
        <f>SUM(H268:K268)*0.35</f>
        <v>0</v>
      </c>
      <c r="Q268" s="25">
        <f>SUM(H268:K268)*0.65+L268</f>
        <v>0</v>
      </c>
      <c r="R268" s="35"/>
      <c r="S268" s="22">
        <f t="shared" ref="S268" si="258">SUM(O268:R268)-M268</f>
        <v>0</v>
      </c>
    </row>
    <row r="269" spans="1:19" ht="13.95" hidden="1" customHeight="1" outlineLevel="1">
      <c r="A269" s="5" t="s">
        <v>116</v>
      </c>
      <c r="B269" s="24" t="s">
        <v>107</v>
      </c>
      <c r="C269" s="80"/>
      <c r="D269" s="25"/>
      <c r="E269" s="25"/>
      <c r="F269" s="25">
        <f>'Vstupy cost'!$B$72*1.2</f>
        <v>24216000</v>
      </c>
      <c r="G269" s="25"/>
      <c r="H269" s="25"/>
      <c r="I269" s="25"/>
      <c r="J269" s="25"/>
      <c r="K269" s="25"/>
      <c r="L269" s="25"/>
      <c r="M269" s="35">
        <f t="shared" si="244"/>
        <v>24216000</v>
      </c>
      <c r="O269" s="38">
        <f t="shared" ref="O269:O270" si="259">SUM(C269:F269)</f>
        <v>24216000</v>
      </c>
      <c r="P269" s="25"/>
      <c r="Q269" s="25"/>
      <c r="R269" s="35"/>
      <c r="S269" s="22">
        <f t="shared" ref="S269:S270" si="260">SUM(O269:R269)-M269</f>
        <v>0</v>
      </c>
    </row>
    <row r="270" spans="1:19" ht="13.95" hidden="1" customHeight="1" outlineLevel="1">
      <c r="A270" s="5" t="s">
        <v>117</v>
      </c>
      <c r="B270" s="24" t="s">
        <v>107</v>
      </c>
      <c r="C270" s="25"/>
      <c r="D270" s="25"/>
      <c r="E270" s="25"/>
      <c r="F270" s="25">
        <f>'Vstupy cost'!$Q$13*1.2</f>
        <v>240000</v>
      </c>
      <c r="G270" s="25"/>
      <c r="H270" s="25"/>
      <c r="I270" s="25"/>
      <c r="J270" s="25"/>
      <c r="K270" s="25"/>
      <c r="L270" s="25"/>
      <c r="M270" s="35">
        <f t="shared" si="244"/>
        <v>240000</v>
      </c>
      <c r="O270" s="38">
        <f t="shared" si="259"/>
        <v>240000</v>
      </c>
      <c r="P270" s="25"/>
      <c r="Q270" s="25"/>
      <c r="R270" s="35"/>
      <c r="S270" s="22">
        <f t="shared" si="260"/>
        <v>0</v>
      </c>
    </row>
    <row r="271" spans="1:19" ht="13.95" hidden="1" customHeight="1" outlineLevel="1">
      <c r="A271" s="5" t="s">
        <v>118</v>
      </c>
      <c r="B271" s="24" t="s">
        <v>107</v>
      </c>
      <c r="C271" s="80"/>
      <c r="D271" s="25"/>
      <c r="E271" s="25">
        <f>'Vstupy cost'!$K$13*1.2</f>
        <v>0</v>
      </c>
      <c r="F271" s="25">
        <f>'Vstupy cost'!$L$13*1.2</f>
        <v>0</v>
      </c>
      <c r="H271" s="25"/>
      <c r="I271" s="25"/>
      <c r="J271" s="25"/>
      <c r="K271" s="25"/>
      <c r="L271" s="25"/>
      <c r="M271" s="35">
        <f t="shared" si="244"/>
        <v>0</v>
      </c>
      <c r="O271" s="38">
        <f>SUM(C271:E271)+F271*0.65</f>
        <v>0</v>
      </c>
      <c r="P271" s="25">
        <f>SUM(F271:L271)*0.35</f>
        <v>0</v>
      </c>
      <c r="Q271" s="25">
        <f>SUM(H271:L271)*0.65</f>
        <v>0</v>
      </c>
      <c r="R271" s="35"/>
      <c r="S271" s="22">
        <f t="shared" ref="S271:S275" si="261">SUM(O271:R271)-M271</f>
        <v>0</v>
      </c>
    </row>
    <row r="272" spans="1:19" ht="13.95" hidden="1" customHeight="1" outlineLevel="1">
      <c r="A272" s="5" t="s">
        <v>119</v>
      </c>
      <c r="B272" s="24" t="s">
        <v>98</v>
      </c>
      <c r="C272" s="25"/>
      <c r="D272" s="25"/>
      <c r="E272" s="25">
        <f>'Vstupy cost'!$E$13*'Vstupy cost'!$B$19*1.2*24*365</f>
        <v>732076.70399999991</v>
      </c>
      <c r="F272" s="25">
        <f>SUM('Vstupy cost'!$E$13*'Vstupy cost'!$B$19*1.2*24*365,'Vstupy cost'!$F$13*'Vstupy cost'!$B$19*1.2*24*365/3)</f>
        <v>2004028.7039999999</v>
      </c>
      <c r="G272" s="25">
        <f>'Vstupy cost'!$F$13*'Vstupy cost'!$B$19*1.2*24*365</f>
        <v>3815856</v>
      </c>
      <c r="H272" s="25">
        <f>'Vstupy cost'!$F$13*'Vstupy cost'!$B$19*1.2*24*365</f>
        <v>3815856</v>
      </c>
      <c r="I272" s="25">
        <f>'Vstupy cost'!$F$13*'Vstupy cost'!$B$19*1.2*24*365</f>
        <v>3815856</v>
      </c>
      <c r="J272" s="25">
        <f>'Vstupy cost'!$F$13*'Vstupy cost'!$B$19*1.2*24*365</f>
        <v>3815856</v>
      </c>
      <c r="K272" s="25">
        <f>'Vstupy cost'!$F$13*'Vstupy cost'!$B$19*1.2*24*365</f>
        <v>3815856</v>
      </c>
      <c r="L272" s="25">
        <f>'Vstupy cost'!$F$13*'Vstupy cost'!$B$19*1.2*24*365</f>
        <v>3815856</v>
      </c>
      <c r="M272" s="35">
        <f t="shared" si="244"/>
        <v>25631241.408</v>
      </c>
      <c r="O272" s="38">
        <f>SUM(C272:F272)</f>
        <v>2736105.4079999998</v>
      </c>
      <c r="P272" s="25">
        <f>SUM(G272:K272)*0.35</f>
        <v>6677748</v>
      </c>
      <c r="Q272" s="25">
        <f>SUM(G272:K272)*0.65+L272</f>
        <v>16217388</v>
      </c>
      <c r="R272" s="35"/>
      <c r="S272" s="22">
        <f t="shared" si="261"/>
        <v>0</v>
      </c>
    </row>
    <row r="273" spans="1:19" ht="13.95" hidden="1" customHeight="1" outlineLevel="1">
      <c r="A273" s="5" t="s">
        <v>120</v>
      </c>
      <c r="B273" s="24" t="s">
        <v>107</v>
      </c>
      <c r="C273" s="25"/>
      <c r="D273" s="25"/>
      <c r="F273" s="25">
        <f>'Vstupy cost'!$I$13*1.2</f>
        <v>879283.68021999893</v>
      </c>
      <c r="G273" s="25"/>
      <c r="H273" s="25"/>
      <c r="I273" s="25"/>
      <c r="J273" s="25"/>
      <c r="K273" s="25"/>
      <c r="L273" s="25"/>
      <c r="M273" s="35">
        <f t="shared" si="244"/>
        <v>879283.68021999893</v>
      </c>
      <c r="O273" s="38">
        <f>SUM(C273:G273)</f>
        <v>879283.68021999893</v>
      </c>
      <c r="P273" s="25">
        <f>SUM(H273:L273)*0.35</f>
        <v>0</v>
      </c>
      <c r="Q273" s="25">
        <f>SUM(H273:L273)*0.65</f>
        <v>0</v>
      </c>
      <c r="R273" s="35"/>
      <c r="S273" s="22">
        <f t="shared" si="261"/>
        <v>0</v>
      </c>
    </row>
    <row r="274" spans="1:19" s="10" customFormat="1" ht="13.95" hidden="1" customHeight="1" outlineLevel="1">
      <c r="A274" s="5" t="s">
        <v>121</v>
      </c>
      <c r="B274" s="24" t="s">
        <v>98</v>
      </c>
      <c r="C274" s="41"/>
      <c r="D274" s="41"/>
      <c r="E274" s="41"/>
      <c r="F274" s="41"/>
      <c r="G274" s="41">
        <f>IF($F$273=0,0,-'Vstupy cost'!$H$13*'Vstupy cost'!$B$19*1.2*12)</f>
        <v>-188081.99375327997</v>
      </c>
      <c r="H274" s="41">
        <f>IF($F$273=0,0,-'Vstupy cost'!$H$13*'Vstupy cost'!$B$19*1.2*12)</f>
        <v>-188081.99375327997</v>
      </c>
      <c r="I274" s="41">
        <f>IF($F$273=0,0,-'Vstupy cost'!$H$13*'Vstupy cost'!$B$19*1.2*12)</f>
        <v>-188081.99375327997</v>
      </c>
      <c r="J274" s="41">
        <f>IF($F$273=0,0,-'Vstupy cost'!$H$13*'Vstupy cost'!$B$19*1.2*12)</f>
        <v>-188081.99375327997</v>
      </c>
      <c r="K274" s="41">
        <f>IF($F$273=0,0,-'Vstupy cost'!$H$13*'Vstupy cost'!$B$19*1.2*12)</f>
        <v>-188081.99375327997</v>
      </c>
      <c r="L274" s="41">
        <f>IF($F$273=0,0,-'Vstupy cost'!$H$13*'Vstupy cost'!$B$19*1.2*12)</f>
        <v>-188081.99375327997</v>
      </c>
      <c r="M274" s="42">
        <f t="shared" si="244"/>
        <v>-1128491.9625196799</v>
      </c>
      <c r="O274" s="38">
        <f>SUM(C274:F274)</f>
        <v>0</v>
      </c>
      <c r="P274" s="25"/>
      <c r="Q274" s="25">
        <f>SUM(G274:L274)</f>
        <v>-1128491.9625196799</v>
      </c>
      <c r="R274" s="35"/>
      <c r="S274" s="22">
        <f t="shared" si="261"/>
        <v>0</v>
      </c>
    </row>
    <row r="275" spans="1:19" ht="13.95" hidden="1" customHeight="1" outlineLevel="1">
      <c r="A275" s="5" t="s">
        <v>122</v>
      </c>
      <c r="B275" s="24" t="s">
        <v>98</v>
      </c>
      <c r="C275" s="25"/>
      <c r="D275" s="25"/>
      <c r="E275" s="25">
        <f>'Vstupy cost'!$J$13*1.2</f>
        <v>378000</v>
      </c>
      <c r="F275" s="25">
        <f>'Vstupy cost'!$J$13*1.2</f>
        <v>378000</v>
      </c>
      <c r="G275" s="25">
        <f>'Vstupy cost'!$J$13*1.2</f>
        <v>378000</v>
      </c>
      <c r="H275" s="25">
        <f>'Vstupy cost'!$J$13*1.2</f>
        <v>378000</v>
      </c>
      <c r="I275" s="25">
        <f>'Vstupy cost'!$J$13*1.2</f>
        <v>378000</v>
      </c>
      <c r="J275" s="25">
        <f>'Vstupy cost'!$J$13*1.2</f>
        <v>378000</v>
      </c>
      <c r="K275" s="25">
        <f>'Vstupy cost'!$J$13*1.2</f>
        <v>378000</v>
      </c>
      <c r="L275" s="25">
        <f>'Vstupy cost'!$J$13*1.2</f>
        <v>378000</v>
      </c>
      <c r="M275" s="35">
        <f t="shared" si="244"/>
        <v>3024000</v>
      </c>
      <c r="O275" s="38">
        <f>SUM(C275:F275)</f>
        <v>756000</v>
      </c>
      <c r="P275" s="25">
        <f>SUM(G275:K275)*0.35</f>
        <v>661500</v>
      </c>
      <c r="Q275" s="25">
        <f>SUM(G275:K275)*0.65+L275</f>
        <v>1606500</v>
      </c>
      <c r="R275" s="35"/>
      <c r="S275" s="22">
        <f t="shared" si="261"/>
        <v>0</v>
      </c>
    </row>
    <row r="276" spans="1:19" ht="13.95" hidden="1" customHeight="1" outlineLevel="1">
      <c r="A276" s="33" t="s">
        <v>99</v>
      </c>
      <c r="B276" s="32"/>
      <c r="C276" s="36">
        <f>SUM(C277:C280)</f>
        <v>267351.60000000003</v>
      </c>
      <c r="D276" s="36">
        <f t="shared" ref="D276" si="262">SUM(D277:D280)</f>
        <v>1298030.8320000004</v>
      </c>
      <c r="E276" s="36">
        <f t="shared" ref="E276" si="263">SUM(E277:E280)</f>
        <v>1172380.9089600001</v>
      </c>
      <c r="F276" s="36">
        <f t="shared" ref="F276" si="264">SUM(F277:F280)</f>
        <v>1204096.3362288002</v>
      </c>
      <c r="G276" s="36">
        <f t="shared" ref="G276" si="265">SUM(G277:G280)</f>
        <v>1236763.2263156641</v>
      </c>
      <c r="H276" s="36">
        <f t="shared" ref="H276" si="266">SUM(H277:H280)</f>
        <v>1270410.1231051341</v>
      </c>
      <c r="I276" s="36">
        <f t="shared" ref="I276" si="267">SUM(I277:I280)</f>
        <v>1305066.4267982882</v>
      </c>
      <c r="J276" s="36">
        <f t="shared" ref="J276" si="268">SUM(J277:J280)</f>
        <v>1340762.4196022367</v>
      </c>
      <c r="K276" s="36">
        <f t="shared" ref="K276" si="269">SUM(K277:K280)</f>
        <v>1377529.292190304</v>
      </c>
      <c r="L276" s="36">
        <f t="shared" ref="L276" si="270">SUM(L277:L280)</f>
        <v>1415399.1709560133</v>
      </c>
      <c r="M276" s="37">
        <f t="shared" si="244"/>
        <v>11887790.336156443</v>
      </c>
      <c r="O276" s="38"/>
      <c r="P276" s="25"/>
      <c r="Q276" s="25"/>
      <c r="R276" s="35"/>
      <c r="S276" s="22"/>
    </row>
    <row r="277" spans="1:19" ht="13.95" hidden="1" customHeight="1" outlineLevel="1">
      <c r="A277" s="5" t="s">
        <v>100</v>
      </c>
      <c r="B277" s="24" t="s">
        <v>98</v>
      </c>
      <c r="C277" s="25"/>
      <c r="D277" s="25">
        <f>'Vstupy cost'!$B$97*'Vstupy cost'!$B$98*1.2*12</f>
        <v>115200</v>
      </c>
      <c r="E277" s="25">
        <f>'Vstupy cost'!$B$97*'Vstupy cost'!$B$98*1.2*12</f>
        <v>115200</v>
      </c>
      <c r="F277" s="25">
        <f>'Vstupy cost'!$B$97*'Vstupy cost'!$B$98*1.2*12</f>
        <v>115200</v>
      </c>
      <c r="G277" s="25">
        <f>'Vstupy cost'!$B$97*'Vstupy cost'!$B$98*1.2*12</f>
        <v>115200</v>
      </c>
      <c r="H277" s="25">
        <f>'Vstupy cost'!$B$97*'Vstupy cost'!$B$98*1.2*12</f>
        <v>115200</v>
      </c>
      <c r="I277" s="25">
        <f>'Vstupy cost'!$B$97*'Vstupy cost'!$B$98*1.2*12</f>
        <v>115200</v>
      </c>
      <c r="J277" s="25">
        <f>'Vstupy cost'!$B$97*'Vstupy cost'!$B$98*1.2*12</f>
        <v>115200</v>
      </c>
      <c r="K277" s="25">
        <f>'Vstupy cost'!$B$97*'Vstupy cost'!$B$98*1.2*12</f>
        <v>115200</v>
      </c>
      <c r="L277" s="25">
        <f>'Vstupy cost'!$B$97*'Vstupy cost'!$B$98*1.2*12</f>
        <v>115200</v>
      </c>
      <c r="M277" s="35">
        <f t="shared" si="244"/>
        <v>1036800</v>
      </c>
      <c r="O277" s="38">
        <f>SUM(C277:F277)+G277*0.5</f>
        <v>403200</v>
      </c>
      <c r="P277" s="25"/>
      <c r="Q277" s="25">
        <f>SUM(H277:L277)+G277*0.5</f>
        <v>633600</v>
      </c>
      <c r="R277" s="35"/>
      <c r="S277" s="22">
        <f t="shared" ref="S277" si="271">SUM(O277:R277)-M277</f>
        <v>0</v>
      </c>
    </row>
    <row r="278" spans="1:19" ht="13.95" hidden="1" customHeight="1" outlineLevel="1">
      <c r="A278" s="5" t="s">
        <v>101</v>
      </c>
      <c r="B278" s="24" t="s">
        <v>98</v>
      </c>
      <c r="C278" s="25">
        <f>'Vstupy cost'!B88*'Vstupy cost'!B85*12*1.398</f>
        <v>110721.60000000002</v>
      </c>
      <c r="D278" s="25">
        <f>'Vstupy cost'!C88*'Vstupy cost'!C85*12*1.398</f>
        <v>456172.99200000003</v>
      </c>
      <c r="E278" s="25">
        <f>'Vstupy cost'!D88*'Vstupy cost'!D85*12*1.398</f>
        <v>469858.18176000006</v>
      </c>
      <c r="F278" s="25">
        <f>'Vstupy cost'!E88*'Vstupy cost'!E85*12*1.398</f>
        <v>483953.92721280007</v>
      </c>
      <c r="G278" s="25">
        <f>'Vstupy cost'!F88*'Vstupy cost'!F85*12*1.398</f>
        <v>498472.54502918414</v>
      </c>
      <c r="H278" s="25">
        <f>'Vstupy cost'!G88*'Vstupy cost'!G85*12*1.398</f>
        <v>513426.72138005961</v>
      </c>
      <c r="I278" s="25">
        <f>'Vstupy cost'!H88*'Vstupy cost'!H85*12*1.398</f>
        <v>528829.52302146144</v>
      </c>
      <c r="J278" s="25">
        <f>'Vstupy cost'!I88*'Vstupy cost'!I85*12*1.398</f>
        <v>544694.40871210524</v>
      </c>
      <c r="K278" s="25">
        <f>'Vstupy cost'!J88*'Vstupy cost'!J85*12*1.398</f>
        <v>561035.24097346852</v>
      </c>
      <c r="L278" s="25">
        <f>'Vstupy cost'!K88*'Vstupy cost'!K85*12*1.398</f>
        <v>577866.29820267251</v>
      </c>
      <c r="M278" s="35">
        <f t="shared" si="244"/>
        <v>4745031.4382917508</v>
      </c>
      <c r="O278" s="38">
        <f>SUM(C278:F278)</f>
        <v>1520706.7009728001</v>
      </c>
      <c r="P278" s="25">
        <f t="shared" ref="P278:P279" si="272">SUM(G278:K278)*0.35</f>
        <v>926260.45369069744</v>
      </c>
      <c r="Q278" s="25">
        <f t="shared" ref="Q278:Q279" si="273">SUM(G278:K278)*0.65+L278</f>
        <v>2298064.2836282537</v>
      </c>
      <c r="R278" s="35"/>
      <c r="S278" s="22">
        <f>SUM(O278:R278)-M278</f>
        <v>0</v>
      </c>
    </row>
    <row r="279" spans="1:19" ht="13.95" hidden="1" customHeight="1" outlineLevel="1">
      <c r="A279" s="5" t="s">
        <v>102</v>
      </c>
      <c r="B279" s="24" t="s">
        <v>98</v>
      </c>
      <c r="C279" s="25">
        <f>'Vstupy cost'!B89*'Vstupy cost'!B85*12*1.398</f>
        <v>0</v>
      </c>
      <c r="D279" s="25">
        <f>'Vstupy cost'!C89*'Vstupy cost'!C85*12*1.398</f>
        <v>570216.24000000011</v>
      </c>
      <c r="E279" s="25">
        <f>'Vstupy cost'!D89*'Vstupy cost'!D85*12*1.398</f>
        <v>587322.72719999996</v>
      </c>
      <c r="F279" s="25">
        <f>'Vstupy cost'!E89*'Vstupy cost'!E85*12*1.398</f>
        <v>604942.40901600011</v>
      </c>
      <c r="G279" s="25">
        <f>'Vstupy cost'!F89*'Vstupy cost'!F85*12*1.398</f>
        <v>623090.68128648004</v>
      </c>
      <c r="H279" s="25">
        <f>'Vstupy cost'!G89*'Vstupy cost'!G85*12*1.398</f>
        <v>641783.40172507451</v>
      </c>
      <c r="I279" s="25">
        <f>'Vstupy cost'!H89*'Vstupy cost'!H85*12*1.398</f>
        <v>661036.9037768268</v>
      </c>
      <c r="J279" s="25">
        <f>'Vstupy cost'!I89*'Vstupy cost'!I85*12*1.398</f>
        <v>680868.01089013158</v>
      </c>
      <c r="K279" s="25">
        <f>'Vstupy cost'!J89*'Vstupy cost'!J85*12*1.398</f>
        <v>701294.05121683551</v>
      </c>
      <c r="L279" s="25">
        <f>'Vstupy cost'!K89*'Vstupy cost'!K85*12*1.398</f>
        <v>722332.87275334063</v>
      </c>
      <c r="M279" s="35">
        <f t="shared" si="244"/>
        <v>5792887.2978646886</v>
      </c>
      <c r="O279" s="38">
        <f>SUM(C279:F279)-1000000</f>
        <v>762481.37621600018</v>
      </c>
      <c r="P279" s="25">
        <f t="shared" si="272"/>
        <v>1157825.5671133718</v>
      </c>
      <c r="Q279" s="25">
        <f t="shared" si="273"/>
        <v>2872580.354535317</v>
      </c>
      <c r="R279" s="35">
        <v>1000000</v>
      </c>
      <c r="S279" s="22">
        <f t="shared" ref="S279:S280" si="274">SUM(O279:R279)-M279</f>
        <v>0</v>
      </c>
    </row>
    <row r="280" spans="1:19" ht="13.95" hidden="1" customHeight="1" outlineLevel="1">
      <c r="A280" s="5" t="s">
        <v>103</v>
      </c>
      <c r="B280" s="24" t="s">
        <v>98</v>
      </c>
      <c r="C280" s="25">
        <f>'Vstupy cost'!$B$117*1.2+'Vstupy cost'!$B$119*1.39</f>
        <v>156630</v>
      </c>
      <c r="D280" s="25">
        <f>'Vstupy cost'!$B$118*1.2</f>
        <v>156441.60000000001</v>
      </c>
      <c r="E280" s="25"/>
      <c r="F280" s="25"/>
      <c r="G280" s="25"/>
      <c r="H280" s="25"/>
      <c r="I280" s="25"/>
      <c r="J280" s="25"/>
      <c r="K280" s="25"/>
      <c r="L280" s="25"/>
      <c r="M280" s="35">
        <f t="shared" si="244"/>
        <v>313071.59999999998</v>
      </c>
      <c r="O280" s="38">
        <f t="shared" ref="O280" si="275">SUM(C280:G280)</f>
        <v>313071.59999999998</v>
      </c>
      <c r="P280" s="25"/>
      <c r="Q280" s="25">
        <f t="shared" ref="Q280" si="276">SUM(H280:L280)</f>
        <v>0</v>
      </c>
      <c r="R280" s="35"/>
      <c r="S280" s="22">
        <f t="shared" si="274"/>
        <v>0</v>
      </c>
    </row>
    <row r="281" spans="1:19" ht="13.95" hidden="1" customHeight="1" outlineLevel="1">
      <c r="A281" s="33" t="s">
        <v>80</v>
      </c>
      <c r="B281" s="32"/>
      <c r="C281" s="36">
        <f t="shared" ref="C281:L281" si="277">SUM(C282:C282)</f>
        <v>0</v>
      </c>
      <c r="D281" s="36">
        <f t="shared" si="277"/>
        <v>253000</v>
      </c>
      <c r="E281" s="36">
        <f t="shared" si="277"/>
        <v>455000</v>
      </c>
      <c r="F281" s="36">
        <f t="shared" si="277"/>
        <v>750000</v>
      </c>
      <c r="G281" s="36">
        <f t="shared" si="277"/>
        <v>990000</v>
      </c>
      <c r="H281" s="36">
        <f t="shared" si="277"/>
        <v>990000</v>
      </c>
      <c r="I281" s="36">
        <f t="shared" si="277"/>
        <v>990000</v>
      </c>
      <c r="J281" s="36">
        <f t="shared" si="277"/>
        <v>990000</v>
      </c>
      <c r="K281" s="36">
        <f t="shared" si="277"/>
        <v>990000</v>
      </c>
      <c r="L281" s="36">
        <f t="shared" si="277"/>
        <v>990000</v>
      </c>
      <c r="M281" s="37">
        <f t="shared" si="244"/>
        <v>7398000</v>
      </c>
      <c r="O281" s="38"/>
      <c r="P281" s="25"/>
      <c r="Q281" s="25"/>
      <c r="R281" s="35"/>
      <c r="S281" s="22"/>
    </row>
    <row r="282" spans="1:19" ht="13.95" hidden="1" customHeight="1" outlineLevel="1" thickBot="1">
      <c r="A282" s="9" t="s">
        <v>104</v>
      </c>
      <c r="B282" s="39"/>
      <c r="C282" s="39">
        <f>'Vstupy cost'!$B$113</f>
        <v>0</v>
      </c>
      <c r="D282" s="39">
        <f>'Vstupy cost'!$C$113</f>
        <v>253000</v>
      </c>
      <c r="E282" s="39">
        <f>'Vstupy cost'!$D$113</f>
        <v>455000</v>
      </c>
      <c r="F282" s="39">
        <f>'Vstupy cost'!$E$113</f>
        <v>750000</v>
      </c>
      <c r="G282" s="39">
        <f>'Vstupy cost'!$F$113</f>
        <v>990000</v>
      </c>
      <c r="H282" s="39">
        <f>'Vstupy cost'!$G$113</f>
        <v>990000</v>
      </c>
      <c r="I282" s="39">
        <f>'Vstupy cost'!$H$113</f>
        <v>990000</v>
      </c>
      <c r="J282" s="39">
        <f>'Vstupy cost'!$I$113</f>
        <v>990000</v>
      </c>
      <c r="K282" s="39">
        <f>'Vstupy cost'!$J$113</f>
        <v>990000</v>
      </c>
      <c r="L282" s="39">
        <f>'Vstupy cost'!$K$113</f>
        <v>990000</v>
      </c>
      <c r="M282" s="40">
        <f t="shared" ref="M282" si="278">SUM(C282:L282)</f>
        <v>7398000</v>
      </c>
      <c r="O282" s="188">
        <f>SUM(C282:F282)</f>
        <v>1458000</v>
      </c>
      <c r="P282" s="39"/>
      <c r="Q282" s="39">
        <v>3000000</v>
      </c>
      <c r="R282" s="40">
        <f>SUM(G282:L282)-Q282</f>
        <v>2940000</v>
      </c>
      <c r="S282" s="22">
        <f t="shared" ref="S282" si="279">SUM(O282:R282)-M282</f>
        <v>0</v>
      </c>
    </row>
    <row r="283" spans="1:19" ht="13.95" hidden="1" customHeight="1" outlineLevel="1"/>
    <row r="284" spans="1:19" s="10" customFormat="1" ht="13.95" hidden="1" customHeight="1" collapsed="1">
      <c r="A284" s="1" t="s">
        <v>25</v>
      </c>
      <c r="B284" s="2"/>
      <c r="C284" s="125">
        <f>SUM(C286,C292,C303,C308)</f>
        <v>378073.20000000007</v>
      </c>
      <c r="D284" s="125">
        <f t="shared" ref="D284:L284" si="280">SUM(D286,D292,D303,D308)</f>
        <v>1950182.2000000002</v>
      </c>
      <c r="E284" s="125">
        <f t="shared" si="280"/>
        <v>11724379.164800001</v>
      </c>
      <c r="F284" s="125">
        <f t="shared" si="280"/>
        <v>118627999.199332</v>
      </c>
      <c r="G284" s="125">
        <f t="shared" si="280"/>
        <v>17123709.315895323</v>
      </c>
      <c r="H284" s="125">
        <f t="shared" si="280"/>
        <v>17263904.719184779</v>
      </c>
      <c r="I284" s="125">
        <f t="shared" si="280"/>
        <v>17408305.984572921</v>
      </c>
      <c r="J284" s="125">
        <f t="shared" si="280"/>
        <v>17749279.287922706</v>
      </c>
      <c r="K284" s="125">
        <f t="shared" si="280"/>
        <v>19582234.590372987</v>
      </c>
      <c r="L284" s="125">
        <f t="shared" si="280"/>
        <v>19740025.751896776</v>
      </c>
      <c r="M284" s="126">
        <f>SUM(C284:L284)</f>
        <v>241548093.41397747</v>
      </c>
      <c r="O284" s="128">
        <f>SUM(O286:O309)</f>
        <v>112432333.76413198</v>
      </c>
      <c r="P284" s="129">
        <f>SUM(P286:P309)</f>
        <v>47918361.353350297</v>
      </c>
      <c r="Q284" s="129">
        <f>SUM(Q286:Q309)</f>
        <v>77257398.296495199</v>
      </c>
      <c r="R284" s="130">
        <f>SUM(R286:R309)</f>
        <v>3940000</v>
      </c>
      <c r="S284" s="22">
        <f t="shared" ref="S284" si="281">SUM(O284:R284)-M284</f>
        <v>0</v>
      </c>
    </row>
    <row r="285" spans="1:19" s="10" customFormat="1" ht="13.95" hidden="1" customHeight="1" outlineLevel="1">
      <c r="A285" s="6"/>
      <c r="B285" s="4" t="s">
        <v>83</v>
      </c>
      <c r="C285" s="4" t="s">
        <v>84</v>
      </c>
      <c r="D285" s="4" t="s">
        <v>85</v>
      </c>
      <c r="E285" s="4" t="s">
        <v>86</v>
      </c>
      <c r="F285" s="4" t="s">
        <v>87</v>
      </c>
      <c r="G285" s="4" t="s">
        <v>88</v>
      </c>
      <c r="H285" s="4" t="s">
        <v>89</v>
      </c>
      <c r="I285" s="4" t="s">
        <v>90</v>
      </c>
      <c r="J285" s="4" t="s">
        <v>91</v>
      </c>
      <c r="K285" s="4" t="s">
        <v>92</v>
      </c>
      <c r="L285" s="4" t="s">
        <v>93</v>
      </c>
      <c r="M285" s="34" t="s">
        <v>11</v>
      </c>
      <c r="O285" s="27" t="s">
        <v>94</v>
      </c>
      <c r="P285" s="4" t="s">
        <v>95</v>
      </c>
      <c r="Q285" s="4" t="s">
        <v>96</v>
      </c>
      <c r="R285" s="28" t="s">
        <v>97</v>
      </c>
    </row>
    <row r="286" spans="1:19" ht="13.95" hidden="1" customHeight="1" outlineLevel="1">
      <c r="A286" s="33" t="s">
        <v>105</v>
      </c>
      <c r="B286" s="32"/>
      <c r="C286" s="36">
        <f>SUM(C287:C291)</f>
        <v>0</v>
      </c>
      <c r="D286" s="36">
        <f t="shared" ref="D286:L286" si="282">SUM(D287:D291)</f>
        <v>0</v>
      </c>
      <c r="E286" s="36">
        <f t="shared" si="282"/>
        <v>6591840</v>
      </c>
      <c r="F286" s="36">
        <f t="shared" si="282"/>
        <v>56469600</v>
      </c>
      <c r="G286" s="36">
        <f t="shared" si="282"/>
        <v>339600</v>
      </c>
      <c r="H286" s="36">
        <f t="shared" si="282"/>
        <v>339600</v>
      </c>
      <c r="I286" s="36">
        <f t="shared" si="282"/>
        <v>339600</v>
      </c>
      <c r="J286" s="36">
        <f t="shared" si="282"/>
        <v>531840</v>
      </c>
      <c r="K286" s="36">
        <f t="shared" si="282"/>
        <v>2211600</v>
      </c>
      <c r="L286" s="36">
        <f t="shared" si="282"/>
        <v>2211600</v>
      </c>
      <c r="M286" s="37">
        <f t="shared" ref="M286:M308" si="283">SUM(C286:L286)</f>
        <v>69035280</v>
      </c>
      <c r="O286" s="38"/>
      <c r="P286" s="25"/>
      <c r="Q286" s="25"/>
      <c r="R286" s="149"/>
      <c r="S286" s="22"/>
    </row>
    <row r="287" spans="1:19" ht="13.95" hidden="1" customHeight="1" outlineLevel="1">
      <c r="A287" s="5" t="s">
        <v>106</v>
      </c>
      <c r="B287" s="24" t="s">
        <v>107</v>
      </c>
      <c r="C287" s="25"/>
      <c r="D287" s="25"/>
      <c r="E287" s="25">
        <f>'Vstupy cost'!$M$14*1.2</f>
        <v>6408000</v>
      </c>
      <c r="F287" s="25">
        <f>'Vstupy cost'!$N$14*1.2</f>
        <v>55992000</v>
      </c>
      <c r="G287" s="25"/>
      <c r="H287" s="25"/>
      <c r="I287" s="25"/>
      <c r="J287" s="25"/>
      <c r="K287" s="25"/>
      <c r="L287" s="25"/>
      <c r="M287" s="35">
        <f t="shared" si="283"/>
        <v>62400000</v>
      </c>
      <c r="O287" s="38">
        <f>SUM(C287:E287)+0.65*F287</f>
        <v>42802800</v>
      </c>
      <c r="P287" s="25">
        <f>SUM(F287:K287)*0.35</f>
        <v>19597200</v>
      </c>
      <c r="Q287" s="25">
        <f>SUM(H287:L287)*0.65</f>
        <v>0</v>
      </c>
      <c r="R287" s="35"/>
      <c r="S287" s="22">
        <f t="shared" ref="S287:S290" si="284">SUM(O287:R287)-M287</f>
        <v>0</v>
      </c>
    </row>
    <row r="288" spans="1:19" ht="13.95" hidden="1" customHeight="1" outlineLevel="1">
      <c r="A288" s="5" t="s">
        <v>108</v>
      </c>
      <c r="B288" s="24" t="s">
        <v>107</v>
      </c>
      <c r="C288" s="25"/>
      <c r="D288" s="25"/>
      <c r="E288" s="25">
        <f>ROUND('Vstupy cost'!$C$188*1.2,-3)</f>
        <v>138000</v>
      </c>
      <c r="F288" s="25">
        <f>ROUND('Vstupy cost'!$C$188*1.2,-3)</f>
        <v>138000</v>
      </c>
      <c r="G288" s="25"/>
      <c r="H288" s="25"/>
      <c r="I288" s="25"/>
      <c r="J288" s="25"/>
      <c r="K288" s="25"/>
      <c r="L288" s="25"/>
      <c r="M288" s="35">
        <f t="shared" si="283"/>
        <v>276000</v>
      </c>
      <c r="O288" s="38">
        <f>SUM(C288:E288)+F288*0.65</f>
        <v>227700</v>
      </c>
      <c r="P288" s="25">
        <f>SUM(F288:K288)*0.35</f>
        <v>48300</v>
      </c>
      <c r="Q288" s="25">
        <f>SUM(H288:L288)*0.65</f>
        <v>0</v>
      </c>
      <c r="R288" s="35"/>
      <c r="S288" s="22">
        <f t="shared" si="284"/>
        <v>0</v>
      </c>
    </row>
    <row r="289" spans="1:19" ht="13.95" hidden="1" customHeight="1" outlineLevel="1">
      <c r="A289" s="5" t="s">
        <v>109</v>
      </c>
      <c r="B289" s="24" t="s">
        <v>98</v>
      </c>
      <c r="C289" s="25"/>
      <c r="D289" s="25"/>
      <c r="E289" s="25"/>
      <c r="F289" s="25"/>
      <c r="G289" s="25"/>
      <c r="H289" s="25"/>
      <c r="I289" s="25"/>
      <c r="J289" s="25">
        <f>$E$287*'Vstupy cost'!$B$48</f>
        <v>192240</v>
      </c>
      <c r="K289" s="25">
        <f>SUM($E$287:$F$287)*'Vstupy cost'!$B$48</f>
        <v>1872000</v>
      </c>
      <c r="L289" s="25">
        <f>SUM($E$287:$F$287)*'Vstupy cost'!$B$48</f>
        <v>1872000</v>
      </c>
      <c r="M289" s="35">
        <f t="shared" si="283"/>
        <v>3936240</v>
      </c>
      <c r="O289" s="38">
        <f t="shared" ref="O289" si="285">SUM(C289:F289)</f>
        <v>0</v>
      </c>
      <c r="P289" s="25"/>
      <c r="Q289" s="25">
        <f>SUM(H289:L289)</f>
        <v>3936240</v>
      </c>
      <c r="R289" s="35"/>
      <c r="S289" s="22">
        <f t="shared" si="284"/>
        <v>0</v>
      </c>
    </row>
    <row r="290" spans="1:19" ht="13.95" hidden="1" customHeight="1" outlineLevel="1">
      <c r="A290" s="5" t="s">
        <v>110</v>
      </c>
      <c r="B290" s="24" t="s">
        <v>98</v>
      </c>
      <c r="C290" s="25"/>
      <c r="D290" s="25"/>
      <c r="E290" s="25">
        <f>$E$288*'Vstupy cost'!$B$190</f>
        <v>13800</v>
      </c>
      <c r="F290" s="25">
        <f>SUM($E$288,$F$288)*'Vstupy cost'!$B$190</f>
        <v>27600</v>
      </c>
      <c r="G290" s="25">
        <f>SUM($E$288,$F$288)*'Vstupy cost'!$B$190</f>
        <v>27600</v>
      </c>
      <c r="H290" s="25">
        <f>SUM($E$288,$F$288)*'Vstupy cost'!$B$190</f>
        <v>27600</v>
      </c>
      <c r="I290" s="25">
        <f>SUM($E$288,$F$288)*'Vstupy cost'!$B$190</f>
        <v>27600</v>
      </c>
      <c r="J290" s="25">
        <f>SUM($E$288,$F$288)*'Vstupy cost'!$B$190</f>
        <v>27600</v>
      </c>
      <c r="K290" s="25">
        <f>SUM($E$288,$F$288)*'Vstupy cost'!$B$190</f>
        <v>27600</v>
      </c>
      <c r="L290" s="25">
        <f>SUM($E$288,$F$288)*'Vstupy cost'!$B$190</f>
        <v>27600</v>
      </c>
      <c r="M290" s="35">
        <f t="shared" si="283"/>
        <v>207000</v>
      </c>
      <c r="O290" s="38">
        <f>SUM(C290:G290)</f>
        <v>69000</v>
      </c>
      <c r="P290" s="25"/>
      <c r="Q290" s="25">
        <f>SUM(H290:L290)</f>
        <v>138000</v>
      </c>
      <c r="R290" s="35"/>
      <c r="S290" s="22">
        <f t="shared" si="284"/>
        <v>0</v>
      </c>
    </row>
    <row r="291" spans="1:19" ht="13.95" hidden="1" customHeight="1" outlineLevel="1">
      <c r="A291" s="5" t="s">
        <v>111</v>
      </c>
      <c r="B291" s="24" t="s">
        <v>98</v>
      </c>
      <c r="C291" s="25"/>
      <c r="D291" s="25"/>
      <c r="E291" s="25">
        <f>'Vstupy cost'!$R$14*1.2</f>
        <v>32040</v>
      </c>
      <c r="F291" s="25">
        <f>'Vstupy cost'!$S$14*1.2</f>
        <v>312000</v>
      </c>
      <c r="G291" s="25">
        <f>'Vstupy cost'!$S$14*1.2</f>
        <v>312000</v>
      </c>
      <c r="H291" s="25">
        <f>'Vstupy cost'!$S$14*1.2</f>
        <v>312000</v>
      </c>
      <c r="I291" s="25">
        <f>'Vstupy cost'!$S$14*1.2</f>
        <v>312000</v>
      </c>
      <c r="J291" s="25">
        <f>'Vstupy cost'!$S$14*1.2</f>
        <v>312000</v>
      </c>
      <c r="K291" s="25">
        <f>'Vstupy cost'!$S$14*1.2</f>
        <v>312000</v>
      </c>
      <c r="L291" s="25">
        <f>'Vstupy cost'!$S$14*1.2</f>
        <v>312000</v>
      </c>
      <c r="M291" s="35">
        <f t="shared" si="283"/>
        <v>2216040</v>
      </c>
      <c r="O291" s="38">
        <f>SUM(E291:G291)</f>
        <v>656040</v>
      </c>
      <c r="P291" s="25"/>
      <c r="Q291" s="25">
        <f>SUM(H291:L291)</f>
        <v>1560000</v>
      </c>
      <c r="R291" s="35"/>
      <c r="S291" s="22"/>
    </row>
    <row r="292" spans="1:19" ht="13.95" hidden="1" customHeight="1" outlineLevel="1">
      <c r="A292" s="33" t="s">
        <v>112</v>
      </c>
      <c r="B292" s="32"/>
      <c r="C292" s="36">
        <f>SUM(C293:C302)</f>
        <v>0</v>
      </c>
      <c r="D292" s="36">
        <f t="shared" ref="D292" si="286">SUM(D293:D302)</f>
        <v>0</v>
      </c>
      <c r="E292" s="36">
        <f>SUM(E293:E302)</f>
        <v>2213048.2560000001</v>
      </c>
      <c r="F292" s="36">
        <f t="shared" ref="F292" si="287">SUM(F293:F302)</f>
        <v>57058602.336220004</v>
      </c>
      <c r="G292" s="36">
        <f t="shared" ref="G292" si="288">SUM(G293:G302)</f>
        <v>11005729.206246721</v>
      </c>
      <c r="H292" s="36">
        <f t="shared" ref="H292" si="289">SUM(H293:H302)</f>
        <v>11005729.206246721</v>
      </c>
      <c r="I292" s="36">
        <f t="shared" ref="I292" si="290">SUM(I293:I302)</f>
        <v>11005729.206246721</v>
      </c>
      <c r="J292" s="36">
        <f t="shared" ref="J292" si="291">SUM(J293:J302)</f>
        <v>11005729.206246721</v>
      </c>
      <c r="K292" s="36">
        <f t="shared" ref="K292" si="292">SUM(K293:K302)</f>
        <v>11005729.206246721</v>
      </c>
      <c r="L292" s="36">
        <f t="shared" ref="L292" si="293">SUM(L293:L302)</f>
        <v>11005729.206246721</v>
      </c>
      <c r="M292" s="37">
        <f t="shared" si="283"/>
        <v>125306025.82970032</v>
      </c>
      <c r="O292" s="38"/>
      <c r="P292" s="25"/>
      <c r="Q292" s="25"/>
      <c r="R292" s="35"/>
      <c r="S292" s="22"/>
    </row>
    <row r="293" spans="1:19" s="10" customFormat="1" ht="13.95" hidden="1" customHeight="1" outlineLevel="1">
      <c r="A293" s="5" t="s">
        <v>113</v>
      </c>
      <c r="B293" s="24" t="s">
        <v>107</v>
      </c>
      <c r="C293" s="25"/>
      <c r="E293" s="25">
        <f>'Vstupy cost'!O14*1.2</f>
        <v>600000</v>
      </c>
      <c r="F293" s="25"/>
      <c r="G293" s="25"/>
      <c r="H293" s="25"/>
      <c r="I293" s="25"/>
      <c r="J293" s="25"/>
      <c r="K293" s="25"/>
      <c r="L293" s="25"/>
      <c r="M293" s="35">
        <f t="shared" si="283"/>
        <v>600000</v>
      </c>
      <c r="O293" s="38">
        <f>E293</f>
        <v>600000</v>
      </c>
      <c r="P293" s="25"/>
      <c r="Q293" s="25"/>
      <c r="R293" s="35"/>
      <c r="S293" s="22">
        <f t="shared" ref="S293:S294" si="294">SUM(O293:R293)-M293</f>
        <v>0</v>
      </c>
    </row>
    <row r="294" spans="1:19" s="10" customFormat="1" ht="13.95" hidden="1" customHeight="1" outlineLevel="1">
      <c r="A294" s="5" t="s">
        <v>114</v>
      </c>
      <c r="B294" s="24" t="s">
        <v>98</v>
      </c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35">
        <f t="shared" ref="M294" si="295">SUM(C294:L294)</f>
        <v>0</v>
      </c>
      <c r="O294" s="38">
        <f>SUM(F294:G294)*0.65</f>
        <v>0</v>
      </c>
      <c r="P294" s="25">
        <f>SUM(F294:J294)*0.35</f>
        <v>0</v>
      </c>
      <c r="Q294" s="25">
        <f>SUM(H294:J294)*0.65+SUM(K294:L294)</f>
        <v>0</v>
      </c>
      <c r="R294" s="35"/>
      <c r="S294" s="22">
        <f t="shared" si="294"/>
        <v>0</v>
      </c>
    </row>
    <row r="295" spans="1:19" ht="13.95" hidden="1" customHeight="1" outlineLevel="1">
      <c r="A295" s="5" t="s">
        <v>115</v>
      </c>
      <c r="B295" s="24" t="s">
        <v>107</v>
      </c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35">
        <f t="shared" ref="M295" si="296">SUM(C295:L295)</f>
        <v>0</v>
      </c>
      <c r="O295" s="38">
        <f>SUM(C295:F295)</f>
        <v>0</v>
      </c>
      <c r="P295" s="25">
        <f>SUM(H295:K295)*0.35</f>
        <v>0</v>
      </c>
      <c r="Q295" s="25">
        <f>SUM(H295:K295)*0.65+L295</f>
        <v>0</v>
      </c>
      <c r="R295" s="35"/>
      <c r="S295" s="22">
        <f t="shared" ref="S295" si="297">SUM(O295:R295)-M295</f>
        <v>0</v>
      </c>
    </row>
    <row r="296" spans="1:19" ht="13.95" hidden="1" customHeight="1" outlineLevel="1">
      <c r="A296" s="5" t="s">
        <v>116</v>
      </c>
      <c r="B296" s="24" t="s">
        <v>107</v>
      </c>
      <c r="C296" s="80"/>
      <c r="D296" s="25"/>
      <c r="E296" s="25"/>
      <c r="F296" s="25">
        <f>'Vstupy cost'!$B$73*1.2</f>
        <v>50892000</v>
      </c>
      <c r="G296" s="25"/>
      <c r="H296" s="25"/>
      <c r="I296" s="25"/>
      <c r="J296" s="25"/>
      <c r="K296" s="25"/>
      <c r="L296" s="25"/>
      <c r="M296" s="35">
        <f t="shared" si="283"/>
        <v>50892000</v>
      </c>
      <c r="O296" s="38">
        <f t="shared" ref="O296:O297" si="298">SUM(C296:F296)</f>
        <v>50892000</v>
      </c>
      <c r="P296" s="25"/>
      <c r="Q296" s="25"/>
      <c r="R296" s="35"/>
      <c r="S296" s="22">
        <f t="shared" ref="S296:S297" si="299">SUM(O296:R296)-M296</f>
        <v>0</v>
      </c>
    </row>
    <row r="297" spans="1:19" ht="13.95" hidden="1" customHeight="1" outlineLevel="1">
      <c r="A297" s="5" t="s">
        <v>117</v>
      </c>
      <c r="B297" s="24" t="s">
        <v>107</v>
      </c>
      <c r="C297" s="25"/>
      <c r="D297" s="25"/>
      <c r="E297" s="25"/>
      <c r="F297" s="25">
        <f>'Vstupy cost'!$Q$14*1.2</f>
        <v>240000</v>
      </c>
      <c r="G297" s="25"/>
      <c r="H297" s="25"/>
      <c r="I297" s="25"/>
      <c r="J297" s="25"/>
      <c r="K297" s="25"/>
      <c r="L297" s="25"/>
      <c r="M297" s="35">
        <f t="shared" si="283"/>
        <v>240000</v>
      </c>
      <c r="O297" s="38">
        <f t="shared" si="298"/>
        <v>240000</v>
      </c>
      <c r="P297" s="25"/>
      <c r="Q297" s="25"/>
      <c r="R297" s="35"/>
      <c r="S297" s="22">
        <f t="shared" si="299"/>
        <v>0</v>
      </c>
    </row>
    <row r="298" spans="1:19" ht="13.95" hidden="1" customHeight="1" outlineLevel="1">
      <c r="A298" s="5" t="s">
        <v>118</v>
      </c>
      <c r="B298" s="24" t="s">
        <v>107</v>
      </c>
      <c r="C298" s="80"/>
      <c r="D298" s="25"/>
      <c r="E298" s="25">
        <f>'Vstupy cost'!$K$14*1.2</f>
        <v>0</v>
      </c>
      <c r="F298" s="25">
        <f>'Vstupy cost'!$L$14*1.2</f>
        <v>0</v>
      </c>
      <c r="H298" s="25"/>
      <c r="I298" s="25"/>
      <c r="J298" s="25"/>
      <c r="K298" s="25"/>
      <c r="L298" s="25"/>
      <c r="M298" s="35">
        <f t="shared" si="283"/>
        <v>0</v>
      </c>
      <c r="O298" s="38">
        <f>SUM(C298:E298)+F298*0.65</f>
        <v>0</v>
      </c>
      <c r="P298" s="25">
        <f>SUM(F298:L298)*0.35</f>
        <v>0</v>
      </c>
      <c r="Q298" s="25">
        <f>SUM(H298:L298)*0.65</f>
        <v>0</v>
      </c>
      <c r="R298" s="35"/>
      <c r="S298" s="22">
        <f t="shared" ref="S298:S302" si="300">SUM(O298:R298)-M298</f>
        <v>0</v>
      </c>
    </row>
    <row r="299" spans="1:19" ht="13.95" hidden="1" customHeight="1" outlineLevel="1">
      <c r="A299" s="5" t="s">
        <v>119</v>
      </c>
      <c r="B299" s="24" t="s">
        <v>98</v>
      </c>
      <c r="C299" s="25"/>
      <c r="D299" s="25"/>
      <c r="E299" s="25">
        <f>'Vstupy cost'!$E$14*'Vstupy cost'!$B$19*1.2*24*365</f>
        <v>722048.25600000005</v>
      </c>
      <c r="F299" s="25">
        <f>SUM('Vstupy cost'!$E$14*'Vstupy cost'!$B$19*1.2*24*365,'Vstupy cost'!$F$14*'Vstupy cost'!$B$19*1.2*24*365/3)</f>
        <v>4156318.6560000004</v>
      </c>
      <c r="G299" s="25">
        <f>'Vstupy cost'!$F$14*'Vstupy cost'!$B$19*1.2*24*365</f>
        <v>10302811.200000001</v>
      </c>
      <c r="H299" s="25">
        <f>'Vstupy cost'!$F$14*'Vstupy cost'!$B$19*1.2*24*365</f>
        <v>10302811.200000001</v>
      </c>
      <c r="I299" s="25">
        <f>'Vstupy cost'!$F$14*'Vstupy cost'!$B$19*1.2*24*365</f>
        <v>10302811.200000001</v>
      </c>
      <c r="J299" s="25">
        <f>'Vstupy cost'!$F$14*'Vstupy cost'!$B$19*1.2*24*365</f>
        <v>10302811.200000001</v>
      </c>
      <c r="K299" s="25">
        <f>'Vstupy cost'!$F$14*'Vstupy cost'!$B$19*1.2*24*365</f>
        <v>10302811.200000001</v>
      </c>
      <c r="L299" s="25">
        <f>'Vstupy cost'!$F$14*'Vstupy cost'!$B$19*1.2*24*365</f>
        <v>10302811.200000001</v>
      </c>
      <c r="M299" s="35">
        <f t="shared" si="283"/>
        <v>66695234.112000011</v>
      </c>
      <c r="O299" s="38">
        <f>SUM(C299:F299)</f>
        <v>4878366.9120000005</v>
      </c>
      <c r="P299" s="25">
        <f>SUM(G299:K299)*0.35</f>
        <v>18029919.600000001</v>
      </c>
      <c r="Q299" s="25">
        <f>SUM(G299:K299)*0.65+L299</f>
        <v>43786947.600000009</v>
      </c>
      <c r="R299" s="35"/>
      <c r="S299" s="22">
        <f t="shared" si="300"/>
        <v>0</v>
      </c>
    </row>
    <row r="300" spans="1:19" ht="13.95" hidden="1" customHeight="1" outlineLevel="1">
      <c r="A300" s="5" t="s">
        <v>120</v>
      </c>
      <c r="B300" s="24" t="s">
        <v>107</v>
      </c>
      <c r="C300" s="25"/>
      <c r="D300" s="25"/>
      <c r="F300" s="25">
        <f>'Vstupy cost'!$I$14*1.2</f>
        <v>879283.68021999893</v>
      </c>
      <c r="G300" s="25"/>
      <c r="H300" s="25"/>
      <c r="I300" s="25"/>
      <c r="J300" s="25"/>
      <c r="K300" s="25"/>
      <c r="L300" s="25"/>
      <c r="M300" s="35">
        <f t="shared" si="283"/>
        <v>879283.68021999893</v>
      </c>
      <c r="O300" s="38">
        <f>SUM(C300:G300)</f>
        <v>879283.68021999893</v>
      </c>
      <c r="P300" s="25">
        <f>SUM(H300:L300)*0.35</f>
        <v>0</v>
      </c>
      <c r="Q300" s="25">
        <f>SUM(H300:L300)*0.65</f>
        <v>0</v>
      </c>
      <c r="R300" s="35"/>
      <c r="S300" s="22">
        <f t="shared" si="300"/>
        <v>0</v>
      </c>
    </row>
    <row r="301" spans="1:19" s="10" customFormat="1" ht="13.95" hidden="1" customHeight="1" outlineLevel="1">
      <c r="A301" s="5" t="s">
        <v>121</v>
      </c>
      <c r="B301" s="24" t="s">
        <v>98</v>
      </c>
      <c r="C301" s="41"/>
      <c r="D301" s="41"/>
      <c r="E301" s="41"/>
      <c r="F301" s="41"/>
      <c r="G301" s="41">
        <f>IF($F$300=0,0,-'Vstupy cost'!$H$14*'Vstupy cost'!$B$19*1.2*12)</f>
        <v>-188081.99375327997</v>
      </c>
      <c r="H301" s="41">
        <f>IF($F$300=0,0,-'Vstupy cost'!$H$14*'Vstupy cost'!$B$19*1.2*12)</f>
        <v>-188081.99375327997</v>
      </c>
      <c r="I301" s="41">
        <f>IF($F$300=0,0,-'Vstupy cost'!$H$14*'Vstupy cost'!$B$19*1.2*12)</f>
        <v>-188081.99375327997</v>
      </c>
      <c r="J301" s="41">
        <f>IF($F$300=0,0,-'Vstupy cost'!$H$14*'Vstupy cost'!$B$19*1.2*12)</f>
        <v>-188081.99375327997</v>
      </c>
      <c r="K301" s="41">
        <f>IF($F$300=0,0,-'Vstupy cost'!$H$14*'Vstupy cost'!$B$19*1.2*12)</f>
        <v>-188081.99375327997</v>
      </c>
      <c r="L301" s="41">
        <f>IF($F$300=0,0,-'Vstupy cost'!$H$14*'Vstupy cost'!$B$19*1.2*12)</f>
        <v>-188081.99375327997</v>
      </c>
      <c r="M301" s="42">
        <f t="shared" si="283"/>
        <v>-1128491.9625196799</v>
      </c>
      <c r="O301" s="38">
        <f>SUM(C301:F301)</f>
        <v>0</v>
      </c>
      <c r="P301" s="25"/>
      <c r="Q301" s="25">
        <f>SUM(G301:L301)</f>
        <v>-1128491.9625196799</v>
      </c>
      <c r="R301" s="35"/>
      <c r="S301" s="22">
        <f t="shared" si="300"/>
        <v>0</v>
      </c>
    </row>
    <row r="302" spans="1:19" ht="13.95" hidden="1" customHeight="1" outlineLevel="1">
      <c r="A302" s="5" t="s">
        <v>122</v>
      </c>
      <c r="B302" s="24" t="s">
        <v>98</v>
      </c>
      <c r="C302" s="25"/>
      <c r="D302" s="25"/>
      <c r="E302" s="25">
        <f>'Vstupy cost'!$J$14*1.2</f>
        <v>891000</v>
      </c>
      <c r="F302" s="25">
        <f>'Vstupy cost'!$J$14*1.2</f>
        <v>891000</v>
      </c>
      <c r="G302" s="25">
        <f>'Vstupy cost'!$J$14*1.2</f>
        <v>891000</v>
      </c>
      <c r="H302" s="25">
        <f>'Vstupy cost'!$J$14*1.2</f>
        <v>891000</v>
      </c>
      <c r="I302" s="25">
        <f>'Vstupy cost'!$J$14*1.2</f>
        <v>891000</v>
      </c>
      <c r="J302" s="25">
        <f>'Vstupy cost'!$J$14*1.2</f>
        <v>891000</v>
      </c>
      <c r="K302" s="25">
        <f>'Vstupy cost'!$J$14*1.2</f>
        <v>891000</v>
      </c>
      <c r="L302" s="25">
        <f>'Vstupy cost'!$J$14*1.2</f>
        <v>891000</v>
      </c>
      <c r="M302" s="35">
        <f t="shared" si="283"/>
        <v>7128000</v>
      </c>
      <c r="O302" s="38">
        <f>SUM(C302:F302)</f>
        <v>1782000</v>
      </c>
      <c r="P302" s="25">
        <f>SUM(G302:K302)*0.35</f>
        <v>1559250</v>
      </c>
      <c r="Q302" s="25">
        <f>SUM(G302:K302)*0.65+L302</f>
        <v>3786750</v>
      </c>
      <c r="R302" s="35"/>
      <c r="S302" s="22">
        <f t="shared" si="300"/>
        <v>0</v>
      </c>
    </row>
    <row r="303" spans="1:19" ht="13.95" hidden="1" customHeight="1" outlineLevel="1">
      <c r="A303" s="33" t="s">
        <v>99</v>
      </c>
      <c r="B303" s="32"/>
      <c r="C303" s="36">
        <f>SUM(C304:C307)</f>
        <v>378073.20000000007</v>
      </c>
      <c r="D303" s="36">
        <f t="shared" ref="D303" si="301">SUM(D304:D307)</f>
        <v>1697182.2000000002</v>
      </c>
      <c r="E303" s="36">
        <f t="shared" ref="E303" si="302">SUM(E304:E307)</f>
        <v>2464490.9088000003</v>
      </c>
      <c r="F303" s="36">
        <f t="shared" ref="F303" si="303">SUM(F304:F307)</f>
        <v>4349796.8631120007</v>
      </c>
      <c r="G303" s="36">
        <f t="shared" ref="G303" si="304">SUM(G304:G307)</f>
        <v>4788380.1096486012</v>
      </c>
      <c r="H303" s="36">
        <f t="shared" ref="H303" si="305">SUM(H304:H307)</f>
        <v>4928575.5129380589</v>
      </c>
      <c r="I303" s="36">
        <f t="shared" ref="I303" si="306">SUM(I304:I307)</f>
        <v>5072976.7783262003</v>
      </c>
      <c r="J303" s="36">
        <f t="shared" ref="J303" si="307">SUM(J304:J307)</f>
        <v>5221710.0816759868</v>
      </c>
      <c r="K303" s="36">
        <f t="shared" ref="K303" si="308">SUM(K304:K307)</f>
        <v>5374905.3841262665</v>
      </c>
      <c r="L303" s="36">
        <f t="shared" ref="L303" si="309">SUM(L304:L307)</f>
        <v>5532696.5456500538</v>
      </c>
      <c r="M303" s="37">
        <f t="shared" si="283"/>
        <v>39808787.584277168</v>
      </c>
      <c r="O303" s="38"/>
      <c r="P303" s="25"/>
      <c r="Q303" s="25"/>
      <c r="R303" s="35"/>
      <c r="S303" s="22"/>
    </row>
    <row r="304" spans="1:19" ht="13.95" hidden="1" customHeight="1" outlineLevel="1">
      <c r="A304" s="5" t="s">
        <v>100</v>
      </c>
      <c r="B304" s="24" t="s">
        <v>98</v>
      </c>
      <c r="C304" s="25"/>
      <c r="D304" s="25">
        <f>'Vstupy cost'!$B$97*'Vstupy cost'!$B$98*1.2*12</f>
        <v>115200</v>
      </c>
      <c r="E304" s="25">
        <f>'Vstupy cost'!$B$97*'Vstupy cost'!$B$98*1.2*12</f>
        <v>115200</v>
      </c>
      <c r="F304" s="25">
        <f>'Vstupy cost'!$B$97*'Vstupy cost'!$B$98*1.2*12</f>
        <v>115200</v>
      </c>
      <c r="G304" s="25">
        <f>'Vstupy cost'!$B$97*'Vstupy cost'!$B$98*1.2*12</f>
        <v>115200</v>
      </c>
      <c r="H304" s="25">
        <f>'Vstupy cost'!$B$97*'Vstupy cost'!$B$98*1.2*12</f>
        <v>115200</v>
      </c>
      <c r="I304" s="25">
        <f>'Vstupy cost'!$B$97*'Vstupy cost'!$B$98*1.2*12</f>
        <v>115200</v>
      </c>
      <c r="J304" s="25">
        <f>'Vstupy cost'!$B$97*'Vstupy cost'!$B$98*1.2*12</f>
        <v>115200</v>
      </c>
      <c r="K304" s="25">
        <f>'Vstupy cost'!$B$97*'Vstupy cost'!$B$98*1.2*12</f>
        <v>115200</v>
      </c>
      <c r="L304" s="25">
        <f>'Vstupy cost'!$B$97*'Vstupy cost'!$B$98*1.2*12</f>
        <v>115200</v>
      </c>
      <c r="M304" s="35">
        <f t="shared" si="283"/>
        <v>1036800</v>
      </c>
      <c r="O304" s="38">
        <f>SUM(C304:F304)+G304*0.5</f>
        <v>403200</v>
      </c>
      <c r="P304" s="25"/>
      <c r="Q304" s="25">
        <f>SUM(H304:L304)+G304*0.5</f>
        <v>633600</v>
      </c>
      <c r="R304" s="35"/>
      <c r="S304" s="22">
        <f t="shared" ref="S304" si="310">SUM(O304:R304)-M304</f>
        <v>0</v>
      </c>
    </row>
    <row r="305" spans="1:19" ht="13.95" hidden="1" customHeight="1" outlineLevel="1">
      <c r="A305" s="5" t="s">
        <v>101</v>
      </c>
      <c r="B305" s="24" t="s">
        <v>98</v>
      </c>
      <c r="C305" s="25">
        <f>'Vstupy cost'!B90*'Vstupy cost'!B85*12*1.398</f>
        <v>221443.20000000004</v>
      </c>
      <c r="D305" s="25">
        <f>'Vstupy cost'!C90*'Vstupy cost'!C85*12*1.398</f>
        <v>570216.24000000011</v>
      </c>
      <c r="E305" s="25">
        <f>'Vstupy cost'!D90*'Vstupy cost'!D85*12*1.398</f>
        <v>880984.09080000012</v>
      </c>
      <c r="F305" s="25">
        <f>'Vstupy cost'!E90*'Vstupy cost'!E85*12*1.398</f>
        <v>1209884.8180320002</v>
      </c>
      <c r="G305" s="25">
        <f>'Vstupy cost'!F90*'Vstupy cost'!F85*12*1.398</f>
        <v>1557726.7032162005</v>
      </c>
      <c r="H305" s="25">
        <f>'Vstupy cost'!G90*'Vstupy cost'!G85*12*1.398</f>
        <v>1604458.5043126864</v>
      </c>
      <c r="I305" s="25">
        <f>'Vstupy cost'!H90*'Vstupy cost'!H85*12*1.398</f>
        <v>1652592.2594420668</v>
      </c>
      <c r="J305" s="25">
        <f>'Vstupy cost'!I90*'Vstupy cost'!I85*12*1.398</f>
        <v>1702170.0272253288</v>
      </c>
      <c r="K305" s="25">
        <f>'Vstupy cost'!J90*'Vstupy cost'!J85*12*1.398</f>
        <v>1753235.1280420888</v>
      </c>
      <c r="L305" s="25">
        <f>'Vstupy cost'!K90*'Vstupy cost'!K85*12*1.398</f>
        <v>1805832.1818833514</v>
      </c>
      <c r="M305" s="35">
        <f t="shared" si="283"/>
        <v>12958543.152953723</v>
      </c>
      <c r="O305" s="38">
        <f>SUM(C305:F305)</f>
        <v>2882528.3488320005</v>
      </c>
      <c r="P305" s="25">
        <f t="shared" ref="P305:P306" si="311">SUM(G305:K305)*0.35</f>
        <v>2894563.9177834298</v>
      </c>
      <c r="Q305" s="25">
        <f t="shared" ref="Q305:Q306" si="312">SUM(G305:K305)*0.65+L305</f>
        <v>7181450.8863382936</v>
      </c>
      <c r="R305" s="35"/>
      <c r="S305" s="22">
        <f>SUM(O305:R305)-M305</f>
        <v>0</v>
      </c>
    </row>
    <row r="306" spans="1:19" ht="13.95" hidden="1" customHeight="1" outlineLevel="1">
      <c r="A306" s="5" t="s">
        <v>102</v>
      </c>
      <c r="B306" s="24" t="s">
        <v>98</v>
      </c>
      <c r="C306" s="25">
        <f>'Vstupy cost'!B91*'Vstupy cost'!B85*12*1.398</f>
        <v>0</v>
      </c>
      <c r="D306" s="25">
        <f>'Vstupy cost'!C91*'Vstupy cost'!C85*12*1.398</f>
        <v>855324.3600000001</v>
      </c>
      <c r="E306" s="25">
        <f>'Vstupy cost'!D91*'Vstupy cost'!D85*12*1.398</f>
        <v>1468306.8180000002</v>
      </c>
      <c r="F306" s="25">
        <f>'Vstupy cost'!E91*'Vstupy cost'!E85*12*1.398</f>
        <v>3024712.0450800005</v>
      </c>
      <c r="G306" s="25">
        <f>'Vstupy cost'!F91*'Vstupy cost'!F85*12*1.398</f>
        <v>3115453.4064324009</v>
      </c>
      <c r="H306" s="25">
        <f>'Vstupy cost'!G91*'Vstupy cost'!G85*12*1.398</f>
        <v>3208917.0086253728</v>
      </c>
      <c r="I306" s="25">
        <f>'Vstupy cost'!H91*'Vstupy cost'!H85*12*1.398</f>
        <v>3305184.5188841335</v>
      </c>
      <c r="J306" s="25">
        <f>'Vstupy cost'!I91*'Vstupy cost'!I85*12*1.398</f>
        <v>3404340.0544506577</v>
      </c>
      <c r="K306" s="25">
        <f>'Vstupy cost'!J91*'Vstupy cost'!J85*12*1.398</f>
        <v>3506470.2560841776</v>
      </c>
      <c r="L306" s="25">
        <f>'Vstupy cost'!K91*'Vstupy cost'!K85*12*1.398</f>
        <v>3611664.3637667028</v>
      </c>
      <c r="M306" s="35">
        <f t="shared" si="283"/>
        <v>25500372.831323449</v>
      </c>
      <c r="O306" s="38">
        <f>SUM(C306:F306)-1000000</f>
        <v>4348343.2230800008</v>
      </c>
      <c r="P306" s="25">
        <f t="shared" si="311"/>
        <v>5789127.8355668597</v>
      </c>
      <c r="Q306" s="25">
        <f t="shared" si="312"/>
        <v>14362901.772676587</v>
      </c>
      <c r="R306" s="35">
        <v>1000000</v>
      </c>
      <c r="S306" s="22">
        <f t="shared" ref="S306:S307" si="313">SUM(O306:R306)-M306</f>
        <v>0</v>
      </c>
    </row>
    <row r="307" spans="1:19" ht="13.95" hidden="1" customHeight="1" outlineLevel="1">
      <c r="A307" s="5" t="s">
        <v>103</v>
      </c>
      <c r="B307" s="24" t="s">
        <v>98</v>
      </c>
      <c r="C307" s="25">
        <f>'Vstupy cost'!$B$117*1.2+'Vstupy cost'!$B$119*1.39</f>
        <v>156630</v>
      </c>
      <c r="D307" s="25">
        <f>'Vstupy cost'!$B$118*1.2</f>
        <v>156441.60000000001</v>
      </c>
      <c r="E307" s="25"/>
      <c r="F307" s="25"/>
      <c r="G307" s="25"/>
      <c r="H307" s="25"/>
      <c r="I307" s="25"/>
      <c r="J307" s="25"/>
      <c r="K307" s="25"/>
      <c r="L307" s="25"/>
      <c r="M307" s="35">
        <f t="shared" si="283"/>
        <v>313071.59999999998</v>
      </c>
      <c r="O307" s="38">
        <f t="shared" ref="O307" si="314">SUM(C307:G307)</f>
        <v>313071.59999999998</v>
      </c>
      <c r="P307" s="25"/>
      <c r="Q307" s="25">
        <f t="shared" ref="Q307" si="315">SUM(H307:L307)</f>
        <v>0</v>
      </c>
      <c r="R307" s="35"/>
      <c r="S307" s="22">
        <f t="shared" si="313"/>
        <v>0</v>
      </c>
    </row>
    <row r="308" spans="1:19" ht="13.95" hidden="1" customHeight="1" outlineLevel="1">
      <c r="A308" s="33" t="s">
        <v>80</v>
      </c>
      <c r="B308" s="32"/>
      <c r="C308" s="36">
        <f t="shared" ref="C308:L308" si="316">SUM(C309:C309)</f>
        <v>0</v>
      </c>
      <c r="D308" s="36">
        <f t="shared" si="316"/>
        <v>253000</v>
      </c>
      <c r="E308" s="36">
        <f t="shared" si="316"/>
        <v>455000</v>
      </c>
      <c r="F308" s="36">
        <f t="shared" si="316"/>
        <v>750000</v>
      </c>
      <c r="G308" s="36">
        <f t="shared" si="316"/>
        <v>990000</v>
      </c>
      <c r="H308" s="36">
        <f t="shared" si="316"/>
        <v>990000</v>
      </c>
      <c r="I308" s="36">
        <f t="shared" si="316"/>
        <v>990000</v>
      </c>
      <c r="J308" s="36">
        <f t="shared" si="316"/>
        <v>990000</v>
      </c>
      <c r="K308" s="36">
        <f t="shared" si="316"/>
        <v>990000</v>
      </c>
      <c r="L308" s="36">
        <f t="shared" si="316"/>
        <v>990000</v>
      </c>
      <c r="M308" s="37">
        <f t="shared" si="283"/>
        <v>7398000</v>
      </c>
      <c r="O308" s="38"/>
      <c r="P308" s="25"/>
      <c r="Q308" s="25"/>
      <c r="R308" s="35"/>
      <c r="S308" s="22"/>
    </row>
    <row r="309" spans="1:19" ht="13.95" hidden="1" customHeight="1" outlineLevel="1" thickBot="1">
      <c r="A309" s="9" t="s">
        <v>104</v>
      </c>
      <c r="B309" s="39"/>
      <c r="C309" s="39">
        <f>'Vstupy cost'!$B$113</f>
        <v>0</v>
      </c>
      <c r="D309" s="39">
        <f>'Vstupy cost'!$C$113</f>
        <v>253000</v>
      </c>
      <c r="E309" s="39">
        <f>'Vstupy cost'!$D$113</f>
        <v>455000</v>
      </c>
      <c r="F309" s="39">
        <f>'Vstupy cost'!$E$113</f>
        <v>750000</v>
      </c>
      <c r="G309" s="39">
        <f>'Vstupy cost'!$F$113</f>
        <v>990000</v>
      </c>
      <c r="H309" s="39">
        <f>'Vstupy cost'!$G$113</f>
        <v>990000</v>
      </c>
      <c r="I309" s="39">
        <f>'Vstupy cost'!$H$113</f>
        <v>990000</v>
      </c>
      <c r="J309" s="39">
        <f>'Vstupy cost'!$I$113</f>
        <v>990000</v>
      </c>
      <c r="K309" s="39">
        <f>'Vstupy cost'!$J$113</f>
        <v>990000</v>
      </c>
      <c r="L309" s="39">
        <f>'Vstupy cost'!$K$113</f>
        <v>990000</v>
      </c>
      <c r="M309" s="40">
        <f t="shared" ref="M309" si="317">SUM(C309:L309)</f>
        <v>7398000</v>
      </c>
      <c r="O309" s="188">
        <f>SUM(C309:F309)</f>
        <v>1458000</v>
      </c>
      <c r="P309" s="39"/>
      <c r="Q309" s="39">
        <v>3000000</v>
      </c>
      <c r="R309" s="40">
        <f>SUM(G309:L309)-Q309</f>
        <v>2940000</v>
      </c>
      <c r="S309" s="22">
        <f t="shared" ref="S309" si="318">SUM(O309:R309)-M309</f>
        <v>0</v>
      </c>
    </row>
    <row r="310" spans="1:19" ht="13.95" hidden="1" customHeight="1" outlineLevel="1"/>
    <row r="311" spans="1:19" s="10" customFormat="1" ht="13.95" hidden="1" customHeight="1" collapsed="1">
      <c r="A311" s="1" t="s">
        <v>26</v>
      </c>
      <c r="B311" s="2"/>
      <c r="C311" s="125">
        <f>SUM(C313,C319,C330,C335)</f>
        <v>378073.20000000007</v>
      </c>
      <c r="D311" s="125">
        <f t="shared" ref="D311:L311" si="319">SUM(D313,D319,D330,D335)</f>
        <v>1950182.2000000002</v>
      </c>
      <c r="E311" s="125">
        <f t="shared" si="319"/>
        <v>9100503.6128000002</v>
      </c>
      <c r="F311" s="125">
        <f t="shared" si="319"/>
        <v>98472251.656348005</v>
      </c>
      <c r="G311" s="125">
        <f t="shared" si="319"/>
        <v>19687626.660924502</v>
      </c>
      <c r="H311" s="125">
        <f t="shared" si="319"/>
        <v>19842776.240564838</v>
      </c>
      <c r="I311" s="125">
        <f t="shared" si="319"/>
        <v>20002580.307594381</v>
      </c>
      <c r="J311" s="125">
        <f t="shared" si="319"/>
        <v>20280794.496634811</v>
      </c>
      <c r="K311" s="125">
        <f t="shared" si="319"/>
        <v>21488714.631346453</v>
      </c>
      <c r="L311" s="125">
        <f t="shared" si="319"/>
        <v>21663336.850099444</v>
      </c>
      <c r="M311" s="126">
        <f>SUM(C311:L311)</f>
        <v>232866839.85631245</v>
      </c>
      <c r="O311" s="128">
        <f>SUM(O313:O337)</f>
        <v>97015430.669147983</v>
      </c>
      <c r="P311" s="129">
        <f t="shared" ref="P311:R311" si="320">SUM(P313:P337)</f>
        <v>45186430.207040988</v>
      </c>
      <c r="Q311" s="129">
        <f t="shared" si="320"/>
        <v>86724978.980123445</v>
      </c>
      <c r="R311" s="130">
        <f t="shared" si="320"/>
        <v>3940000</v>
      </c>
      <c r="S311" s="22">
        <f t="shared" ref="S311" si="321">SUM(O311:R311)-M311</f>
        <v>0</v>
      </c>
    </row>
    <row r="312" spans="1:19" s="10" customFormat="1" ht="13.95" hidden="1" customHeight="1" outlineLevel="1">
      <c r="A312" s="6"/>
      <c r="B312" s="4" t="s">
        <v>83</v>
      </c>
      <c r="C312" s="4" t="s">
        <v>84</v>
      </c>
      <c r="D312" s="4" t="s">
        <v>85</v>
      </c>
      <c r="E312" s="4" t="s">
        <v>86</v>
      </c>
      <c r="F312" s="4" t="s">
        <v>87</v>
      </c>
      <c r="G312" s="4" t="s">
        <v>88</v>
      </c>
      <c r="H312" s="4" t="s">
        <v>89</v>
      </c>
      <c r="I312" s="4" t="s">
        <v>90</v>
      </c>
      <c r="J312" s="4" t="s">
        <v>91</v>
      </c>
      <c r="K312" s="4" t="s">
        <v>92</v>
      </c>
      <c r="L312" s="4" t="s">
        <v>93</v>
      </c>
      <c r="M312" s="34" t="s">
        <v>11</v>
      </c>
      <c r="O312" s="27" t="s">
        <v>94</v>
      </c>
      <c r="P312" s="4" t="s">
        <v>95</v>
      </c>
      <c r="Q312" s="4" t="s">
        <v>96</v>
      </c>
      <c r="R312" s="28" t="s">
        <v>97</v>
      </c>
    </row>
    <row r="313" spans="1:19" ht="13.95" hidden="1" customHeight="1" outlineLevel="1">
      <c r="A313" s="33" t="s">
        <v>105</v>
      </c>
      <c r="B313" s="32"/>
      <c r="C313" s="36">
        <f>SUM(C314:C318)</f>
        <v>0</v>
      </c>
      <c r="D313" s="36">
        <f t="shared" ref="D313:L313" si="322">SUM(D314:D318)</f>
        <v>0</v>
      </c>
      <c r="E313" s="36">
        <f t="shared" si="322"/>
        <v>3957936</v>
      </c>
      <c r="F313" s="36">
        <f t="shared" si="322"/>
        <v>34970400</v>
      </c>
      <c r="G313" s="36">
        <f t="shared" si="322"/>
        <v>219600</v>
      </c>
      <c r="H313" s="36">
        <f t="shared" si="322"/>
        <v>219600</v>
      </c>
      <c r="I313" s="36">
        <f t="shared" si="322"/>
        <v>219600</v>
      </c>
      <c r="J313" s="36">
        <f t="shared" si="322"/>
        <v>333216</v>
      </c>
      <c r="K313" s="36">
        <f t="shared" si="322"/>
        <v>1371600</v>
      </c>
      <c r="L313" s="36">
        <f t="shared" si="322"/>
        <v>1371600</v>
      </c>
      <c r="M313" s="37">
        <f t="shared" ref="M313:M335" si="323">SUM(C313:L313)</f>
        <v>42663552</v>
      </c>
      <c r="O313" s="38"/>
      <c r="P313" s="25"/>
      <c r="Q313" s="25"/>
      <c r="R313" s="149"/>
      <c r="S313" s="22"/>
    </row>
    <row r="314" spans="1:19" ht="13.95" hidden="1" customHeight="1" outlineLevel="1">
      <c r="A314" s="5" t="s">
        <v>106</v>
      </c>
      <c r="B314" s="24" t="s">
        <v>107</v>
      </c>
      <c r="C314" s="25"/>
      <c r="D314" s="25"/>
      <c r="E314" s="25">
        <f>'Vstupy cost'!$M$15*1.2</f>
        <v>3787200</v>
      </c>
      <c r="F314" s="25">
        <f>'Vstupy cost'!$N$15*1.2</f>
        <v>34612800</v>
      </c>
      <c r="G314" s="25"/>
      <c r="H314" s="25"/>
      <c r="I314" s="25"/>
      <c r="J314" s="25"/>
      <c r="K314" s="25"/>
      <c r="L314" s="25"/>
      <c r="M314" s="35">
        <f t="shared" si="323"/>
        <v>38400000</v>
      </c>
      <c r="O314" s="38">
        <f>SUM(C314:E314)+0.65*F314</f>
        <v>26285520</v>
      </c>
      <c r="P314" s="25">
        <f>SUM(F314:K314)*0.35</f>
        <v>12114480</v>
      </c>
      <c r="Q314" s="25">
        <f>SUM(H314:L314)*0.65</f>
        <v>0</v>
      </c>
      <c r="R314" s="35"/>
      <c r="S314" s="22">
        <f t="shared" ref="S314:S317" si="324">SUM(O314:R314)-M314</f>
        <v>0</v>
      </c>
    </row>
    <row r="315" spans="1:19" ht="13.95" hidden="1" customHeight="1" outlineLevel="1">
      <c r="A315" s="5" t="s">
        <v>108</v>
      </c>
      <c r="B315" s="24" t="s">
        <v>107</v>
      </c>
      <c r="C315" s="25"/>
      <c r="D315" s="25"/>
      <c r="E315" s="25">
        <f>ROUND('Vstupy cost'!$C$188*1.2,-3)</f>
        <v>138000</v>
      </c>
      <c r="F315" s="25">
        <f>ROUND('Vstupy cost'!$C$188*1.2,-3)</f>
        <v>138000</v>
      </c>
      <c r="G315" s="25"/>
      <c r="H315" s="25"/>
      <c r="I315" s="25"/>
      <c r="J315" s="25"/>
      <c r="K315" s="25"/>
      <c r="L315" s="25"/>
      <c r="M315" s="35">
        <f t="shared" si="323"/>
        <v>276000</v>
      </c>
      <c r="O315" s="38">
        <f>SUM(C315:E315)+F315*0.65</f>
        <v>227700</v>
      </c>
      <c r="P315" s="25">
        <f>SUM(F315:K315)*0.35</f>
        <v>48300</v>
      </c>
      <c r="Q315" s="25">
        <f>SUM(H315:L315)*0.65</f>
        <v>0</v>
      </c>
      <c r="R315" s="35"/>
      <c r="S315" s="22">
        <f t="shared" si="324"/>
        <v>0</v>
      </c>
    </row>
    <row r="316" spans="1:19" ht="13.95" hidden="1" customHeight="1" outlineLevel="1">
      <c r="A316" s="5" t="s">
        <v>109</v>
      </c>
      <c r="B316" s="24" t="s">
        <v>98</v>
      </c>
      <c r="C316" s="25"/>
      <c r="D316" s="25"/>
      <c r="E316" s="25"/>
      <c r="F316" s="25"/>
      <c r="G316" s="25"/>
      <c r="H316" s="25"/>
      <c r="I316" s="25"/>
      <c r="J316" s="25">
        <f>$E$314*'Vstupy cost'!$B$48</f>
        <v>113616</v>
      </c>
      <c r="K316" s="25">
        <f>SUM($E$314:$F$314)*'Vstupy cost'!$B$48</f>
        <v>1152000</v>
      </c>
      <c r="L316" s="25">
        <f>SUM($E$314:$F$314)*'Vstupy cost'!$B$48</f>
        <v>1152000</v>
      </c>
      <c r="M316" s="35">
        <f t="shared" si="323"/>
        <v>2417616</v>
      </c>
      <c r="O316" s="38">
        <f t="shared" ref="O316" si="325">SUM(C316:F316)</f>
        <v>0</v>
      </c>
      <c r="P316" s="25"/>
      <c r="Q316" s="25">
        <f>SUM(H316:L316)</f>
        <v>2417616</v>
      </c>
      <c r="R316" s="35"/>
      <c r="S316" s="22">
        <f t="shared" si="324"/>
        <v>0</v>
      </c>
    </row>
    <row r="317" spans="1:19" ht="13.95" hidden="1" customHeight="1" outlineLevel="1">
      <c r="A317" s="5" t="s">
        <v>110</v>
      </c>
      <c r="B317" s="24" t="s">
        <v>98</v>
      </c>
      <c r="C317" s="25"/>
      <c r="D317" s="25"/>
      <c r="E317" s="25">
        <f>$E$315*'Vstupy cost'!$B$190</f>
        <v>13800</v>
      </c>
      <c r="F317" s="25">
        <f>SUM($E$315,$F$315)*'Vstupy cost'!$B$190</f>
        <v>27600</v>
      </c>
      <c r="G317" s="25">
        <f>SUM($E$315,$F$315)*'Vstupy cost'!$B$190</f>
        <v>27600</v>
      </c>
      <c r="H317" s="25">
        <f>SUM($E$315,$F$315)*'Vstupy cost'!$B$190</f>
        <v>27600</v>
      </c>
      <c r="I317" s="25">
        <f>SUM($E$315,$F$315)*'Vstupy cost'!$B$190</f>
        <v>27600</v>
      </c>
      <c r="J317" s="25">
        <f>SUM($E$315,$F$315)*'Vstupy cost'!$B$190</f>
        <v>27600</v>
      </c>
      <c r="K317" s="25">
        <f>SUM($E$315,$F$315)*'Vstupy cost'!$B$190</f>
        <v>27600</v>
      </c>
      <c r="L317" s="25">
        <f>SUM($E$315,$F$315)*'Vstupy cost'!$B$190</f>
        <v>27600</v>
      </c>
      <c r="M317" s="35">
        <f t="shared" si="323"/>
        <v>207000</v>
      </c>
      <c r="O317" s="38">
        <f>SUM(C317:G317)</f>
        <v>69000</v>
      </c>
      <c r="P317" s="25"/>
      <c r="Q317" s="25">
        <f>SUM(H317:L317)</f>
        <v>138000</v>
      </c>
      <c r="R317" s="35"/>
      <c r="S317" s="22">
        <f t="shared" si="324"/>
        <v>0</v>
      </c>
    </row>
    <row r="318" spans="1:19" ht="13.95" hidden="1" customHeight="1" outlineLevel="1">
      <c r="A318" s="5" t="s">
        <v>111</v>
      </c>
      <c r="B318" s="24" t="s">
        <v>98</v>
      </c>
      <c r="C318" s="25"/>
      <c r="D318" s="25"/>
      <c r="E318" s="25">
        <f>'Vstupy cost'!$R$15*1.2</f>
        <v>18936</v>
      </c>
      <c r="F318" s="25">
        <f>'Vstupy cost'!$S$15*1.2</f>
        <v>192000</v>
      </c>
      <c r="G318" s="25">
        <f>'Vstupy cost'!$S$15*1.2</f>
        <v>192000</v>
      </c>
      <c r="H318" s="25">
        <f>'Vstupy cost'!$S$15*1.2</f>
        <v>192000</v>
      </c>
      <c r="I318" s="25">
        <f>'Vstupy cost'!$S$15*1.2</f>
        <v>192000</v>
      </c>
      <c r="J318" s="25">
        <f>'Vstupy cost'!$S$15*1.2</f>
        <v>192000</v>
      </c>
      <c r="K318" s="25">
        <f>'Vstupy cost'!$S$15*1.2</f>
        <v>192000</v>
      </c>
      <c r="L318" s="25">
        <f>'Vstupy cost'!$S$15*1.2</f>
        <v>192000</v>
      </c>
      <c r="M318" s="35">
        <f t="shared" si="323"/>
        <v>1362936</v>
      </c>
      <c r="O318" s="38">
        <f>SUM(E318:G318)</f>
        <v>402936</v>
      </c>
      <c r="P318" s="25"/>
      <c r="Q318" s="25">
        <f>SUM(H318:L318)</f>
        <v>960000</v>
      </c>
      <c r="R318" s="35"/>
      <c r="S318" s="22"/>
    </row>
    <row r="319" spans="1:19" ht="13.95" hidden="1" customHeight="1" outlineLevel="1">
      <c r="A319" s="33" t="s">
        <v>112</v>
      </c>
      <c r="B319" s="32"/>
      <c r="C319" s="36">
        <f>SUM(C320:C329)</f>
        <v>0</v>
      </c>
      <c r="D319" s="36">
        <f t="shared" ref="D319:L319" si="326">SUM(D320:D329)</f>
        <v>0</v>
      </c>
      <c r="E319" s="36">
        <f>SUM(E320:E329)</f>
        <v>2223076.7039999999</v>
      </c>
      <c r="F319" s="36">
        <f t="shared" si="326"/>
        <v>57797112.384219997</v>
      </c>
      <c r="G319" s="36">
        <f t="shared" si="326"/>
        <v>13191174.006246718</v>
      </c>
      <c r="H319" s="36">
        <f t="shared" si="326"/>
        <v>13191174.006246718</v>
      </c>
      <c r="I319" s="36">
        <f t="shared" si="326"/>
        <v>13191174.006246718</v>
      </c>
      <c r="J319" s="36">
        <f t="shared" si="326"/>
        <v>13191174.006246718</v>
      </c>
      <c r="K319" s="36">
        <f t="shared" si="326"/>
        <v>13191174.006246718</v>
      </c>
      <c r="L319" s="36">
        <f t="shared" si="326"/>
        <v>13191174.006246718</v>
      </c>
      <c r="M319" s="37">
        <f t="shared" si="323"/>
        <v>139167233.12570029</v>
      </c>
      <c r="O319" s="38"/>
      <c r="P319" s="25"/>
      <c r="Q319" s="25"/>
      <c r="R319" s="35"/>
      <c r="S319" s="22"/>
    </row>
    <row r="320" spans="1:19" s="10" customFormat="1" ht="13.95" hidden="1" customHeight="1" outlineLevel="1">
      <c r="A320" s="5" t="s">
        <v>113</v>
      </c>
      <c r="B320" s="24" t="s">
        <v>107</v>
      </c>
      <c r="C320" s="25"/>
      <c r="E320" s="25">
        <f>'Vstupy cost'!O15*1.2</f>
        <v>600000</v>
      </c>
      <c r="F320" s="25"/>
      <c r="G320" s="25"/>
      <c r="H320" s="25"/>
      <c r="I320" s="25"/>
      <c r="J320" s="25"/>
      <c r="K320" s="25"/>
      <c r="L320" s="25"/>
      <c r="M320" s="35">
        <f t="shared" si="323"/>
        <v>600000</v>
      </c>
      <c r="O320" s="38">
        <f>E320</f>
        <v>600000</v>
      </c>
      <c r="P320" s="25"/>
      <c r="Q320" s="25"/>
      <c r="R320" s="35"/>
      <c r="S320" s="22">
        <f t="shared" ref="S320:S321" si="327">SUM(O320:R320)-M320</f>
        <v>0</v>
      </c>
    </row>
    <row r="321" spans="1:19" s="10" customFormat="1" ht="13.95" hidden="1" customHeight="1" outlineLevel="1">
      <c r="A321" s="5" t="s">
        <v>114</v>
      </c>
      <c r="B321" s="24" t="s">
        <v>98</v>
      </c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35">
        <f t="shared" si="323"/>
        <v>0</v>
      </c>
      <c r="O321" s="38">
        <f>SUM(F321:G321)*0.65</f>
        <v>0</v>
      </c>
      <c r="P321" s="25">
        <f>SUM(F321:J321)*0.35</f>
        <v>0</v>
      </c>
      <c r="Q321" s="25">
        <f>SUM(H321:J321)*0.65+SUM(K321:L321)</f>
        <v>0</v>
      </c>
      <c r="R321" s="35"/>
      <c r="S321" s="22">
        <f t="shared" si="327"/>
        <v>0</v>
      </c>
    </row>
    <row r="322" spans="1:19" ht="13.95" hidden="1" customHeight="1" outlineLevel="1">
      <c r="A322" s="5" t="s">
        <v>115</v>
      </c>
      <c r="B322" s="24" t="s">
        <v>107</v>
      </c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35">
        <f t="shared" ref="M322" si="328">SUM(C322:L322)</f>
        <v>0</v>
      </c>
      <c r="O322" s="38">
        <f>SUM(C322:F322)</f>
        <v>0</v>
      </c>
      <c r="P322" s="25">
        <f>SUM(H322:K322)*0.35</f>
        <v>0</v>
      </c>
      <c r="Q322" s="25">
        <f>SUM(H322:K322)*0.65+L322</f>
        <v>0</v>
      </c>
      <c r="R322" s="35"/>
      <c r="S322" s="22">
        <f t="shared" ref="S322" si="329">SUM(O322:R322)-M322</f>
        <v>0</v>
      </c>
    </row>
    <row r="323" spans="1:19" ht="13.95" hidden="1" customHeight="1" outlineLevel="1">
      <c r="A323" s="5" t="s">
        <v>116</v>
      </c>
      <c r="B323" s="24" t="s">
        <v>107</v>
      </c>
      <c r="C323" s="80"/>
      <c r="D323" s="25"/>
      <c r="E323" s="25"/>
      <c r="F323" s="25">
        <f>'Vstupy cost'!$B$73*1.2</f>
        <v>50892000</v>
      </c>
      <c r="G323" s="25"/>
      <c r="H323" s="25"/>
      <c r="I323" s="25"/>
      <c r="J323" s="25"/>
      <c r="K323" s="25"/>
      <c r="L323" s="25"/>
      <c r="M323" s="35">
        <f t="shared" si="323"/>
        <v>50892000</v>
      </c>
      <c r="O323" s="38">
        <f t="shared" ref="O323:O324" si="330">SUM(C323:F323)</f>
        <v>50892000</v>
      </c>
      <c r="P323" s="25"/>
      <c r="Q323" s="25"/>
      <c r="R323" s="35"/>
      <c r="S323" s="22">
        <f t="shared" ref="S323:S324" si="331">SUM(O323:R323)-M323</f>
        <v>0</v>
      </c>
    </row>
    <row r="324" spans="1:19" ht="13.95" hidden="1" customHeight="1" outlineLevel="1">
      <c r="A324" s="5" t="s">
        <v>117</v>
      </c>
      <c r="B324" s="24" t="s">
        <v>107</v>
      </c>
      <c r="C324" s="25"/>
      <c r="D324" s="25"/>
      <c r="E324" s="25"/>
      <c r="F324" s="25">
        <f>'Vstupy cost'!$Q$15*1.2</f>
        <v>240000</v>
      </c>
      <c r="G324" s="25"/>
      <c r="H324" s="25"/>
      <c r="I324" s="25"/>
      <c r="J324" s="25"/>
      <c r="K324" s="25"/>
      <c r="L324" s="25"/>
      <c r="M324" s="35">
        <f t="shared" si="323"/>
        <v>240000</v>
      </c>
      <c r="O324" s="38">
        <f t="shared" si="330"/>
        <v>240000</v>
      </c>
      <c r="P324" s="25"/>
      <c r="Q324" s="25"/>
      <c r="R324" s="35"/>
      <c r="S324" s="22">
        <f t="shared" si="331"/>
        <v>0</v>
      </c>
    </row>
    <row r="325" spans="1:19" ht="13.95" hidden="1" customHeight="1" outlineLevel="1">
      <c r="A325" s="5" t="s">
        <v>118</v>
      </c>
      <c r="B325" s="24" t="s">
        <v>107</v>
      </c>
      <c r="C325" s="80"/>
      <c r="D325" s="25"/>
      <c r="E325" s="25">
        <f>'Vstupy cost'!$K$15*1.2</f>
        <v>0</v>
      </c>
      <c r="F325" s="25">
        <f>'Vstupy cost'!$L$15*1.2</f>
        <v>0</v>
      </c>
      <c r="H325" s="25"/>
      <c r="I325" s="25"/>
      <c r="J325" s="25"/>
      <c r="K325" s="25"/>
      <c r="L325" s="25"/>
      <c r="M325" s="35">
        <f t="shared" si="323"/>
        <v>0</v>
      </c>
      <c r="O325" s="38">
        <f>SUM(C325:E325)+F325*0.65</f>
        <v>0</v>
      </c>
      <c r="P325" s="25">
        <f>SUM(F325:L325)*0.35</f>
        <v>0</v>
      </c>
      <c r="Q325" s="25">
        <f>SUM(H325:L325)*0.65</f>
        <v>0</v>
      </c>
      <c r="R325" s="35"/>
      <c r="S325" s="22">
        <f t="shared" ref="S325:S329" si="332">SUM(O325:R325)-M325</f>
        <v>0</v>
      </c>
    </row>
    <row r="326" spans="1:19" ht="13.95" hidden="1" customHeight="1" outlineLevel="1">
      <c r="A326" s="5" t="s">
        <v>119</v>
      </c>
      <c r="B326" s="24" t="s">
        <v>98</v>
      </c>
      <c r="C326" s="25"/>
      <c r="D326" s="25"/>
      <c r="E326" s="25">
        <f>'Vstupy cost'!$E$15*'Vstupy cost'!$B$19*1.2*24*365</f>
        <v>732076.70399999991</v>
      </c>
      <c r="F326" s="25">
        <f>SUM('Vstupy cost'!$E$15*'Vstupy cost'!$B$19*1.2*24*365,'Vstupy cost'!$F$15*'Vstupy cost'!$B$19*1.2*24*365/3)</f>
        <v>4894828.7039999999</v>
      </c>
      <c r="G326" s="25">
        <f>'Vstupy cost'!$F$15*'Vstupy cost'!$B$19*1.2*24*365</f>
        <v>12488255.999999998</v>
      </c>
      <c r="H326" s="25">
        <f>'Vstupy cost'!$F$15*'Vstupy cost'!$B$19*1.2*24*365</f>
        <v>12488255.999999998</v>
      </c>
      <c r="I326" s="25">
        <f>'Vstupy cost'!$F$15*'Vstupy cost'!$B$19*1.2*24*365</f>
        <v>12488255.999999998</v>
      </c>
      <c r="J326" s="25">
        <f>'Vstupy cost'!$F$15*'Vstupy cost'!$B$19*1.2*24*365</f>
        <v>12488255.999999998</v>
      </c>
      <c r="K326" s="25">
        <f>'Vstupy cost'!$F$15*'Vstupy cost'!$B$19*1.2*24*365</f>
        <v>12488255.999999998</v>
      </c>
      <c r="L326" s="25">
        <f>'Vstupy cost'!$F$15*'Vstupy cost'!$B$19*1.2*24*365</f>
        <v>12488255.999999998</v>
      </c>
      <c r="M326" s="35">
        <f t="shared" si="323"/>
        <v>80556441.407999992</v>
      </c>
      <c r="O326" s="38">
        <f>SUM(C326:F326)</f>
        <v>5626905.4079999998</v>
      </c>
      <c r="P326" s="25">
        <f>SUM(G326:K326)*0.35</f>
        <v>21854447.999999996</v>
      </c>
      <c r="Q326" s="25">
        <f>SUM(G326:K326)*0.65+L326</f>
        <v>53075088</v>
      </c>
      <c r="R326" s="35"/>
      <c r="S326" s="22">
        <f t="shared" si="332"/>
        <v>0</v>
      </c>
    </row>
    <row r="327" spans="1:19" ht="13.95" hidden="1" customHeight="1" outlineLevel="1">
      <c r="A327" s="5" t="s">
        <v>120</v>
      </c>
      <c r="B327" s="24" t="s">
        <v>107</v>
      </c>
      <c r="C327" s="25"/>
      <c r="D327" s="25"/>
      <c r="F327" s="25">
        <f>'Vstupy cost'!$I$15*1.2</f>
        <v>879283.68021999893</v>
      </c>
      <c r="G327" s="25"/>
      <c r="H327" s="25"/>
      <c r="I327" s="25"/>
      <c r="J327" s="25"/>
      <c r="K327" s="25"/>
      <c r="L327" s="25"/>
      <c r="M327" s="35">
        <f t="shared" si="323"/>
        <v>879283.68021999893</v>
      </c>
      <c r="O327" s="38">
        <f>SUM(C327:G327)</f>
        <v>879283.68021999893</v>
      </c>
      <c r="P327" s="25">
        <f>SUM(H327:L327)*0.35</f>
        <v>0</v>
      </c>
      <c r="Q327" s="25">
        <f>SUM(H327:L327)*0.65</f>
        <v>0</v>
      </c>
      <c r="R327" s="35"/>
      <c r="S327" s="22">
        <f t="shared" si="332"/>
        <v>0</v>
      </c>
    </row>
    <row r="328" spans="1:19" s="10" customFormat="1" ht="13.95" hidden="1" customHeight="1" outlineLevel="1">
      <c r="A328" s="5" t="s">
        <v>121</v>
      </c>
      <c r="B328" s="24" t="s">
        <v>98</v>
      </c>
      <c r="C328" s="41"/>
      <c r="D328" s="41"/>
      <c r="E328" s="41"/>
      <c r="F328" s="41"/>
      <c r="G328" s="41">
        <f>IF($F$327=0,0,-'Vstupy cost'!$H$15*'Vstupy cost'!$B$19*1.2*12)</f>
        <v>-188081.99375327997</v>
      </c>
      <c r="H328" s="41">
        <f>IF($F$327=0,0,-'Vstupy cost'!$H$15*'Vstupy cost'!$B$19*1.2*12)</f>
        <v>-188081.99375327997</v>
      </c>
      <c r="I328" s="41">
        <f>IF($F$327=0,0,-'Vstupy cost'!$H$15*'Vstupy cost'!$B$19*1.2*12)</f>
        <v>-188081.99375327997</v>
      </c>
      <c r="J328" s="41">
        <f>IF($F$327=0,0,-'Vstupy cost'!$H$15*'Vstupy cost'!$B$19*1.2*12)</f>
        <v>-188081.99375327997</v>
      </c>
      <c r="K328" s="41">
        <f>IF($F$327=0,0,-'Vstupy cost'!$H$15*'Vstupy cost'!$B$19*1.2*12)</f>
        <v>-188081.99375327997</v>
      </c>
      <c r="L328" s="41">
        <f>IF($F$327=0,0,-'Vstupy cost'!$H$15*'Vstupy cost'!$B$19*1.2*12)</f>
        <v>-188081.99375327997</v>
      </c>
      <c r="M328" s="42">
        <f t="shared" si="323"/>
        <v>-1128491.9625196799</v>
      </c>
      <c r="O328" s="38">
        <f>SUM(C328:F328)</f>
        <v>0</v>
      </c>
      <c r="P328" s="25"/>
      <c r="Q328" s="25">
        <f>SUM(G328:L328)</f>
        <v>-1128491.9625196799</v>
      </c>
      <c r="R328" s="35"/>
      <c r="S328" s="22">
        <f t="shared" si="332"/>
        <v>0</v>
      </c>
    </row>
    <row r="329" spans="1:19" ht="13.95" hidden="1" customHeight="1" outlineLevel="1">
      <c r="A329" s="5" t="s">
        <v>122</v>
      </c>
      <c r="B329" s="24" t="s">
        <v>98</v>
      </c>
      <c r="C329" s="25"/>
      <c r="D329" s="25"/>
      <c r="E329" s="25">
        <f>'Vstupy cost'!$J$15*1.2</f>
        <v>891000</v>
      </c>
      <c r="F329" s="25">
        <f>'Vstupy cost'!$J$15*1.2</f>
        <v>891000</v>
      </c>
      <c r="G329" s="25">
        <f>'Vstupy cost'!$J$15*1.2</f>
        <v>891000</v>
      </c>
      <c r="H329" s="25">
        <f>'Vstupy cost'!$J$15*1.2</f>
        <v>891000</v>
      </c>
      <c r="I329" s="25">
        <f>'Vstupy cost'!$J$15*1.2</f>
        <v>891000</v>
      </c>
      <c r="J329" s="25">
        <f>'Vstupy cost'!$J$15*1.2</f>
        <v>891000</v>
      </c>
      <c r="K329" s="25">
        <f>'Vstupy cost'!$J$15*1.2</f>
        <v>891000</v>
      </c>
      <c r="L329" s="25">
        <f>'Vstupy cost'!$J$15*1.2</f>
        <v>891000</v>
      </c>
      <c r="M329" s="35">
        <f t="shared" si="323"/>
        <v>7128000</v>
      </c>
      <c r="O329" s="38">
        <f>SUM(C329:F329)</f>
        <v>1782000</v>
      </c>
      <c r="P329" s="25">
        <f>SUM(G329:K329)*0.35</f>
        <v>1559250</v>
      </c>
      <c r="Q329" s="25">
        <f>SUM(G329:K329)*0.65+L329</f>
        <v>3786750</v>
      </c>
      <c r="R329" s="35"/>
      <c r="S329" s="22">
        <f t="shared" si="332"/>
        <v>0</v>
      </c>
    </row>
    <row r="330" spans="1:19" ht="13.95" hidden="1" customHeight="1" outlineLevel="1">
      <c r="A330" s="33" t="s">
        <v>99</v>
      </c>
      <c r="B330" s="32"/>
      <c r="C330" s="36">
        <f>SUM(C331:C334)</f>
        <v>378073.20000000007</v>
      </c>
      <c r="D330" s="36">
        <f t="shared" ref="D330" si="333">SUM(D331:D334)</f>
        <v>1697182.2000000002</v>
      </c>
      <c r="E330" s="36">
        <f t="shared" ref="E330" si="334">SUM(E331:E334)</f>
        <v>2464490.9088000003</v>
      </c>
      <c r="F330" s="36">
        <f t="shared" ref="F330" si="335">SUM(F331:F334)</f>
        <v>4954739.2721280009</v>
      </c>
      <c r="G330" s="36">
        <f t="shared" ref="G330" si="336">SUM(G331:G334)</f>
        <v>5286852.6546777859</v>
      </c>
      <c r="H330" s="36">
        <f t="shared" ref="H330" si="337">SUM(H331:H334)</f>
        <v>5442002.2343181185</v>
      </c>
      <c r="I330" s="36">
        <f t="shared" ref="I330" si="338">SUM(I331:I334)</f>
        <v>5601806.3013476627</v>
      </c>
      <c r="J330" s="36">
        <f t="shared" ref="J330" si="339">SUM(J331:J334)</f>
        <v>5766404.4903880926</v>
      </c>
      <c r="K330" s="36">
        <f t="shared" ref="K330" si="340">SUM(K331:K334)</f>
        <v>5935940.6250997353</v>
      </c>
      <c r="L330" s="36">
        <f t="shared" ref="L330" si="341">SUM(L331:L334)</f>
        <v>6110562.8438527277</v>
      </c>
      <c r="M330" s="37">
        <f t="shared" si="323"/>
        <v>43638054.730612122</v>
      </c>
      <c r="O330" s="38"/>
      <c r="P330" s="25"/>
      <c r="Q330" s="25"/>
      <c r="R330" s="35"/>
      <c r="S330" s="22"/>
    </row>
    <row r="331" spans="1:19" ht="13.95" hidden="1" customHeight="1" outlineLevel="1">
      <c r="A331" s="5" t="s">
        <v>100</v>
      </c>
      <c r="B331" s="24" t="s">
        <v>98</v>
      </c>
      <c r="C331" s="25"/>
      <c r="D331" s="25">
        <f>'Vstupy cost'!$B$97*'Vstupy cost'!$B$98*1.2*12</f>
        <v>115200</v>
      </c>
      <c r="E331" s="25">
        <f>'Vstupy cost'!$B$97*'Vstupy cost'!$B$98*1.2*12</f>
        <v>115200</v>
      </c>
      <c r="F331" s="25">
        <f>'Vstupy cost'!$B$97*'Vstupy cost'!$B$98*1.2*12</f>
        <v>115200</v>
      </c>
      <c r="G331" s="25">
        <f>'Vstupy cost'!$B$97*'Vstupy cost'!$B$98*1.2*12</f>
        <v>115200</v>
      </c>
      <c r="H331" s="25">
        <f>'Vstupy cost'!$B$97*'Vstupy cost'!$B$98*1.2*12</f>
        <v>115200</v>
      </c>
      <c r="I331" s="25">
        <f>'Vstupy cost'!$B$97*'Vstupy cost'!$B$98*1.2*12</f>
        <v>115200</v>
      </c>
      <c r="J331" s="25">
        <f>'Vstupy cost'!$B$97*'Vstupy cost'!$B$98*1.2*12</f>
        <v>115200</v>
      </c>
      <c r="K331" s="25">
        <f>'Vstupy cost'!$B$97*'Vstupy cost'!$B$98*1.2*12</f>
        <v>115200</v>
      </c>
      <c r="L331" s="25">
        <f>'Vstupy cost'!$B$97*'Vstupy cost'!$B$98*1.2*12</f>
        <v>115200</v>
      </c>
      <c r="M331" s="35">
        <f t="shared" si="323"/>
        <v>1036800</v>
      </c>
      <c r="O331" s="38">
        <f>SUM(C331:F331)+G331*0.5</f>
        <v>403200</v>
      </c>
      <c r="P331" s="25"/>
      <c r="Q331" s="25">
        <f>SUM(H331:L331)+G331*0.5</f>
        <v>633600</v>
      </c>
      <c r="R331" s="35"/>
      <c r="S331" s="22">
        <f t="shared" ref="S331" si="342">SUM(O331:R331)-M331</f>
        <v>0</v>
      </c>
    </row>
    <row r="332" spans="1:19" ht="13.95" hidden="1" customHeight="1" outlineLevel="1">
      <c r="A332" s="5" t="s">
        <v>101</v>
      </c>
      <c r="B332" s="24" t="s">
        <v>98</v>
      </c>
      <c r="C332" s="25">
        <f>'Vstupy cost'!B92*'Vstupy cost'!B85*12*1.398</f>
        <v>221443.20000000004</v>
      </c>
      <c r="D332" s="25">
        <f>'Vstupy cost'!C92*'Vstupy cost'!C85*12*1.398</f>
        <v>570216.24000000011</v>
      </c>
      <c r="E332" s="25">
        <f>'Vstupy cost'!D92*'Vstupy cost'!D85*12*1.398</f>
        <v>880984.09080000012</v>
      </c>
      <c r="F332" s="25">
        <f>'Vstupy cost'!E92*'Vstupy cost'!E85*12*1.398</f>
        <v>1512356.0225400003</v>
      </c>
      <c r="G332" s="25">
        <f>'Vstupy cost'!F92*'Vstupy cost'!F85*12*1.398</f>
        <v>1744653.9076021444</v>
      </c>
      <c r="H332" s="25">
        <f>'Vstupy cost'!G92*'Vstupy cost'!G85*12*1.398</f>
        <v>1796993.5248302089</v>
      </c>
      <c r="I332" s="25">
        <f>'Vstupy cost'!H92*'Vstupy cost'!H85*12*1.398</f>
        <v>1850903.3305751148</v>
      </c>
      <c r="J332" s="25">
        <f>'Vstupy cost'!I92*'Vstupy cost'!I85*12*1.398</f>
        <v>1906430.4304923685</v>
      </c>
      <c r="K332" s="25">
        <f>'Vstupy cost'!J92*'Vstupy cost'!J85*12*1.398</f>
        <v>1963623.3434071396</v>
      </c>
      <c r="L332" s="25">
        <f>'Vstupy cost'!K92*'Vstupy cost'!K85*12*1.398</f>
        <v>2022532.0437093535</v>
      </c>
      <c r="M332" s="35">
        <f t="shared" si="323"/>
        <v>14470136.133956328</v>
      </c>
      <c r="O332" s="38">
        <f>SUM(C332:F332)</f>
        <v>3184999.5533400006</v>
      </c>
      <c r="P332" s="25">
        <f t="shared" ref="P332:P333" si="343">SUM(G332:K332)*0.35</f>
        <v>3241911.5879174415</v>
      </c>
      <c r="Q332" s="25">
        <f t="shared" ref="Q332:Q333" si="344">SUM(G332:K332)*0.65+L332</f>
        <v>8043224.9926988883</v>
      </c>
      <c r="R332" s="35"/>
      <c r="S332" s="22">
        <f>SUM(O332:R332)-M332</f>
        <v>0</v>
      </c>
    </row>
    <row r="333" spans="1:19" ht="13.95" hidden="1" customHeight="1" outlineLevel="1">
      <c r="A333" s="5" t="s">
        <v>102</v>
      </c>
      <c r="B333" s="24" t="s">
        <v>98</v>
      </c>
      <c r="C333" s="25">
        <f>'Vstupy cost'!B93*'Vstupy cost'!B85*12*1.398</f>
        <v>0</v>
      </c>
      <c r="D333" s="25">
        <f>'Vstupy cost'!C93*'Vstupy cost'!C85*12*1.398</f>
        <v>855324.3600000001</v>
      </c>
      <c r="E333" s="25">
        <f>'Vstupy cost'!D93*'Vstupy cost'!D85*12*1.398</f>
        <v>1468306.8180000002</v>
      </c>
      <c r="F333" s="25">
        <f>'Vstupy cost'!E93*'Vstupy cost'!E85*12*1.398</f>
        <v>3327183.2495880006</v>
      </c>
      <c r="G333" s="25">
        <f>'Vstupy cost'!F93*'Vstupy cost'!F85*12*1.398</f>
        <v>3426998.7470756411</v>
      </c>
      <c r="H333" s="25">
        <f>'Vstupy cost'!G93*'Vstupy cost'!G85*12*1.398</f>
        <v>3529808.7094879099</v>
      </c>
      <c r="I333" s="25">
        <f>'Vstupy cost'!H93*'Vstupy cost'!H85*12*1.398</f>
        <v>3635702.9707725476</v>
      </c>
      <c r="J333" s="25">
        <f>'Vstupy cost'!I93*'Vstupy cost'!I85*12*1.398</f>
        <v>3744774.0598957241</v>
      </c>
      <c r="K333" s="25">
        <f>'Vstupy cost'!J93*'Vstupy cost'!J85*12*1.398</f>
        <v>3857117.2816925952</v>
      </c>
      <c r="L333" s="25">
        <f>'Vstupy cost'!K93*'Vstupy cost'!K85*12*1.398</f>
        <v>3972830.8001433741</v>
      </c>
      <c r="M333" s="35">
        <f t="shared" si="323"/>
        <v>27818046.996655792</v>
      </c>
      <c r="O333" s="38">
        <f>SUM(C333:F333)-1000000</f>
        <v>4650814.4275880009</v>
      </c>
      <c r="P333" s="25">
        <f t="shared" si="343"/>
        <v>6368040.6191235464</v>
      </c>
      <c r="Q333" s="25">
        <f t="shared" si="344"/>
        <v>15799191.949944247</v>
      </c>
      <c r="R333" s="35">
        <v>1000000</v>
      </c>
      <c r="S333" s="22">
        <f t="shared" ref="S333:S334" si="345">SUM(O333:R333)-M333</f>
        <v>0</v>
      </c>
    </row>
    <row r="334" spans="1:19" ht="13.95" hidden="1" customHeight="1" outlineLevel="1">
      <c r="A334" s="5" t="s">
        <v>103</v>
      </c>
      <c r="B334" s="24" t="s">
        <v>98</v>
      </c>
      <c r="C334" s="25">
        <f>'Vstupy cost'!$B$117*1.2+'Vstupy cost'!$B$119*1.39</f>
        <v>156630</v>
      </c>
      <c r="D334" s="25">
        <f>'Vstupy cost'!$B$118*1.2</f>
        <v>156441.60000000001</v>
      </c>
      <c r="E334" s="25"/>
      <c r="F334" s="25"/>
      <c r="G334" s="25"/>
      <c r="H334" s="25"/>
      <c r="I334" s="25"/>
      <c r="J334" s="25"/>
      <c r="K334" s="25"/>
      <c r="L334" s="25"/>
      <c r="M334" s="35">
        <f t="shared" si="323"/>
        <v>313071.59999999998</v>
      </c>
      <c r="O334" s="38">
        <f t="shared" ref="O334" si="346">SUM(C334:G334)</f>
        <v>313071.59999999998</v>
      </c>
      <c r="P334" s="25"/>
      <c r="Q334" s="25">
        <f t="shared" ref="Q334" si="347">SUM(H334:L334)</f>
        <v>0</v>
      </c>
      <c r="R334" s="35"/>
      <c r="S334" s="22">
        <f t="shared" si="345"/>
        <v>0</v>
      </c>
    </row>
    <row r="335" spans="1:19" ht="13.95" hidden="1" customHeight="1" outlineLevel="1">
      <c r="A335" s="33" t="s">
        <v>80</v>
      </c>
      <c r="B335" s="32"/>
      <c r="C335" s="36">
        <f>SUM(C336:C337)</f>
        <v>0</v>
      </c>
      <c r="D335" s="36">
        <f t="shared" ref="D335" si="348">SUM(D336:D337)</f>
        <v>253000</v>
      </c>
      <c r="E335" s="36">
        <f t="shared" ref="E335" si="349">SUM(E336:E337)</f>
        <v>455000</v>
      </c>
      <c r="F335" s="36">
        <f t="shared" ref="F335" si="350">SUM(F336:F337)</f>
        <v>750000</v>
      </c>
      <c r="G335" s="36">
        <f t="shared" ref="G335" si="351">SUM(G336:G337)</f>
        <v>990000</v>
      </c>
      <c r="H335" s="36">
        <f t="shared" ref="H335" si="352">SUM(H336:H337)</f>
        <v>990000</v>
      </c>
      <c r="I335" s="36">
        <f t="shared" ref="I335" si="353">SUM(I336:I337)</f>
        <v>990000</v>
      </c>
      <c r="J335" s="36">
        <f t="shared" ref="J335" si="354">SUM(J336:J337)</f>
        <v>990000</v>
      </c>
      <c r="K335" s="36">
        <f t="shared" ref="K335" si="355">SUM(K336:K337)</f>
        <v>990000</v>
      </c>
      <c r="L335" s="36">
        <f t="shared" ref="L335" si="356">SUM(L336:L337)</f>
        <v>990000</v>
      </c>
      <c r="M335" s="37">
        <f t="shared" si="323"/>
        <v>7398000</v>
      </c>
      <c r="O335" s="38"/>
      <c r="P335" s="25"/>
      <c r="Q335" s="25"/>
      <c r="R335" s="35"/>
      <c r="S335" s="22"/>
    </row>
    <row r="336" spans="1:19" ht="13.95" hidden="1" customHeight="1" outlineLevel="1" thickBot="1">
      <c r="A336" s="9" t="s">
        <v>104</v>
      </c>
      <c r="B336" s="39"/>
      <c r="C336" s="39">
        <f>'Vstupy cost'!$B$113</f>
        <v>0</v>
      </c>
      <c r="D336" s="39">
        <f>'Vstupy cost'!$C$113</f>
        <v>253000</v>
      </c>
      <c r="E336" s="39">
        <f>'Vstupy cost'!$D$113</f>
        <v>455000</v>
      </c>
      <c r="F336" s="39">
        <f>'Vstupy cost'!$E$113</f>
        <v>750000</v>
      </c>
      <c r="G336" s="39">
        <f>'Vstupy cost'!$F$113</f>
        <v>990000</v>
      </c>
      <c r="H336" s="39">
        <f>'Vstupy cost'!$G$113</f>
        <v>990000</v>
      </c>
      <c r="I336" s="39">
        <f>'Vstupy cost'!$H$113</f>
        <v>990000</v>
      </c>
      <c r="J336" s="39">
        <f>'Vstupy cost'!$I$113</f>
        <v>990000</v>
      </c>
      <c r="K336" s="39">
        <f>'Vstupy cost'!$J$113</f>
        <v>990000</v>
      </c>
      <c r="L336" s="39">
        <f>'Vstupy cost'!$K$113</f>
        <v>990000</v>
      </c>
      <c r="M336" s="40">
        <f t="shared" ref="M336" si="357">SUM(C336:L336)</f>
        <v>7398000</v>
      </c>
      <c r="O336" s="188">
        <f>SUM(C336:F336)</f>
        <v>1458000</v>
      </c>
      <c r="P336" s="39"/>
      <c r="Q336" s="39">
        <v>3000000</v>
      </c>
      <c r="R336" s="40">
        <f>SUM(G336:L336)-Q336</f>
        <v>2940000</v>
      </c>
      <c r="S336" s="22">
        <f t="shared" ref="S336" si="358">SUM(O336:R336)-M336</f>
        <v>0</v>
      </c>
    </row>
    <row r="337" spans="1:19" ht="13.95" hidden="1" customHeight="1" outlineLevel="1">
      <c r="O337" s="10"/>
      <c r="P337" s="10"/>
      <c r="Q337" s="10"/>
      <c r="R337" s="10"/>
      <c r="S337" s="22"/>
    </row>
    <row r="338" spans="1:19" ht="13.95" customHeight="1">
      <c r="A338" s="318" t="s">
        <v>107</v>
      </c>
      <c r="C338" s="25">
        <f>SUM(C125,C126,C133,C138)</f>
        <v>0</v>
      </c>
      <c r="D338" s="25">
        <f t="shared" ref="D338:L338" si="359">SUM(D125,D126,D133,D138)</f>
        <v>0</v>
      </c>
      <c r="E338" s="25">
        <f t="shared" si="359"/>
        <v>0</v>
      </c>
      <c r="F338" s="25">
        <f t="shared" si="359"/>
        <v>36649551.946999997</v>
      </c>
      <c r="G338" s="25">
        <f t="shared" si="359"/>
        <v>138000</v>
      </c>
      <c r="H338" s="25">
        <f t="shared" si="359"/>
        <v>0</v>
      </c>
      <c r="I338" s="25">
        <f t="shared" si="359"/>
        <v>0</v>
      </c>
      <c r="J338" s="25">
        <f t="shared" si="359"/>
        <v>0</v>
      </c>
      <c r="K338" s="25">
        <f t="shared" si="359"/>
        <v>0</v>
      </c>
      <c r="L338" s="25">
        <f t="shared" si="359"/>
        <v>0</v>
      </c>
      <c r="M338" s="319">
        <f>SUM(C338:L338)</f>
        <v>36787551.946999997</v>
      </c>
      <c r="O338" s="322" t="s">
        <v>518</v>
      </c>
      <c r="P338" s="25"/>
      <c r="Q338" s="25">
        <f>SUM(O122:Q122)</f>
        <v>70333711.231988445</v>
      </c>
      <c r="R338" s="25"/>
    </row>
    <row r="339" spans="1:19" ht="13.95" customHeight="1">
      <c r="A339" s="318" t="s">
        <v>98</v>
      </c>
      <c r="C339" s="25">
        <f>SUM(C127,C128,C129,C137,C139,C140,C143,C144,C145,C147)</f>
        <v>267351.60000000003</v>
      </c>
      <c r="D339" s="25">
        <f t="shared" ref="D339:L339" si="360">SUM(D127,D128,D129,D137,D139,D140,D143,D144,D145,D147)</f>
        <v>1435830.8320000002</v>
      </c>
      <c r="E339" s="25">
        <f t="shared" si="360"/>
        <v>1512180.9089600001</v>
      </c>
      <c r="F339" s="25">
        <f t="shared" si="360"/>
        <v>2737345.3602288002</v>
      </c>
      <c r="G339" s="25">
        <f t="shared" si="360"/>
        <v>4564183.2137876647</v>
      </c>
      <c r="H339" s="25">
        <f t="shared" si="360"/>
        <v>4597830.1105771344</v>
      </c>
      <c r="I339" s="25">
        <f t="shared" si="360"/>
        <v>4632486.4142702883</v>
      </c>
      <c r="J339" s="25">
        <f t="shared" si="360"/>
        <v>4668182.4070742372</v>
      </c>
      <c r="K339" s="25">
        <f t="shared" si="360"/>
        <v>5546449.2796623036</v>
      </c>
      <c r="L339" s="25">
        <f t="shared" si="360"/>
        <v>5584319.1584280133</v>
      </c>
      <c r="M339" s="319">
        <f>SUM(C339:L339)</f>
        <v>35546159.284988441</v>
      </c>
      <c r="O339" s="322" t="s">
        <v>97</v>
      </c>
      <c r="P339" s="25"/>
      <c r="Q339" s="25">
        <f>R122</f>
        <v>2000000</v>
      </c>
      <c r="R339" s="25"/>
    </row>
  </sheetData>
  <mergeCells count="1">
    <mergeCell ref="O1:R1"/>
  </mergeCells>
  <conditionalFormatting sqref="S94 S67 S121 S202 S229 S283 S310 S124:S128 S5 S1:S3 S13:S14 S7:S10 S338:S1048576 S40 S175 S256 S133 S148 S136:S146 S130">
    <cfRule type="cellIs" dxfId="97" priority="198" operator="notEqual">
      <formula>0</formula>
    </cfRule>
  </conditionalFormatting>
  <conditionalFormatting sqref="S68">
    <cfRule type="cellIs" dxfId="96" priority="146" operator="notEqual">
      <formula>0</formula>
    </cfRule>
  </conditionalFormatting>
  <conditionalFormatting sqref="S6">
    <cfRule type="cellIs" dxfId="95" priority="175" operator="notEqual">
      <formula>0</formula>
    </cfRule>
  </conditionalFormatting>
  <conditionalFormatting sqref="S11">
    <cfRule type="cellIs" dxfId="94" priority="174" operator="notEqual">
      <formula>0</formula>
    </cfRule>
  </conditionalFormatting>
  <conditionalFormatting sqref="S122">
    <cfRule type="cellIs" dxfId="93" priority="141" operator="notEqual">
      <formula>0</formula>
    </cfRule>
  </conditionalFormatting>
  <conditionalFormatting sqref="S203">
    <cfRule type="cellIs" dxfId="92" priority="136" operator="notEqual">
      <formula>0</formula>
    </cfRule>
  </conditionalFormatting>
  <conditionalFormatting sqref="S257">
    <cfRule type="cellIs" dxfId="91" priority="131" operator="notEqual">
      <formula>0</formula>
    </cfRule>
  </conditionalFormatting>
  <conditionalFormatting sqref="S69">
    <cfRule type="cellIs" dxfId="90" priority="160" operator="notEqual">
      <formula>0</formula>
    </cfRule>
  </conditionalFormatting>
  <conditionalFormatting sqref="S15">
    <cfRule type="cellIs" dxfId="89" priority="162" operator="notEqual">
      <formula>0</formula>
    </cfRule>
  </conditionalFormatting>
  <conditionalFormatting sqref="S42">
    <cfRule type="cellIs" dxfId="88" priority="161" operator="notEqual">
      <formula>0</formula>
    </cfRule>
  </conditionalFormatting>
  <conditionalFormatting sqref="S96">
    <cfRule type="cellIs" dxfId="87" priority="159" operator="notEqual">
      <formula>0</formula>
    </cfRule>
  </conditionalFormatting>
  <conditionalFormatting sqref="S123">
    <cfRule type="cellIs" dxfId="86" priority="158" operator="notEqual">
      <formula>0</formula>
    </cfRule>
  </conditionalFormatting>
  <conditionalFormatting sqref="S150">
    <cfRule type="cellIs" dxfId="85" priority="157" operator="notEqual">
      <formula>0</formula>
    </cfRule>
  </conditionalFormatting>
  <conditionalFormatting sqref="S177">
    <cfRule type="cellIs" dxfId="84" priority="156" operator="notEqual">
      <formula>0</formula>
    </cfRule>
  </conditionalFormatting>
  <conditionalFormatting sqref="S204">
    <cfRule type="cellIs" dxfId="83" priority="155" operator="notEqual">
      <formula>0</formula>
    </cfRule>
  </conditionalFormatting>
  <conditionalFormatting sqref="S231">
    <cfRule type="cellIs" dxfId="82" priority="154" operator="notEqual">
      <formula>0</formula>
    </cfRule>
  </conditionalFormatting>
  <conditionalFormatting sqref="S258">
    <cfRule type="cellIs" dxfId="81" priority="153" operator="notEqual">
      <formula>0</formula>
    </cfRule>
  </conditionalFormatting>
  <conditionalFormatting sqref="S285">
    <cfRule type="cellIs" dxfId="80" priority="152" operator="notEqual">
      <formula>0</formula>
    </cfRule>
  </conditionalFormatting>
  <conditionalFormatting sqref="S312">
    <cfRule type="cellIs" dxfId="79" priority="151" operator="notEqual">
      <formula>0</formula>
    </cfRule>
  </conditionalFormatting>
  <conditionalFormatting sqref="S4">
    <cfRule type="cellIs" dxfId="78" priority="150" operator="notEqual">
      <formula>0</formula>
    </cfRule>
  </conditionalFormatting>
  <conditionalFormatting sqref="S41">
    <cfRule type="cellIs" dxfId="77" priority="147" operator="notEqual">
      <formula>0</formula>
    </cfRule>
  </conditionalFormatting>
  <conditionalFormatting sqref="S95">
    <cfRule type="cellIs" dxfId="76" priority="144" operator="notEqual">
      <formula>0</formula>
    </cfRule>
  </conditionalFormatting>
  <conditionalFormatting sqref="S149">
    <cfRule type="cellIs" dxfId="75" priority="139" operator="notEqual">
      <formula>0</formula>
    </cfRule>
  </conditionalFormatting>
  <conditionalFormatting sqref="S176">
    <cfRule type="cellIs" dxfId="74" priority="138" operator="notEqual">
      <formula>0</formula>
    </cfRule>
  </conditionalFormatting>
  <conditionalFormatting sqref="S230">
    <cfRule type="cellIs" dxfId="73" priority="134" operator="notEqual">
      <formula>0</formula>
    </cfRule>
  </conditionalFormatting>
  <conditionalFormatting sqref="S284">
    <cfRule type="cellIs" dxfId="72" priority="128" operator="notEqual">
      <formula>0</formula>
    </cfRule>
  </conditionalFormatting>
  <conditionalFormatting sqref="S311">
    <cfRule type="cellIs" dxfId="71" priority="126" operator="notEqual">
      <formula>0</formula>
    </cfRule>
  </conditionalFormatting>
  <conditionalFormatting sqref="O3 O14 O41 O68 O95 O122 O149 O176 O203 O230 O257 O284 O311">
    <cfRule type="cellIs" dxfId="70" priority="124" operator="lessThan">
      <formula>70000000</formula>
    </cfRule>
  </conditionalFormatting>
  <conditionalFormatting sqref="S337">
    <cfRule type="cellIs" dxfId="69" priority="112" operator="notEqual">
      <formula>0</formula>
    </cfRule>
  </conditionalFormatting>
  <conditionalFormatting sqref="S147">
    <cfRule type="cellIs" dxfId="68" priority="89" operator="notEqual">
      <formula>0</formula>
    </cfRule>
  </conditionalFormatting>
  <conditionalFormatting sqref="S80:S81">
    <cfRule type="cellIs" dxfId="67" priority="49" operator="notEqual">
      <formula>0</formula>
    </cfRule>
  </conditionalFormatting>
  <conditionalFormatting sqref="S43:S47 S52 S55:S65 S49">
    <cfRule type="cellIs" dxfId="66" priority="48" operator="notEqual">
      <formula>0</formula>
    </cfRule>
  </conditionalFormatting>
  <conditionalFormatting sqref="S66">
    <cfRule type="cellIs" dxfId="65" priority="47" operator="notEqual">
      <formula>0</formula>
    </cfRule>
  </conditionalFormatting>
  <conditionalFormatting sqref="S50:S51">
    <cfRule type="cellIs" dxfId="64" priority="46" operator="notEqual">
      <formula>0</formula>
    </cfRule>
  </conditionalFormatting>
  <conditionalFormatting sqref="S53:S54">
    <cfRule type="cellIs" dxfId="63" priority="45" operator="notEqual">
      <formula>0</formula>
    </cfRule>
  </conditionalFormatting>
  <conditionalFormatting sqref="S16:S20 S25 S28:S38 S22">
    <cfRule type="cellIs" dxfId="62" priority="44" operator="notEqual">
      <formula>0</formula>
    </cfRule>
  </conditionalFormatting>
  <conditionalFormatting sqref="S39">
    <cfRule type="cellIs" dxfId="61" priority="43" operator="notEqual">
      <formula>0</formula>
    </cfRule>
  </conditionalFormatting>
  <conditionalFormatting sqref="S23:S24">
    <cfRule type="cellIs" dxfId="60" priority="42" operator="notEqual">
      <formula>0</formula>
    </cfRule>
  </conditionalFormatting>
  <conditionalFormatting sqref="S26:S27">
    <cfRule type="cellIs" dxfId="59" priority="41" operator="notEqual">
      <formula>0</formula>
    </cfRule>
  </conditionalFormatting>
  <conditionalFormatting sqref="S151:S155 S160 S163:S173 S157">
    <cfRule type="cellIs" dxfId="58" priority="40" operator="notEqual">
      <formula>0</formula>
    </cfRule>
  </conditionalFormatting>
  <conditionalFormatting sqref="S70:S76 S79 S82:S92">
    <cfRule type="cellIs" dxfId="57" priority="52" operator="notEqual">
      <formula>0</formula>
    </cfRule>
  </conditionalFormatting>
  <conditionalFormatting sqref="S131:S132">
    <cfRule type="cellIs" dxfId="56" priority="84" operator="notEqual">
      <formula>0</formula>
    </cfRule>
  </conditionalFormatting>
  <conditionalFormatting sqref="S104:S105">
    <cfRule type="cellIs" dxfId="55" priority="54" operator="notEqual">
      <formula>0</formula>
    </cfRule>
  </conditionalFormatting>
  <conditionalFormatting sqref="S158:S159">
    <cfRule type="cellIs" dxfId="54" priority="38" operator="notEqual">
      <formula>0</formula>
    </cfRule>
  </conditionalFormatting>
  <conditionalFormatting sqref="S188:S189">
    <cfRule type="cellIs" dxfId="53" priority="33" operator="notEqual">
      <formula>0</formula>
    </cfRule>
  </conditionalFormatting>
  <conditionalFormatting sqref="S232:S236 S241 S244:S254 S238">
    <cfRule type="cellIs" dxfId="52" priority="28" operator="notEqual">
      <formula>0</formula>
    </cfRule>
  </conditionalFormatting>
  <conditionalFormatting sqref="S120">
    <cfRule type="cellIs" dxfId="51" priority="55" operator="notEqual">
      <formula>0</formula>
    </cfRule>
  </conditionalFormatting>
  <conditionalFormatting sqref="S134:S135">
    <cfRule type="cellIs" dxfId="50" priority="64" operator="notEqual">
      <formula>0</formula>
    </cfRule>
  </conditionalFormatting>
  <conditionalFormatting sqref="S201">
    <cfRule type="cellIs" dxfId="49" priority="35" operator="notEqual">
      <formula>0</formula>
    </cfRule>
  </conditionalFormatting>
  <conditionalFormatting sqref="S212:S213">
    <cfRule type="cellIs" dxfId="48" priority="30" operator="notEqual">
      <formula>0</formula>
    </cfRule>
  </conditionalFormatting>
  <conditionalFormatting sqref="S242:S243">
    <cfRule type="cellIs" dxfId="47" priority="25" operator="notEqual">
      <formula>0</formula>
    </cfRule>
  </conditionalFormatting>
  <conditionalFormatting sqref="S286:S290 S295 S298:S308 S292">
    <cfRule type="cellIs" dxfId="46" priority="20" operator="notEqual">
      <formula>0</formula>
    </cfRule>
  </conditionalFormatting>
  <conditionalFormatting sqref="S185:S186">
    <cfRule type="cellIs" dxfId="45" priority="34" operator="notEqual">
      <formula>0</formula>
    </cfRule>
  </conditionalFormatting>
  <conditionalFormatting sqref="S161:S162">
    <cfRule type="cellIs" dxfId="44" priority="37" operator="notEqual">
      <formula>0</formula>
    </cfRule>
  </conditionalFormatting>
  <conditionalFormatting sqref="S255">
    <cfRule type="cellIs" dxfId="43" priority="27" operator="notEqual">
      <formula>0</formula>
    </cfRule>
  </conditionalFormatting>
  <conditionalFormatting sqref="S266:S267">
    <cfRule type="cellIs" dxfId="42" priority="22" operator="notEqual">
      <formula>0</formula>
    </cfRule>
  </conditionalFormatting>
  <conditionalFormatting sqref="S296:S297">
    <cfRule type="cellIs" dxfId="41" priority="17" operator="notEqual">
      <formula>0</formula>
    </cfRule>
  </conditionalFormatting>
  <conditionalFormatting sqref="S12">
    <cfRule type="cellIs" dxfId="40" priority="12" operator="notEqual">
      <formula>0</formula>
    </cfRule>
  </conditionalFormatting>
  <conditionalFormatting sqref="S97:S101 S106 S109:S119 S103">
    <cfRule type="cellIs" dxfId="39" priority="56" operator="notEqual">
      <formula>0</formula>
    </cfRule>
  </conditionalFormatting>
  <conditionalFormatting sqref="S107:S108">
    <cfRule type="cellIs" dxfId="38" priority="53" operator="notEqual">
      <formula>0</formula>
    </cfRule>
  </conditionalFormatting>
  <conditionalFormatting sqref="S93">
    <cfRule type="cellIs" dxfId="37" priority="51" operator="notEqual">
      <formula>0</formula>
    </cfRule>
  </conditionalFormatting>
  <conditionalFormatting sqref="S77:S78">
    <cfRule type="cellIs" dxfId="36" priority="50" operator="notEqual">
      <formula>0</formula>
    </cfRule>
  </conditionalFormatting>
  <conditionalFormatting sqref="S174">
    <cfRule type="cellIs" dxfId="35" priority="39" operator="notEqual">
      <formula>0</formula>
    </cfRule>
  </conditionalFormatting>
  <conditionalFormatting sqref="S178:S182 S187 S190:S200 S184">
    <cfRule type="cellIs" dxfId="34" priority="36" operator="notEqual">
      <formula>0</formula>
    </cfRule>
  </conditionalFormatting>
  <conditionalFormatting sqref="S205:S209 S214 S217:S227 S211">
    <cfRule type="cellIs" dxfId="33" priority="32" operator="notEqual">
      <formula>0</formula>
    </cfRule>
  </conditionalFormatting>
  <conditionalFormatting sqref="S228">
    <cfRule type="cellIs" dxfId="32" priority="31" operator="notEqual">
      <formula>0</formula>
    </cfRule>
  </conditionalFormatting>
  <conditionalFormatting sqref="S215:S216">
    <cfRule type="cellIs" dxfId="31" priority="29" operator="notEqual">
      <formula>0</formula>
    </cfRule>
  </conditionalFormatting>
  <conditionalFormatting sqref="S239:S240">
    <cfRule type="cellIs" dxfId="30" priority="26" operator="notEqual">
      <formula>0</formula>
    </cfRule>
  </conditionalFormatting>
  <conditionalFormatting sqref="S259:S263 S268 S271:S281 S265">
    <cfRule type="cellIs" dxfId="29" priority="24" operator="notEqual">
      <formula>0</formula>
    </cfRule>
  </conditionalFormatting>
  <conditionalFormatting sqref="S282">
    <cfRule type="cellIs" dxfId="28" priority="23" operator="notEqual">
      <formula>0</formula>
    </cfRule>
  </conditionalFormatting>
  <conditionalFormatting sqref="S269:S270">
    <cfRule type="cellIs" dxfId="27" priority="21" operator="notEqual">
      <formula>0</formula>
    </cfRule>
  </conditionalFormatting>
  <conditionalFormatting sqref="S309">
    <cfRule type="cellIs" dxfId="26" priority="19" operator="notEqual">
      <formula>0</formula>
    </cfRule>
  </conditionalFormatting>
  <conditionalFormatting sqref="S293:S294">
    <cfRule type="cellIs" dxfId="25" priority="18" operator="notEqual">
      <formula>0</formula>
    </cfRule>
  </conditionalFormatting>
  <conditionalFormatting sqref="S313:S317 S322 S325:S335 S319">
    <cfRule type="cellIs" dxfId="24" priority="16" operator="notEqual">
      <formula>0</formula>
    </cfRule>
  </conditionalFormatting>
  <conditionalFormatting sqref="S336">
    <cfRule type="cellIs" dxfId="23" priority="15" operator="notEqual">
      <formula>0</formula>
    </cfRule>
  </conditionalFormatting>
  <conditionalFormatting sqref="S320:S321">
    <cfRule type="cellIs" dxfId="22" priority="14" operator="notEqual">
      <formula>0</formula>
    </cfRule>
  </conditionalFormatting>
  <conditionalFormatting sqref="S323:S324">
    <cfRule type="cellIs" dxfId="21" priority="13" operator="notEqual">
      <formula>0</formula>
    </cfRule>
  </conditionalFormatting>
  <conditionalFormatting sqref="S21">
    <cfRule type="cellIs" dxfId="20" priority="11" operator="notEqual">
      <formula>0</formula>
    </cfRule>
  </conditionalFormatting>
  <conditionalFormatting sqref="S48">
    <cfRule type="cellIs" dxfId="19" priority="10" operator="notEqual">
      <formula>0</formula>
    </cfRule>
  </conditionalFormatting>
  <conditionalFormatting sqref="S102">
    <cfRule type="cellIs" dxfId="18" priority="9" operator="notEqual">
      <formula>0</formula>
    </cfRule>
  </conditionalFormatting>
  <conditionalFormatting sqref="S129">
    <cfRule type="cellIs" dxfId="17" priority="8" operator="notEqual">
      <formula>0</formula>
    </cfRule>
  </conditionalFormatting>
  <conditionalFormatting sqref="S156">
    <cfRule type="cellIs" dxfId="16" priority="7" operator="notEqual">
      <formula>0</formula>
    </cfRule>
  </conditionalFormatting>
  <conditionalFormatting sqref="S183">
    <cfRule type="cellIs" dxfId="15" priority="6" operator="notEqual">
      <formula>0</formula>
    </cfRule>
  </conditionalFormatting>
  <conditionalFormatting sqref="S210">
    <cfRule type="cellIs" dxfId="14" priority="5" operator="notEqual">
      <formula>0</formula>
    </cfRule>
  </conditionalFormatting>
  <conditionalFormatting sqref="S237">
    <cfRule type="cellIs" dxfId="13" priority="4" operator="notEqual">
      <formula>0</formula>
    </cfRule>
  </conditionalFormatting>
  <conditionalFormatting sqref="S264">
    <cfRule type="cellIs" dxfId="12" priority="3" operator="notEqual">
      <formula>0</formula>
    </cfRule>
  </conditionalFormatting>
  <conditionalFormatting sqref="S291">
    <cfRule type="cellIs" dxfId="11" priority="2" operator="notEqual">
      <formula>0</formula>
    </cfRule>
  </conditionalFormatting>
  <conditionalFormatting sqref="S318">
    <cfRule type="cellIs" dxfId="10" priority="1" operator="notEqual">
      <formula>0</formula>
    </cfRule>
  </conditionalFormatting>
  <pageMargins left="0.7" right="0.7" top="0.75" bottom="0.75" header="0.3" footer="0.3"/>
  <pageSetup paperSize="8" scale="88" fitToHeight="0" orientation="landscape" horizontalDpi="1200" verticalDpi="1200" r:id="rId1"/>
  <headerFooter>
    <oddFooter>&amp;C&amp;7&amp;B&amp;"Arial"Document Classification: KPMG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1E15F-A893-4231-8A86-B07C01CB2C38}">
  <dimension ref="A1:E2"/>
  <sheetViews>
    <sheetView workbookViewId="0"/>
  </sheetViews>
  <sheetFormatPr defaultRowHeight="14.4"/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>
        <v>1</v>
      </c>
      <c r="B2">
        <v>1</v>
      </c>
      <c r="C2">
        <v>12</v>
      </c>
      <c r="D2">
        <v>38</v>
      </c>
      <c r="E2" t="s">
        <v>123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A696B-52D9-4591-ABFB-6D4119698A42}">
  <sheetPr>
    <pageSetUpPr fitToPage="1"/>
  </sheetPr>
  <dimension ref="A1:M54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12" sqref="L12"/>
    </sheetView>
  </sheetViews>
  <sheetFormatPr defaultColWidth="8.88671875" defaultRowHeight="13.95" customHeight="1"/>
  <cols>
    <col min="1" max="1" width="55.5546875" style="10" customWidth="1"/>
    <col min="2" max="12" width="12.6640625" style="10" customWidth="1"/>
    <col min="13" max="16384" width="8.88671875" style="10"/>
  </cols>
  <sheetData>
    <row r="1" spans="1:12" ht="19.5" customHeight="1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" customHeight="1">
      <c r="A2" s="29"/>
      <c r="B2" s="30" t="s">
        <v>125</v>
      </c>
      <c r="C2" s="30" t="s">
        <v>126</v>
      </c>
      <c r="D2" s="30" t="s">
        <v>127</v>
      </c>
      <c r="E2" s="30" t="s">
        <v>128</v>
      </c>
      <c r="F2" s="30" t="s">
        <v>129</v>
      </c>
      <c r="G2" s="30" t="s">
        <v>130</v>
      </c>
      <c r="H2" s="30" t="s">
        <v>131</v>
      </c>
      <c r="I2" s="30" t="s">
        <v>132</v>
      </c>
      <c r="J2" s="30" t="s">
        <v>133</v>
      </c>
      <c r="K2" s="30" t="s">
        <v>134</v>
      </c>
      <c r="L2" s="31" t="s">
        <v>11</v>
      </c>
    </row>
    <row r="3" spans="1:12" ht="12" customHeight="1">
      <c r="A3" s="33" t="s">
        <v>135</v>
      </c>
      <c r="B3" s="36">
        <f>SUM(B4:B5)</f>
        <v>0</v>
      </c>
      <c r="C3" s="36">
        <f t="shared" ref="C3:K3" si="0">SUM(C4:C5)</f>
        <v>0</v>
      </c>
      <c r="D3" s="36">
        <f t="shared" si="0"/>
        <v>0</v>
      </c>
      <c r="E3" s="36">
        <f t="shared" si="0"/>
        <v>0</v>
      </c>
      <c r="F3" s="36">
        <f t="shared" si="0"/>
        <v>2042640</v>
      </c>
      <c r="G3" s="36">
        <f t="shared" si="0"/>
        <v>2042640</v>
      </c>
      <c r="H3" s="36">
        <f t="shared" si="0"/>
        <v>2042640</v>
      </c>
      <c r="I3" s="36">
        <f t="shared" si="0"/>
        <v>2042640</v>
      </c>
      <c r="J3" s="36">
        <f t="shared" si="0"/>
        <v>2042640</v>
      </c>
      <c r="K3" s="36">
        <f t="shared" si="0"/>
        <v>2042640</v>
      </c>
      <c r="L3" s="37">
        <f>SUM(B3:K3)</f>
        <v>12255840</v>
      </c>
    </row>
    <row r="4" spans="1:12" ht="12" customHeight="1">
      <c r="A4" s="5" t="s">
        <v>136</v>
      </c>
      <c r="B4" s="25">
        <f>'Vstupy cost'!$B$36*'Vstupy benefit'!$B$17*'Vstupy cost'!B39*'Vstupy benefit'!B3</f>
        <v>0</v>
      </c>
      <c r="C4" s="25">
        <f>'Vstupy cost'!$B$36*'Vstupy benefit'!$B$17*'Vstupy cost'!C39*'Vstupy benefit'!C3</f>
        <v>0</v>
      </c>
      <c r="D4" s="25">
        <f>'Vstupy cost'!$B$36*'Vstupy benefit'!$B$17*'Vstupy cost'!D39*'Vstupy benefit'!D3</f>
        <v>0</v>
      </c>
      <c r="E4" s="25">
        <f>'Vstupy cost'!$B$36*'Vstupy benefit'!$B$17*'Vstupy cost'!E39*'Vstupy benefit'!E3</f>
        <v>0</v>
      </c>
      <c r="F4" s="25">
        <f>'Vstupy cost'!$B$36*'Vstupy benefit'!$B$17*'Vstupy cost'!F39*'Vstupy benefit'!F3</f>
        <v>2003760</v>
      </c>
      <c r="G4" s="25">
        <f>'Vstupy cost'!$B$36*'Vstupy benefit'!$B$17*'Vstupy cost'!G39*'Vstupy benefit'!G3</f>
        <v>2003760</v>
      </c>
      <c r="H4" s="25">
        <f>'Vstupy cost'!$B$36*'Vstupy benefit'!$B$17*'Vstupy cost'!H39*'Vstupy benefit'!H3</f>
        <v>2003760</v>
      </c>
      <c r="I4" s="25">
        <f>'Vstupy cost'!$B$36*'Vstupy benefit'!$B$17*'Vstupy cost'!I39*'Vstupy benefit'!I3</f>
        <v>2003760</v>
      </c>
      <c r="J4" s="25">
        <f>'Vstupy cost'!$B$36*'Vstupy benefit'!$B$17*'Vstupy cost'!J39*'Vstupy benefit'!J3</f>
        <v>2003760</v>
      </c>
      <c r="K4" s="25">
        <f>'Vstupy cost'!$B$36*'Vstupy benefit'!$B$17*'Vstupy cost'!K39*'Vstupy benefit'!K3</f>
        <v>2003760</v>
      </c>
      <c r="L4" s="35">
        <f t="shared" ref="L4:L5" si="1">SUM(B4:K4)</f>
        <v>12022560</v>
      </c>
    </row>
    <row r="5" spans="1:12" ht="12" customHeight="1">
      <c r="A5" s="5" t="s">
        <v>137</v>
      </c>
      <c r="B5" s="25">
        <f>'Vstupy benefit'!$B$21*'Vstupy benefit'!$B$22*'Vstupy benefit'!B3</f>
        <v>0</v>
      </c>
      <c r="C5" s="25">
        <f>'Vstupy benefit'!$B$21*'Vstupy benefit'!$B$22*'Vstupy benefit'!C3</f>
        <v>0</v>
      </c>
      <c r="D5" s="25">
        <f>'Vstupy benefit'!$B$21*'Vstupy benefit'!$B$22*'Vstupy benefit'!D3</f>
        <v>0</v>
      </c>
      <c r="E5" s="25">
        <f>'Vstupy benefit'!$B$21*'Vstupy benefit'!$B$22*'Vstupy benefit'!E3</f>
        <v>0</v>
      </c>
      <c r="F5" s="25">
        <f>'Vstupy benefit'!$B$21*'Vstupy benefit'!$B$22*'Vstupy benefit'!F3</f>
        <v>38880</v>
      </c>
      <c r="G5" s="25">
        <f>'Vstupy benefit'!$B$21*'Vstupy benefit'!$B$22*'Vstupy benefit'!G3</f>
        <v>38880</v>
      </c>
      <c r="H5" s="25">
        <f>'Vstupy benefit'!$B$21*'Vstupy benefit'!$B$22*'Vstupy benefit'!H3</f>
        <v>38880</v>
      </c>
      <c r="I5" s="25">
        <f>'Vstupy benefit'!$B$21*'Vstupy benefit'!$B$22*'Vstupy benefit'!I3</f>
        <v>38880</v>
      </c>
      <c r="J5" s="25">
        <f>'Vstupy benefit'!$B$21*'Vstupy benefit'!$B$22*'Vstupy benefit'!J3</f>
        <v>38880</v>
      </c>
      <c r="K5" s="25">
        <f>'Vstupy benefit'!$B$21*'Vstupy benefit'!$B$22*'Vstupy benefit'!K3</f>
        <v>38880</v>
      </c>
      <c r="L5" s="35">
        <f t="shared" si="1"/>
        <v>233280</v>
      </c>
    </row>
    <row r="6" spans="1:12" ht="12" hidden="1" customHeight="1">
      <c r="A6" s="33" t="s">
        <v>138</v>
      </c>
      <c r="B6" s="36">
        <f>SUM(B7:B8)</f>
        <v>0</v>
      </c>
      <c r="C6" s="36">
        <f t="shared" ref="C6:K6" si="2">SUM(C7:C8)</f>
        <v>0</v>
      </c>
      <c r="D6" s="36">
        <f t="shared" si="2"/>
        <v>0</v>
      </c>
      <c r="E6" s="36">
        <f t="shared" si="2"/>
        <v>0</v>
      </c>
      <c r="F6" s="36">
        <f t="shared" si="2"/>
        <v>2042640</v>
      </c>
      <c r="G6" s="36">
        <f t="shared" si="2"/>
        <v>2042640</v>
      </c>
      <c r="H6" s="36">
        <f t="shared" si="2"/>
        <v>2042640</v>
      </c>
      <c r="I6" s="36">
        <f t="shared" si="2"/>
        <v>2042640</v>
      </c>
      <c r="J6" s="36">
        <f t="shared" si="2"/>
        <v>2042640</v>
      </c>
      <c r="K6" s="36">
        <f t="shared" si="2"/>
        <v>2042640</v>
      </c>
      <c r="L6" s="37">
        <f>SUM(B6:K6)</f>
        <v>12255840</v>
      </c>
    </row>
    <row r="7" spans="1:12" ht="12" hidden="1" customHeight="1">
      <c r="A7" s="5" t="s">
        <v>136</v>
      </c>
      <c r="B7" s="25">
        <f>'Vstupy cost'!$B$36*'Vstupy benefit'!$B$17*'Vstupy cost'!B39*'Vstupy benefit'!B4</f>
        <v>0</v>
      </c>
      <c r="C7" s="25">
        <f>'Vstupy cost'!$B$36*'Vstupy benefit'!$B$17*'Vstupy cost'!C39*'Vstupy benefit'!C4</f>
        <v>0</v>
      </c>
      <c r="D7" s="25">
        <f>'Vstupy cost'!$B$36*'Vstupy benefit'!$B$17*'Vstupy cost'!D39*'Vstupy benefit'!D4</f>
        <v>0</v>
      </c>
      <c r="E7" s="25">
        <f>'Vstupy cost'!$B$36*'Vstupy benefit'!$B$17*'Vstupy cost'!E39*'Vstupy benefit'!E4</f>
        <v>0</v>
      </c>
      <c r="F7" s="25">
        <f>'Vstupy cost'!$B$36*'Vstupy benefit'!$B$17*'Vstupy cost'!F39*'Vstupy benefit'!F4</f>
        <v>2003760</v>
      </c>
      <c r="G7" s="25">
        <f>'Vstupy cost'!$B$36*'Vstupy benefit'!$B$17*'Vstupy cost'!G39*'Vstupy benefit'!G4</f>
        <v>2003760</v>
      </c>
      <c r="H7" s="25">
        <f>'Vstupy cost'!$B$36*'Vstupy benefit'!$B$17*'Vstupy cost'!H39*'Vstupy benefit'!H4</f>
        <v>2003760</v>
      </c>
      <c r="I7" s="25">
        <f>'Vstupy cost'!$B$36*'Vstupy benefit'!$B$17*'Vstupy cost'!I39*'Vstupy benefit'!I4</f>
        <v>2003760</v>
      </c>
      <c r="J7" s="25">
        <f>'Vstupy cost'!$B$36*'Vstupy benefit'!$B$17*'Vstupy cost'!J39*'Vstupy benefit'!J4</f>
        <v>2003760</v>
      </c>
      <c r="K7" s="25">
        <f>'Vstupy cost'!$B$36*'Vstupy benefit'!$B$17*'Vstupy cost'!K39*'Vstupy benefit'!K4</f>
        <v>2003760</v>
      </c>
      <c r="L7" s="35">
        <f t="shared" ref="L7:L8" si="3">SUM(B7:K7)</f>
        <v>12022560</v>
      </c>
    </row>
    <row r="8" spans="1:12" ht="12" hidden="1" customHeight="1">
      <c r="A8" s="5" t="s">
        <v>137</v>
      </c>
      <c r="B8" s="25">
        <f>'Vstupy benefit'!$B$21*'Vstupy benefit'!$B$22*'Vstupy benefit'!B4</f>
        <v>0</v>
      </c>
      <c r="C8" s="25">
        <f>'Vstupy benefit'!$B$21*'Vstupy benefit'!$B$22*'Vstupy benefit'!C4</f>
        <v>0</v>
      </c>
      <c r="D8" s="25">
        <f>'Vstupy benefit'!$B$21*'Vstupy benefit'!$B$22*'Vstupy benefit'!D4</f>
        <v>0</v>
      </c>
      <c r="E8" s="25">
        <f>'Vstupy benefit'!$B$21*'Vstupy benefit'!$B$22*'Vstupy benefit'!E4</f>
        <v>0</v>
      </c>
      <c r="F8" s="25">
        <f>'Vstupy benefit'!$B$21*'Vstupy benefit'!$B$22*'Vstupy benefit'!F4</f>
        <v>38880</v>
      </c>
      <c r="G8" s="25">
        <f>'Vstupy benefit'!$B$21*'Vstupy benefit'!$B$22*'Vstupy benefit'!G4</f>
        <v>38880</v>
      </c>
      <c r="H8" s="25">
        <f>'Vstupy benefit'!$B$21*'Vstupy benefit'!$B$22*'Vstupy benefit'!H4</f>
        <v>38880</v>
      </c>
      <c r="I8" s="25">
        <f>'Vstupy benefit'!$B$21*'Vstupy benefit'!$B$22*'Vstupy benefit'!I4</f>
        <v>38880</v>
      </c>
      <c r="J8" s="25">
        <f>'Vstupy benefit'!$B$21*'Vstupy benefit'!$B$22*'Vstupy benefit'!J4</f>
        <v>38880</v>
      </c>
      <c r="K8" s="25">
        <f>'Vstupy benefit'!$B$21*'Vstupy benefit'!$B$22*'Vstupy benefit'!K4</f>
        <v>38880</v>
      </c>
      <c r="L8" s="35">
        <f t="shared" si="3"/>
        <v>233280</v>
      </c>
    </row>
    <row r="9" spans="1:12" ht="12" hidden="1" customHeight="1">
      <c r="A9" s="33" t="s">
        <v>139</v>
      </c>
      <c r="B9" s="36">
        <f>SUM(B10:B11)</f>
        <v>0</v>
      </c>
      <c r="C9" s="36">
        <f t="shared" ref="C9:K9" si="4">SUM(C10:C11)</f>
        <v>0</v>
      </c>
      <c r="D9" s="36">
        <f t="shared" si="4"/>
        <v>0</v>
      </c>
      <c r="E9" s="36">
        <f t="shared" si="4"/>
        <v>1094592</v>
      </c>
      <c r="F9" s="36">
        <f t="shared" si="4"/>
        <v>2723520</v>
      </c>
      <c r="G9" s="36">
        <f t="shared" si="4"/>
        <v>4085280</v>
      </c>
      <c r="H9" s="36">
        <f t="shared" si="4"/>
        <v>5447040</v>
      </c>
      <c r="I9" s="36">
        <f t="shared" si="4"/>
        <v>8170560</v>
      </c>
      <c r="J9" s="36">
        <f t="shared" si="4"/>
        <v>10894080</v>
      </c>
      <c r="K9" s="36">
        <f t="shared" si="4"/>
        <v>13617600</v>
      </c>
      <c r="L9" s="37">
        <f>SUM(B9:K9)</f>
        <v>46032672</v>
      </c>
    </row>
    <row r="10" spans="1:12" ht="12" hidden="1" customHeight="1">
      <c r="A10" s="5" t="s">
        <v>136</v>
      </c>
      <c r="B10" s="25">
        <f>'Vstupy cost'!$B$36*'Vstupy benefit'!$B$17*'Vstupy cost'!B39*'Vstupy benefit'!B5</f>
        <v>0</v>
      </c>
      <c r="C10" s="25">
        <f>'Vstupy cost'!$B$36*'Vstupy benefit'!$B$17*'Vstupy cost'!C39*'Vstupy benefit'!C5</f>
        <v>0</v>
      </c>
      <c r="D10" s="25">
        <f>'Vstupy cost'!$B$36*'Vstupy benefit'!$B$17*'Vstupy cost'!D39*'Vstupy benefit'!D5</f>
        <v>0</v>
      </c>
      <c r="E10" s="25">
        <f>'Vstupy cost'!$B$36*'Vstupy benefit'!$B$17*'Vstupy cost'!E39*'Vstupy benefit'!E5</f>
        <v>1068672</v>
      </c>
      <c r="F10" s="25">
        <f>'Vstupy cost'!$B$36*'Vstupy benefit'!$B$17*'Vstupy cost'!F39*'Vstupy benefit'!F5</f>
        <v>2671680</v>
      </c>
      <c r="G10" s="25">
        <f>'Vstupy cost'!$B$36*'Vstupy benefit'!$B$17*'Vstupy cost'!G39*'Vstupy benefit'!G5</f>
        <v>4007520</v>
      </c>
      <c r="H10" s="25">
        <f>'Vstupy cost'!$B$36*'Vstupy benefit'!$B$17*'Vstupy cost'!H39*'Vstupy benefit'!H5</f>
        <v>5343360</v>
      </c>
      <c r="I10" s="25">
        <f>'Vstupy cost'!$B$36*'Vstupy benefit'!$B$17*'Vstupy cost'!I39*'Vstupy benefit'!I5</f>
        <v>8015040</v>
      </c>
      <c r="J10" s="25">
        <f>'Vstupy cost'!$B$36*'Vstupy benefit'!$B$17*'Vstupy cost'!J39*'Vstupy benefit'!J5</f>
        <v>10686720</v>
      </c>
      <c r="K10" s="25">
        <f>'Vstupy cost'!$B$36*'Vstupy benefit'!$B$17*'Vstupy cost'!K39*'Vstupy benefit'!K5</f>
        <v>13358400</v>
      </c>
      <c r="L10" s="35">
        <f t="shared" ref="L10:L11" si="5">SUM(B10:K10)</f>
        <v>45151392</v>
      </c>
    </row>
    <row r="11" spans="1:12" ht="12" hidden="1" customHeight="1">
      <c r="A11" s="5" t="s">
        <v>137</v>
      </c>
      <c r="B11" s="25">
        <f>'Vstupy benefit'!$B$21*'Vstupy benefit'!$B$22*'Vstupy benefit'!B5</f>
        <v>0</v>
      </c>
      <c r="C11" s="25">
        <f>'Vstupy benefit'!$B$21*'Vstupy benefit'!$B$22*'Vstupy benefit'!C5</f>
        <v>0</v>
      </c>
      <c r="D11" s="25">
        <f>'Vstupy benefit'!$B$21*'Vstupy benefit'!$B$22*'Vstupy benefit'!D5</f>
        <v>0</v>
      </c>
      <c r="E11" s="25">
        <f>'Vstupy benefit'!$B$21*'Vstupy benefit'!$B$22*'Vstupy benefit'!E5</f>
        <v>25920</v>
      </c>
      <c r="F11" s="25">
        <f>'Vstupy benefit'!$B$21*'Vstupy benefit'!$B$22*'Vstupy benefit'!F5</f>
        <v>51840</v>
      </c>
      <c r="G11" s="25">
        <f>'Vstupy benefit'!$B$21*'Vstupy benefit'!$B$22*'Vstupy benefit'!G5</f>
        <v>77760</v>
      </c>
      <c r="H11" s="25">
        <f>'Vstupy benefit'!$B$21*'Vstupy benefit'!$B$22*'Vstupy benefit'!H5</f>
        <v>103680</v>
      </c>
      <c r="I11" s="25">
        <f>'Vstupy benefit'!$B$21*'Vstupy benefit'!$B$22*'Vstupy benefit'!I5</f>
        <v>155520</v>
      </c>
      <c r="J11" s="25">
        <f>'Vstupy benefit'!$B$21*'Vstupy benefit'!$B$22*'Vstupy benefit'!J5</f>
        <v>207360</v>
      </c>
      <c r="K11" s="25">
        <f>'Vstupy benefit'!$B$21*'Vstupy benefit'!$B$22*'Vstupy benefit'!K5</f>
        <v>259200</v>
      </c>
      <c r="L11" s="35">
        <f t="shared" si="5"/>
        <v>881280</v>
      </c>
    </row>
    <row r="12" spans="1:12" ht="12" customHeight="1">
      <c r="A12" s="33" t="s">
        <v>140</v>
      </c>
      <c r="B12" s="36">
        <f>SUM(B13:B14)</f>
        <v>0</v>
      </c>
      <c r="C12" s="36">
        <f t="shared" ref="C12:K12" si="6">SUM(C13:C14)</f>
        <v>0</v>
      </c>
      <c r="D12" s="36">
        <f t="shared" si="6"/>
        <v>0</v>
      </c>
      <c r="E12" s="303">
        <f t="shared" si="6"/>
        <v>0</v>
      </c>
      <c r="F12" s="303">
        <f t="shared" si="6"/>
        <v>862505.71200000006</v>
      </c>
      <c r="G12" s="303">
        <f t="shared" si="6"/>
        <v>862505.71200000006</v>
      </c>
      <c r="H12" s="303">
        <f t="shared" si="6"/>
        <v>862505.71200000006</v>
      </c>
      <c r="I12" s="303">
        <f t="shared" si="6"/>
        <v>862505.71200000006</v>
      </c>
      <c r="J12" s="303">
        <f t="shared" si="6"/>
        <v>862505.71200000006</v>
      </c>
      <c r="K12" s="303">
        <f t="shared" si="6"/>
        <v>862505.71200000006</v>
      </c>
      <c r="L12" s="304">
        <f>SUM(B12:K12)</f>
        <v>5175034.2720000008</v>
      </c>
    </row>
    <row r="13" spans="1:12" ht="12" customHeight="1">
      <c r="A13" s="5" t="s">
        <v>136</v>
      </c>
      <c r="B13" s="25">
        <f>('Vstupy benefit'!$B$10*'Vstupy benefit'!$B$18+'Vstupy benefit'!$C$10*'Vstupy benefit'!$B$19+'Vstupy benefit'!$D$10*'Vstupy benefit'!$B$20)*'Vstupy benefit'!$B$23*'Vstupy benefit'!$B$24*24*365*'Vstupy benefit'!B3</f>
        <v>0</v>
      </c>
      <c r="C13" s="25">
        <f>('Vstupy benefit'!$B$10*'Vstupy benefit'!$B$18+'Vstupy benefit'!$C$10*'Vstupy benefit'!$B$19+'Vstupy benefit'!$D$10*'Vstupy benefit'!$B$20)*'Vstupy benefit'!$B$23*'Vstupy benefit'!$B$24*24*365*'Vstupy benefit'!C3</f>
        <v>0</v>
      </c>
      <c r="D13" s="25">
        <f>('Vstupy benefit'!$B$10*'Vstupy benefit'!$B$18+'Vstupy benefit'!$C$10*'Vstupy benefit'!$B$19+'Vstupy benefit'!$D$10*'Vstupy benefit'!$B$20)*'Vstupy benefit'!$B$23*'Vstupy benefit'!$B$24*24*365*'Vstupy benefit'!D3</f>
        <v>0</v>
      </c>
      <c r="E13" s="294">
        <f>('Vstupy benefit'!$B$10*'Vstupy benefit'!$B$18+'Vstupy benefit'!$C$10*'Vstupy benefit'!$B$19+'Vstupy benefit'!$D$10*'Vstupy benefit'!$B$20)*'Vstupy benefit'!$B$23*'Vstupy benefit'!$B$24*24*365*'Vstupy benefit'!E3</f>
        <v>0</v>
      </c>
      <c r="F13" s="294">
        <f>('Vstupy benefit'!$E$10*'Vstupy benefit'!$B$18+'Vstupy benefit'!$F$10*'Vstupy benefit'!$B$19+'Vstupy benefit'!$G$10*'Vstupy benefit'!$B$20)*'Vstupy benefit'!$B$23*'Vstupy benefit'!$B$24*24*365*'Vstupy benefit'!F3</f>
        <v>823625.71200000006</v>
      </c>
      <c r="G13" s="294">
        <f>('Vstupy benefit'!$E$10*'Vstupy benefit'!$B$18+'Vstupy benefit'!$F$10*'Vstupy benefit'!$B$19+'Vstupy benefit'!$G$10*'Vstupy benefit'!$B$20)*'Vstupy benefit'!$B$23*'Vstupy benefit'!$B$24*24*365*'Vstupy benefit'!G3</f>
        <v>823625.71200000006</v>
      </c>
      <c r="H13" s="294">
        <f>('Vstupy benefit'!$E$10*'Vstupy benefit'!$B$18+'Vstupy benefit'!$F$10*'Vstupy benefit'!$B$19+'Vstupy benefit'!$G$10*'Vstupy benefit'!$B$20)*'Vstupy benefit'!$B$23*'Vstupy benefit'!$B$24*24*365*'Vstupy benefit'!H3</f>
        <v>823625.71200000006</v>
      </c>
      <c r="I13" s="294">
        <f>('Vstupy benefit'!$E$10*'Vstupy benefit'!$B$18+'Vstupy benefit'!$F$10*'Vstupy benefit'!$B$19+'Vstupy benefit'!$G$10*'Vstupy benefit'!$B$20)*'Vstupy benefit'!$B$23*'Vstupy benefit'!$B$24*24*365*'Vstupy benefit'!I3</f>
        <v>823625.71200000006</v>
      </c>
      <c r="J13" s="294">
        <f>('Vstupy benefit'!$E$10*'Vstupy benefit'!$B$18+'Vstupy benefit'!$F$10*'Vstupy benefit'!$B$19+'Vstupy benefit'!$G$10*'Vstupy benefit'!$B$20)*'Vstupy benefit'!$B$23*'Vstupy benefit'!$B$24*24*365*'Vstupy benefit'!J3</f>
        <v>823625.71200000006</v>
      </c>
      <c r="K13" s="294">
        <f>('Vstupy benefit'!$E$10*'Vstupy benefit'!$B$18+'Vstupy benefit'!$F$10*'Vstupy benefit'!$B$19+'Vstupy benefit'!$G$10*'Vstupy benefit'!$B$20)*'Vstupy benefit'!$B$23*'Vstupy benefit'!$B$24*24*365*'Vstupy benefit'!K3</f>
        <v>823625.71200000006</v>
      </c>
      <c r="L13" s="301">
        <f t="shared" ref="L13:L47" si="7">SUM(B13:K13)</f>
        <v>4941754.2720000008</v>
      </c>
    </row>
    <row r="14" spans="1:12" ht="12" customHeight="1">
      <c r="A14" s="5" t="s">
        <v>137</v>
      </c>
      <c r="B14" s="25">
        <f>'Vstupy benefit'!$B$21*'Vstupy benefit'!$B$22*'Vstupy benefit'!B3</f>
        <v>0</v>
      </c>
      <c r="C14" s="25">
        <f>'Vstupy benefit'!$B$21*'Vstupy benefit'!$B$22*'Vstupy benefit'!C3</f>
        <v>0</v>
      </c>
      <c r="D14" s="25">
        <f>'Vstupy benefit'!$B$21*'Vstupy benefit'!$B$22*'Vstupy benefit'!D3</f>
        <v>0</v>
      </c>
      <c r="E14" s="294">
        <f>'Vstupy benefit'!$B$21*'Vstupy benefit'!$B$22*'Vstupy benefit'!E3</f>
        <v>0</v>
      </c>
      <c r="F14" s="294">
        <f>'Vstupy benefit'!$B$21*'Vstupy benefit'!$B$22*'Vstupy benefit'!F3</f>
        <v>38880</v>
      </c>
      <c r="G14" s="294">
        <f>'Vstupy benefit'!$B$21*'Vstupy benefit'!$B$22*'Vstupy benefit'!G3</f>
        <v>38880</v>
      </c>
      <c r="H14" s="294">
        <f>'Vstupy benefit'!$B$21*'Vstupy benefit'!$B$22*'Vstupy benefit'!H3</f>
        <v>38880</v>
      </c>
      <c r="I14" s="294">
        <f>'Vstupy benefit'!$B$21*'Vstupy benefit'!$B$22*'Vstupy benefit'!I3</f>
        <v>38880</v>
      </c>
      <c r="J14" s="294">
        <f>'Vstupy benefit'!$B$21*'Vstupy benefit'!$B$22*'Vstupy benefit'!J3</f>
        <v>38880</v>
      </c>
      <c r="K14" s="294">
        <f>'Vstupy benefit'!$B$21*'Vstupy benefit'!$B$22*'Vstupy benefit'!K3</f>
        <v>38880</v>
      </c>
      <c r="L14" s="301">
        <f t="shared" si="7"/>
        <v>233280</v>
      </c>
    </row>
    <row r="15" spans="1:12" ht="12" hidden="1" customHeight="1">
      <c r="A15" s="33" t="s">
        <v>141</v>
      </c>
      <c r="B15" s="36">
        <f>SUM(B16:B17)</f>
        <v>0</v>
      </c>
      <c r="C15" s="36">
        <f t="shared" ref="C15:K15" si="8">SUM(C16:C17)</f>
        <v>0</v>
      </c>
      <c r="D15" s="36">
        <f t="shared" si="8"/>
        <v>0</v>
      </c>
      <c r="E15" s="36">
        <f t="shared" si="8"/>
        <v>0</v>
      </c>
      <c r="F15" s="36">
        <f t="shared" si="8"/>
        <v>38880</v>
      </c>
      <c r="G15" s="36">
        <f t="shared" si="8"/>
        <v>862505.71200000006</v>
      </c>
      <c r="H15" s="36">
        <f t="shared" si="8"/>
        <v>862505.71200000006</v>
      </c>
      <c r="I15" s="36">
        <f t="shared" si="8"/>
        <v>862505.71200000006</v>
      </c>
      <c r="J15" s="36">
        <f t="shared" si="8"/>
        <v>862505.71200000006</v>
      </c>
      <c r="K15" s="36">
        <f t="shared" si="8"/>
        <v>862505.71200000006</v>
      </c>
      <c r="L15" s="37">
        <f>SUM(B15:K15)</f>
        <v>4351408.5600000005</v>
      </c>
    </row>
    <row r="16" spans="1:12" ht="12" hidden="1" customHeight="1">
      <c r="A16" s="5" t="s">
        <v>136</v>
      </c>
      <c r="B16" s="25">
        <f>('Vstupy benefit'!$B$10*'Vstupy benefit'!$B$18+'Vstupy benefit'!$C$10*'Vstupy benefit'!$B$19+'Vstupy benefit'!$D$10*'Vstupy benefit'!$B$20)*'Vstupy benefit'!$B$23*'Vstupy benefit'!$B$24*24*365*'Vstupy benefit'!B4</f>
        <v>0</v>
      </c>
      <c r="C16" s="25">
        <f>('Vstupy benefit'!$B$10*'Vstupy benefit'!$B$18+'Vstupy benefit'!$C$10*'Vstupy benefit'!$B$19+'Vstupy benefit'!$D$10*'Vstupy benefit'!$B$20)*'Vstupy benefit'!$B$23*'Vstupy benefit'!$B$24*24*365*'Vstupy benefit'!C4</f>
        <v>0</v>
      </c>
      <c r="D16" s="25">
        <f>('Vstupy benefit'!$B$10*'Vstupy benefit'!$B$18+'Vstupy benefit'!$C$10*'Vstupy benefit'!$B$19+'Vstupy benefit'!$D$10*'Vstupy benefit'!$B$20)*'Vstupy benefit'!$B$23*'Vstupy benefit'!$B$24*24*365*'Vstupy benefit'!D4</f>
        <v>0</v>
      </c>
      <c r="E16" s="25">
        <f>('Vstupy benefit'!$B$10*'Vstupy benefit'!$B$18+'Vstupy benefit'!$C$10*'Vstupy benefit'!$B$19+'Vstupy benefit'!$D$10*'Vstupy benefit'!$B$20)*'Vstupy benefit'!$B$23*'Vstupy benefit'!$B$24*24*365*'Vstupy benefit'!E4</f>
        <v>0</v>
      </c>
      <c r="F16" s="25">
        <f>('Vstupy benefit'!$B$10*'Vstupy benefit'!$B$18+'Vstupy benefit'!$C$10*'Vstupy benefit'!$B$19+'Vstupy benefit'!$D$10*'Vstupy benefit'!$B$20)*'Vstupy benefit'!$B$23*'Vstupy benefit'!$B$24*24*365*'Vstupy benefit'!F4</f>
        <v>0</v>
      </c>
      <c r="G16" s="25">
        <f>('Vstupy benefit'!$E$10*'Vstupy benefit'!$B$18+'Vstupy benefit'!$F$10*'Vstupy benefit'!$B$19+'Vstupy benefit'!$G$10*'Vstupy benefit'!$B$20)*'Vstupy benefit'!$B$23*'Vstupy benefit'!$B$24*24*365*'Vstupy benefit'!G4</f>
        <v>823625.71200000006</v>
      </c>
      <c r="H16" s="25">
        <f>('Vstupy benefit'!$E$10*'Vstupy benefit'!$B$18+'Vstupy benefit'!$F$10*'Vstupy benefit'!$B$19+'Vstupy benefit'!$G$10*'Vstupy benefit'!$B$20)*'Vstupy benefit'!$B$23*'Vstupy benefit'!$B$24*24*365*'Vstupy benefit'!H4</f>
        <v>823625.71200000006</v>
      </c>
      <c r="I16" s="25">
        <f>('Vstupy benefit'!$E$10*'Vstupy benefit'!$B$18+'Vstupy benefit'!$F$10*'Vstupy benefit'!$B$19+'Vstupy benefit'!$G$10*'Vstupy benefit'!$B$20)*'Vstupy benefit'!$B$23*'Vstupy benefit'!$B$24*24*365*'Vstupy benefit'!I4</f>
        <v>823625.71200000006</v>
      </c>
      <c r="J16" s="25">
        <f>('Vstupy benefit'!$E$10*'Vstupy benefit'!$B$18+'Vstupy benefit'!$F$10*'Vstupy benefit'!$B$19+'Vstupy benefit'!$G$10*'Vstupy benefit'!$B$20)*'Vstupy benefit'!$B$23*'Vstupy benefit'!$B$24*24*365*'Vstupy benefit'!J4</f>
        <v>823625.71200000006</v>
      </c>
      <c r="K16" s="25">
        <f>('Vstupy benefit'!$E$10*'Vstupy benefit'!$B$18+'Vstupy benefit'!$F$10*'Vstupy benefit'!$B$19+'Vstupy benefit'!$G$10*'Vstupy benefit'!$B$20)*'Vstupy benefit'!$B$23*'Vstupy benefit'!$B$24*24*365*'Vstupy benefit'!K4</f>
        <v>823625.71200000006</v>
      </c>
      <c r="L16" s="35">
        <f t="shared" si="7"/>
        <v>4118128.5600000005</v>
      </c>
    </row>
    <row r="17" spans="1:13" ht="12" hidden="1" customHeight="1">
      <c r="A17" s="5" t="s">
        <v>137</v>
      </c>
      <c r="B17" s="25">
        <f>'Vstupy benefit'!$B$21*'Vstupy benefit'!$B$22*'Vstupy benefit'!B4</f>
        <v>0</v>
      </c>
      <c r="C17" s="25">
        <f>'Vstupy benefit'!$B$21*'Vstupy benefit'!$B$22*'Vstupy benefit'!C4</f>
        <v>0</v>
      </c>
      <c r="D17" s="25">
        <f>'Vstupy benefit'!$B$21*'Vstupy benefit'!$B$22*'Vstupy benefit'!D4</f>
        <v>0</v>
      </c>
      <c r="E17" s="25">
        <f>'Vstupy benefit'!$B$21*'Vstupy benefit'!$B$22*'Vstupy benefit'!E4</f>
        <v>0</v>
      </c>
      <c r="F17" s="25">
        <f>'Vstupy benefit'!$B$21*'Vstupy benefit'!$B$22*'Vstupy benefit'!F4</f>
        <v>38880</v>
      </c>
      <c r="G17" s="25">
        <f>'Vstupy benefit'!$B$21*'Vstupy benefit'!$B$22*'Vstupy benefit'!G4</f>
        <v>38880</v>
      </c>
      <c r="H17" s="25">
        <f>'Vstupy benefit'!$B$21*'Vstupy benefit'!$B$22*'Vstupy benefit'!H4</f>
        <v>38880</v>
      </c>
      <c r="I17" s="25">
        <f>'Vstupy benefit'!$B$21*'Vstupy benefit'!$B$22*'Vstupy benefit'!I4</f>
        <v>38880</v>
      </c>
      <c r="J17" s="25">
        <f>'Vstupy benefit'!$B$21*'Vstupy benefit'!$B$22*'Vstupy benefit'!J4</f>
        <v>38880</v>
      </c>
      <c r="K17" s="25">
        <f>'Vstupy benefit'!$B$21*'Vstupy benefit'!$B$22*'Vstupy benefit'!K4</f>
        <v>38880</v>
      </c>
      <c r="L17" s="35">
        <f t="shared" si="7"/>
        <v>233280</v>
      </c>
    </row>
    <row r="18" spans="1:13" ht="12" hidden="1" customHeight="1">
      <c r="A18" s="33" t="s">
        <v>142</v>
      </c>
      <c r="B18" s="36">
        <f>SUM(B19:B20)</f>
        <v>0</v>
      </c>
      <c r="C18" s="36">
        <f t="shared" ref="C18:K18" si="9">SUM(C19:C20)</f>
        <v>0</v>
      </c>
      <c r="D18" s="36">
        <f t="shared" si="9"/>
        <v>0</v>
      </c>
      <c r="E18" s="36">
        <f t="shared" si="9"/>
        <v>25920</v>
      </c>
      <c r="F18" s="36">
        <f t="shared" si="9"/>
        <v>51840</v>
      </c>
      <c r="G18" s="36">
        <f t="shared" si="9"/>
        <v>1725011.4240000001</v>
      </c>
      <c r="H18" s="36">
        <f t="shared" si="9"/>
        <v>2300015.2320000003</v>
      </c>
      <c r="I18" s="36">
        <f t="shared" si="9"/>
        <v>3450022.8480000002</v>
      </c>
      <c r="J18" s="36">
        <f t="shared" si="9"/>
        <v>4600030.4640000006</v>
      </c>
      <c r="K18" s="36">
        <f t="shared" si="9"/>
        <v>5750038.080000001</v>
      </c>
      <c r="L18" s="37">
        <f>SUM(B18:K18)</f>
        <v>17902878.048000004</v>
      </c>
    </row>
    <row r="19" spans="1:13" ht="12" hidden="1" customHeight="1">
      <c r="A19" s="5" t="s">
        <v>136</v>
      </c>
      <c r="B19" s="25">
        <f>('Vstupy benefit'!$B$10*'Vstupy benefit'!$B$18+'Vstupy benefit'!$C$10*'Vstupy benefit'!$B$19+'Vstupy benefit'!$D$10*'Vstupy benefit'!$B$20)*'Vstupy benefit'!$B$23*'Vstupy benefit'!$B$24*24*365*'Vstupy benefit'!B5</f>
        <v>0</v>
      </c>
      <c r="C19" s="25">
        <f>('Vstupy benefit'!$B$10*'Vstupy benefit'!$B$18+'Vstupy benefit'!$C$10*'Vstupy benefit'!$B$19+'Vstupy benefit'!$D$10*'Vstupy benefit'!$B$20)*'Vstupy benefit'!$B$23*'Vstupy benefit'!$B$24*24*365*'Vstupy benefit'!C5</f>
        <v>0</v>
      </c>
      <c r="D19" s="25">
        <f>('Vstupy benefit'!$B$10*'Vstupy benefit'!$B$18+'Vstupy benefit'!$C$10*'Vstupy benefit'!$B$19+'Vstupy benefit'!$D$10*'Vstupy benefit'!$B$20)*'Vstupy benefit'!$B$23*'Vstupy benefit'!$B$24*24*365*'Vstupy benefit'!D5</f>
        <v>0</v>
      </c>
      <c r="E19" s="25">
        <f>('Vstupy benefit'!$B$10*'Vstupy benefit'!$B$18+'Vstupy benefit'!$C$10*'Vstupy benefit'!$B$19+'Vstupy benefit'!$D$10*'Vstupy benefit'!$B$20)*'Vstupy benefit'!$B$23*'Vstupy benefit'!$B$24*24*365*'Vstupy benefit'!E5</f>
        <v>0</v>
      </c>
      <c r="F19" s="25">
        <f>('Vstupy benefit'!$B$10*'Vstupy benefit'!$B$18+'Vstupy benefit'!$C$10*'Vstupy benefit'!$B$19+'Vstupy benefit'!$D$10*'Vstupy benefit'!$B$20)*'Vstupy benefit'!$B$23*'Vstupy benefit'!$B$24*24*365*'Vstupy benefit'!F5</f>
        <v>0</v>
      </c>
      <c r="G19" s="25">
        <f>('Vstupy benefit'!$E$10*'Vstupy benefit'!$B$18+'Vstupy benefit'!$F$10*'Vstupy benefit'!$B$19+'Vstupy benefit'!$G$10*'Vstupy benefit'!$B$20)*'Vstupy benefit'!$B$23*'Vstupy benefit'!$B$24*24*365*'Vstupy benefit'!G5</f>
        <v>1647251.4240000001</v>
      </c>
      <c r="H19" s="25">
        <f>('Vstupy benefit'!$E$10*'Vstupy benefit'!$B$18+'Vstupy benefit'!$F$10*'Vstupy benefit'!$B$19+'Vstupy benefit'!$G$10*'Vstupy benefit'!$B$20)*'Vstupy benefit'!$B$23*'Vstupy benefit'!$B$24*24*365*'Vstupy benefit'!H5</f>
        <v>2196335.2320000003</v>
      </c>
      <c r="I19" s="25">
        <f>('Vstupy benefit'!$E$10*'Vstupy benefit'!$B$18+'Vstupy benefit'!$F$10*'Vstupy benefit'!$B$19+'Vstupy benefit'!$G$10*'Vstupy benefit'!$B$20)*'Vstupy benefit'!$B$23*'Vstupy benefit'!$B$24*24*365*'Vstupy benefit'!I5</f>
        <v>3294502.8480000002</v>
      </c>
      <c r="J19" s="25">
        <f>('Vstupy benefit'!$E$10*'Vstupy benefit'!$B$18+'Vstupy benefit'!$F$10*'Vstupy benefit'!$B$19+'Vstupy benefit'!$G$10*'Vstupy benefit'!$B$20)*'Vstupy benefit'!$B$23*'Vstupy benefit'!$B$24*24*365*'Vstupy benefit'!J5</f>
        <v>4392670.4640000006</v>
      </c>
      <c r="K19" s="25">
        <f>('Vstupy benefit'!$E$10*'Vstupy benefit'!$B$18+'Vstupy benefit'!$F$10*'Vstupy benefit'!$B$19+'Vstupy benefit'!$G$10*'Vstupy benefit'!$B$20)*'Vstupy benefit'!$B$23*'Vstupy benefit'!$B$24*24*365*'Vstupy benefit'!K5</f>
        <v>5490838.080000001</v>
      </c>
      <c r="L19" s="35">
        <f t="shared" si="7"/>
        <v>17021598.048000004</v>
      </c>
    </row>
    <row r="20" spans="1:13" ht="12" hidden="1" customHeight="1">
      <c r="A20" s="5" t="s">
        <v>137</v>
      </c>
      <c r="B20" s="25">
        <f>'Vstupy benefit'!$B$21*'Vstupy benefit'!$B$22*'Vstupy benefit'!B5</f>
        <v>0</v>
      </c>
      <c r="C20" s="25">
        <f>'Vstupy benefit'!$B$21*'Vstupy benefit'!$B$22*'Vstupy benefit'!C5</f>
        <v>0</v>
      </c>
      <c r="D20" s="25">
        <f>'Vstupy benefit'!$B$21*'Vstupy benefit'!$B$22*'Vstupy benefit'!D5</f>
        <v>0</v>
      </c>
      <c r="E20" s="25">
        <f>'Vstupy benefit'!$B$21*'Vstupy benefit'!$B$22*'Vstupy benefit'!E5</f>
        <v>25920</v>
      </c>
      <c r="F20" s="25">
        <f>'Vstupy benefit'!$B$21*'Vstupy benefit'!$B$22*'Vstupy benefit'!F5</f>
        <v>51840</v>
      </c>
      <c r="G20" s="25">
        <f>'Vstupy benefit'!$B$21*'Vstupy benefit'!$B$22*'Vstupy benefit'!G5</f>
        <v>77760</v>
      </c>
      <c r="H20" s="25">
        <f>'Vstupy benefit'!$B$21*'Vstupy benefit'!$B$22*'Vstupy benefit'!H5</f>
        <v>103680</v>
      </c>
      <c r="I20" s="25">
        <f>'Vstupy benefit'!$B$21*'Vstupy benefit'!$B$22*'Vstupy benefit'!I5</f>
        <v>155520</v>
      </c>
      <c r="J20" s="25">
        <f>'Vstupy benefit'!$B$21*'Vstupy benefit'!$B$22*'Vstupy benefit'!J5</f>
        <v>207360</v>
      </c>
      <c r="K20" s="25">
        <f>'Vstupy benefit'!$B$21*'Vstupy benefit'!$B$22*'Vstupy benefit'!K5</f>
        <v>259200</v>
      </c>
      <c r="L20" s="35">
        <f t="shared" si="7"/>
        <v>881280</v>
      </c>
    </row>
    <row r="21" spans="1:13" ht="12" hidden="1" customHeight="1">
      <c r="A21" s="33" t="s">
        <v>143</v>
      </c>
      <c r="B21" s="36">
        <f>SUM(B22:B23)</f>
        <v>0</v>
      </c>
      <c r="C21" s="36">
        <f t="shared" ref="C21:K21" si="10">SUM(C22:C23)</f>
        <v>0</v>
      </c>
      <c r="D21" s="36">
        <f t="shared" si="10"/>
        <v>0</v>
      </c>
      <c r="E21" s="36">
        <f t="shared" si="10"/>
        <v>0</v>
      </c>
      <c r="F21" s="36">
        <f t="shared" si="10"/>
        <v>145750.45823999998</v>
      </c>
      <c r="G21" s="36">
        <f t="shared" si="10"/>
        <v>909110.87424000003</v>
      </c>
      <c r="H21" s="36">
        <f t="shared" si="10"/>
        <v>909110.87424000003</v>
      </c>
      <c r="I21" s="36">
        <f t="shared" si="10"/>
        <v>909110.87424000003</v>
      </c>
      <c r="J21" s="36">
        <f t="shared" si="10"/>
        <v>909110.87424000003</v>
      </c>
      <c r="K21" s="36">
        <f t="shared" si="10"/>
        <v>909110.87424000003</v>
      </c>
      <c r="L21" s="37">
        <f>SUM(B21:K21)</f>
        <v>4691304.8294399995</v>
      </c>
    </row>
    <row r="22" spans="1:13" ht="12" hidden="1" customHeight="1">
      <c r="A22" s="5" t="s">
        <v>136</v>
      </c>
      <c r="B22" s="25">
        <f>('Vstupy benefit'!$B$11*'Vstupy benefit'!$B$18+'Vstupy benefit'!$C$11*'Vstupy benefit'!$B$19+'Vstupy benefit'!$D$11*'Vstupy benefit'!$B$20)*'Vstupy benefit'!$B$23*'Vstupy benefit'!$B$24*24*365*'Vstupy benefit'!B3</f>
        <v>0</v>
      </c>
      <c r="C22" s="25">
        <f>('Vstupy benefit'!$B$11*'Vstupy benefit'!$B$18+'Vstupy benefit'!$C$11*'Vstupy benefit'!$B$19+'Vstupy benefit'!$D$11*'Vstupy benefit'!$B$20)*'Vstupy benefit'!$B$23*'Vstupy benefit'!$B$24*24*365*'Vstupy benefit'!C3</f>
        <v>0</v>
      </c>
      <c r="D22" s="25">
        <f>('Vstupy benefit'!$B$11*'Vstupy benefit'!$B$18+'Vstupy benefit'!$C$11*'Vstupy benefit'!$B$19+'Vstupy benefit'!$D$11*'Vstupy benefit'!$B$20)*'Vstupy benefit'!$B$23*'Vstupy benefit'!$B$24*24*365*'Vstupy benefit'!D3</f>
        <v>0</v>
      </c>
      <c r="E22" s="25">
        <f>('Vstupy benefit'!$B$11*'Vstupy benefit'!$B$18+'Vstupy benefit'!$C$11*'Vstupy benefit'!$B$19+'Vstupy benefit'!$D$11*'Vstupy benefit'!$B$20)*'Vstupy benefit'!$B$23*'Vstupy benefit'!$B$24*24*365*'Vstupy benefit'!E3</f>
        <v>0</v>
      </c>
      <c r="F22" s="25">
        <f>('Vstupy benefit'!$B$11*'Vstupy benefit'!$B$18+'Vstupy benefit'!$C$11*'Vstupy benefit'!$B$19+'Vstupy benefit'!$D$11*'Vstupy benefit'!$B$20)*'Vstupy benefit'!$B$23*'Vstupy benefit'!$B$24*24*365*'Vstupy benefit'!F3</f>
        <v>106870.45823999998</v>
      </c>
      <c r="G22" s="25">
        <f>('Vstupy benefit'!$E$11*'Vstupy benefit'!$B$18+'Vstupy benefit'!$F$11*'Vstupy benefit'!$B$19+'Vstupy benefit'!$G$11*'Vstupy benefit'!$B$20)*'Vstupy benefit'!$B$23*'Vstupy benefit'!$B$24*24*365*'Vstupy benefit'!G3</f>
        <v>870230.87424000003</v>
      </c>
      <c r="H22" s="25">
        <f>('Vstupy benefit'!$E$11*'Vstupy benefit'!$B$18+'Vstupy benefit'!$F$11*'Vstupy benefit'!$B$19+'Vstupy benefit'!$G$11*'Vstupy benefit'!$B$20)*'Vstupy benefit'!$B$23*'Vstupy benefit'!$B$24*24*365*'Vstupy benefit'!H3</f>
        <v>870230.87424000003</v>
      </c>
      <c r="I22" s="25">
        <f>('Vstupy benefit'!$E$11*'Vstupy benefit'!$B$18+'Vstupy benefit'!$F$11*'Vstupy benefit'!$B$19+'Vstupy benefit'!$G$11*'Vstupy benefit'!$B$20)*'Vstupy benefit'!$B$23*'Vstupy benefit'!$B$24*24*365*'Vstupy benefit'!I3</f>
        <v>870230.87424000003</v>
      </c>
      <c r="J22" s="25">
        <f>('Vstupy benefit'!$E$11*'Vstupy benefit'!$B$18+'Vstupy benefit'!$F$11*'Vstupy benefit'!$B$19+'Vstupy benefit'!$G$11*'Vstupy benefit'!$B$20)*'Vstupy benefit'!$B$23*'Vstupy benefit'!$B$24*24*365*'Vstupy benefit'!J3</f>
        <v>870230.87424000003</v>
      </c>
      <c r="K22" s="25">
        <f>('Vstupy benefit'!$E$11*'Vstupy benefit'!$B$18+'Vstupy benefit'!$F$11*'Vstupy benefit'!$B$19+'Vstupy benefit'!$G$11*'Vstupy benefit'!$B$20)*'Vstupy benefit'!$B$23*'Vstupy benefit'!$B$24*24*365*'Vstupy benefit'!K3</f>
        <v>870230.87424000003</v>
      </c>
      <c r="L22" s="35">
        <f t="shared" si="7"/>
        <v>4458024.8294399995</v>
      </c>
      <c r="M22" s="47"/>
    </row>
    <row r="23" spans="1:13" ht="12" hidden="1" customHeight="1">
      <c r="A23" s="5" t="s">
        <v>137</v>
      </c>
      <c r="B23" s="25">
        <f>'Vstupy benefit'!$B$21*'Vstupy benefit'!$B$22*'Vstupy benefit'!B3</f>
        <v>0</v>
      </c>
      <c r="C23" s="25">
        <f>'Vstupy benefit'!$B$21*'Vstupy benefit'!$B$22*'Vstupy benefit'!C3</f>
        <v>0</v>
      </c>
      <c r="D23" s="25">
        <f>'Vstupy benefit'!$B$21*'Vstupy benefit'!$B$22*'Vstupy benefit'!D3</f>
        <v>0</v>
      </c>
      <c r="E23" s="25">
        <f>'Vstupy benefit'!$B$21*'Vstupy benefit'!$B$22*'Vstupy benefit'!E3</f>
        <v>0</v>
      </c>
      <c r="F23" s="25">
        <f>'Vstupy benefit'!$B$21*'Vstupy benefit'!$B$22*'Vstupy benefit'!F3</f>
        <v>38880</v>
      </c>
      <c r="G23" s="25">
        <f>'Vstupy benefit'!$B$21*'Vstupy benefit'!$B$22*'Vstupy benefit'!G3</f>
        <v>38880</v>
      </c>
      <c r="H23" s="25">
        <f>'Vstupy benefit'!$B$21*'Vstupy benefit'!$B$22*'Vstupy benefit'!H3</f>
        <v>38880</v>
      </c>
      <c r="I23" s="25">
        <f>'Vstupy benefit'!$B$21*'Vstupy benefit'!$B$22*'Vstupy benefit'!I3</f>
        <v>38880</v>
      </c>
      <c r="J23" s="25">
        <f>'Vstupy benefit'!$B$21*'Vstupy benefit'!$B$22*'Vstupy benefit'!J3</f>
        <v>38880</v>
      </c>
      <c r="K23" s="25">
        <f>'Vstupy benefit'!$B$21*'Vstupy benefit'!$B$22*'Vstupy benefit'!K3</f>
        <v>38880</v>
      </c>
      <c r="L23" s="35">
        <f t="shared" si="7"/>
        <v>233280</v>
      </c>
      <c r="M23" s="47"/>
    </row>
    <row r="24" spans="1:13" ht="12" hidden="1" customHeight="1">
      <c r="A24" s="33" t="s">
        <v>144</v>
      </c>
      <c r="B24" s="36">
        <f>SUM(B25:B26)</f>
        <v>0</v>
      </c>
      <c r="C24" s="36">
        <f t="shared" ref="C24:K24" si="11">SUM(C25:C26)</f>
        <v>0</v>
      </c>
      <c r="D24" s="36">
        <f t="shared" si="11"/>
        <v>0</v>
      </c>
      <c r="E24" s="36">
        <f t="shared" si="11"/>
        <v>0</v>
      </c>
      <c r="F24" s="36">
        <f t="shared" si="11"/>
        <v>145750.45823999998</v>
      </c>
      <c r="G24" s="36">
        <f t="shared" si="11"/>
        <v>909110.87424000003</v>
      </c>
      <c r="H24" s="36">
        <f t="shared" si="11"/>
        <v>909110.87424000003</v>
      </c>
      <c r="I24" s="36">
        <f t="shared" si="11"/>
        <v>909110.87424000003</v>
      </c>
      <c r="J24" s="36">
        <f t="shared" si="11"/>
        <v>909110.87424000003</v>
      </c>
      <c r="K24" s="36">
        <f t="shared" si="11"/>
        <v>909110.87424000003</v>
      </c>
      <c r="L24" s="37">
        <f>SUM(B24:K24)</f>
        <v>4691304.8294399995</v>
      </c>
    </row>
    <row r="25" spans="1:13" ht="12" hidden="1" customHeight="1">
      <c r="A25" s="5" t="s">
        <v>136</v>
      </c>
      <c r="B25" s="25">
        <f>('Vstupy benefit'!$B$11*'Vstupy benefit'!$B$18+'Vstupy benefit'!$C$11*'Vstupy benefit'!$B$19+'Vstupy benefit'!$D$11*'Vstupy benefit'!$B$20)*'Vstupy benefit'!$B$23*'Vstupy benefit'!$B$24*24*365*'Vstupy benefit'!B4</f>
        <v>0</v>
      </c>
      <c r="C25" s="25">
        <f>('Vstupy benefit'!$B$11*'Vstupy benefit'!$B$18+'Vstupy benefit'!$C$11*'Vstupy benefit'!$B$19+'Vstupy benefit'!$D$11*'Vstupy benefit'!$B$20)*'Vstupy benefit'!$B$23*'Vstupy benefit'!$B$24*24*365*'Vstupy benefit'!C4</f>
        <v>0</v>
      </c>
      <c r="D25" s="25">
        <f>('Vstupy benefit'!$B$11*'Vstupy benefit'!$B$18+'Vstupy benefit'!$C$11*'Vstupy benefit'!$B$19+'Vstupy benefit'!$D$11*'Vstupy benefit'!$B$20)*'Vstupy benefit'!$B$23*'Vstupy benefit'!$B$24*24*365*'Vstupy benefit'!D4</f>
        <v>0</v>
      </c>
      <c r="E25" s="25">
        <f>('Vstupy benefit'!$B$11*'Vstupy benefit'!$B$18+'Vstupy benefit'!$C$11*'Vstupy benefit'!$B$19+'Vstupy benefit'!$D$11*'Vstupy benefit'!$B$20)*'Vstupy benefit'!$B$23*'Vstupy benefit'!$B$24*24*365*'Vstupy benefit'!E4</f>
        <v>0</v>
      </c>
      <c r="F25" s="25">
        <f>('Vstupy benefit'!$B$11*'Vstupy benefit'!$B$18+'Vstupy benefit'!$C$11*'Vstupy benefit'!$B$19+'Vstupy benefit'!$D$11*'Vstupy benefit'!$B$20)*'Vstupy benefit'!$B$23*'Vstupy benefit'!$B$24*24*365*'Vstupy benefit'!F4</f>
        <v>106870.45823999998</v>
      </c>
      <c r="G25" s="25">
        <f>('Vstupy benefit'!$E$11*'Vstupy benefit'!$B$18+'Vstupy benefit'!$F$11*'Vstupy benefit'!$B$19+'Vstupy benefit'!$G$11*'Vstupy benefit'!$B$20)*'Vstupy benefit'!$B$23*'Vstupy benefit'!$B$24*24*365*'Vstupy benefit'!G4</f>
        <v>870230.87424000003</v>
      </c>
      <c r="H25" s="25">
        <f>('Vstupy benefit'!$E$11*'Vstupy benefit'!$B$18+'Vstupy benefit'!$F$11*'Vstupy benefit'!$B$19+'Vstupy benefit'!$G$11*'Vstupy benefit'!$B$20)*'Vstupy benefit'!$B$23*'Vstupy benefit'!$B$24*24*365*'Vstupy benefit'!H4</f>
        <v>870230.87424000003</v>
      </c>
      <c r="I25" s="25">
        <f>('Vstupy benefit'!$E$11*'Vstupy benefit'!$B$18+'Vstupy benefit'!$F$11*'Vstupy benefit'!$B$19+'Vstupy benefit'!$G$11*'Vstupy benefit'!$B$20)*'Vstupy benefit'!$B$23*'Vstupy benefit'!$B$24*24*365*'Vstupy benefit'!I4</f>
        <v>870230.87424000003</v>
      </c>
      <c r="J25" s="25">
        <f>('Vstupy benefit'!$E$11*'Vstupy benefit'!$B$18+'Vstupy benefit'!$F$11*'Vstupy benefit'!$B$19+'Vstupy benefit'!$G$11*'Vstupy benefit'!$B$20)*'Vstupy benefit'!$B$23*'Vstupy benefit'!$B$24*24*365*'Vstupy benefit'!J4</f>
        <v>870230.87424000003</v>
      </c>
      <c r="K25" s="25">
        <f>('Vstupy benefit'!$E$11*'Vstupy benefit'!$B$18+'Vstupy benefit'!$F$11*'Vstupy benefit'!$B$19+'Vstupy benefit'!$G$11*'Vstupy benefit'!$B$20)*'Vstupy benefit'!$B$23*'Vstupy benefit'!$B$24*24*365*'Vstupy benefit'!K4</f>
        <v>870230.87424000003</v>
      </c>
      <c r="L25" s="35">
        <f t="shared" si="7"/>
        <v>4458024.8294399995</v>
      </c>
    </row>
    <row r="26" spans="1:13" ht="12" hidden="1" customHeight="1">
      <c r="A26" s="5" t="s">
        <v>137</v>
      </c>
      <c r="B26" s="25">
        <f>'Vstupy benefit'!$B$21*'Vstupy benefit'!$B$22*'Vstupy benefit'!B4</f>
        <v>0</v>
      </c>
      <c r="C26" s="25">
        <f>'Vstupy benefit'!$B$21*'Vstupy benefit'!$B$22*'Vstupy benefit'!C4</f>
        <v>0</v>
      </c>
      <c r="D26" s="25">
        <f>'Vstupy benefit'!$B$21*'Vstupy benefit'!$B$22*'Vstupy benefit'!D4</f>
        <v>0</v>
      </c>
      <c r="E26" s="25">
        <f>'Vstupy benefit'!$B$21*'Vstupy benefit'!$B$22*'Vstupy benefit'!E4</f>
        <v>0</v>
      </c>
      <c r="F26" s="25">
        <f>'Vstupy benefit'!$B$21*'Vstupy benefit'!$B$22*'Vstupy benefit'!F4</f>
        <v>38880</v>
      </c>
      <c r="G26" s="25">
        <f>'Vstupy benefit'!$B$21*'Vstupy benefit'!$B$22*'Vstupy benefit'!G4</f>
        <v>38880</v>
      </c>
      <c r="H26" s="25">
        <f>'Vstupy benefit'!$B$21*'Vstupy benefit'!$B$22*'Vstupy benefit'!H4</f>
        <v>38880</v>
      </c>
      <c r="I26" s="25">
        <f>'Vstupy benefit'!$B$21*'Vstupy benefit'!$B$22*'Vstupy benefit'!I4</f>
        <v>38880</v>
      </c>
      <c r="J26" s="25">
        <f>'Vstupy benefit'!$B$21*'Vstupy benefit'!$B$22*'Vstupy benefit'!J4</f>
        <v>38880</v>
      </c>
      <c r="K26" s="25">
        <f>'Vstupy benefit'!$B$21*'Vstupy benefit'!$B$22*'Vstupy benefit'!K4</f>
        <v>38880</v>
      </c>
      <c r="L26" s="35">
        <f t="shared" si="7"/>
        <v>233280</v>
      </c>
    </row>
    <row r="27" spans="1:13" ht="12" hidden="1" customHeight="1">
      <c r="A27" s="33" t="s">
        <v>145</v>
      </c>
      <c r="B27" s="36">
        <f>SUM(B28:B29)</f>
        <v>0</v>
      </c>
      <c r="C27" s="36">
        <f t="shared" ref="C27:K27" si="12">SUM(C28:C29)</f>
        <v>0</v>
      </c>
      <c r="D27" s="36">
        <f t="shared" si="12"/>
        <v>0</v>
      </c>
      <c r="E27" s="36">
        <f t="shared" si="12"/>
        <v>97166.97215999999</v>
      </c>
      <c r="F27" s="36">
        <f t="shared" si="12"/>
        <v>194333.94431999998</v>
      </c>
      <c r="G27" s="36">
        <f t="shared" si="12"/>
        <v>1818221.7484800001</v>
      </c>
      <c r="H27" s="36">
        <f t="shared" si="12"/>
        <v>2424295.6646400001</v>
      </c>
      <c r="I27" s="36">
        <f t="shared" si="12"/>
        <v>3636443.4969600001</v>
      </c>
      <c r="J27" s="36">
        <f t="shared" si="12"/>
        <v>4848591.3292800002</v>
      </c>
      <c r="K27" s="36">
        <f t="shared" si="12"/>
        <v>6060739.1616000012</v>
      </c>
      <c r="L27" s="37">
        <f>SUM(B27:K27)</f>
        <v>19079792.317440003</v>
      </c>
    </row>
    <row r="28" spans="1:13" ht="12" hidden="1" customHeight="1">
      <c r="A28" s="5" t="s">
        <v>136</v>
      </c>
      <c r="B28" s="25">
        <f>('Vstupy benefit'!$B$11*'Vstupy benefit'!$B$18+'Vstupy benefit'!$C$11*'Vstupy benefit'!$B$19+'Vstupy benefit'!$D$11*'Vstupy benefit'!$B$20)*'Vstupy benefit'!$B$23*'Vstupy benefit'!$B$24*24*365*'Vstupy benefit'!B5</f>
        <v>0</v>
      </c>
      <c r="C28" s="25">
        <f>('Vstupy benefit'!$B$11*'Vstupy benefit'!$B$18+'Vstupy benefit'!$C$11*'Vstupy benefit'!$B$19+'Vstupy benefit'!$D$11*'Vstupy benefit'!$B$20)*'Vstupy benefit'!$B$23*'Vstupy benefit'!$B$24*24*365*'Vstupy benefit'!C5</f>
        <v>0</v>
      </c>
      <c r="D28" s="25">
        <f>('Vstupy benefit'!$B$11*'Vstupy benefit'!$B$18+'Vstupy benefit'!$C$11*'Vstupy benefit'!$B$19+'Vstupy benefit'!$D$11*'Vstupy benefit'!$B$20)*'Vstupy benefit'!$B$23*'Vstupy benefit'!$B$24*24*365*'Vstupy benefit'!D5</f>
        <v>0</v>
      </c>
      <c r="E28" s="25">
        <f>('Vstupy benefit'!$B$11*'Vstupy benefit'!$B$18+'Vstupy benefit'!$C$11*'Vstupy benefit'!$B$19+'Vstupy benefit'!$D$11*'Vstupy benefit'!$B$20)*'Vstupy benefit'!$B$23*'Vstupy benefit'!$B$24*24*365*'Vstupy benefit'!E5</f>
        <v>71246.97215999999</v>
      </c>
      <c r="F28" s="25">
        <f>('Vstupy benefit'!$B$11*'Vstupy benefit'!$B$18+'Vstupy benefit'!$C$11*'Vstupy benefit'!$B$19+'Vstupy benefit'!$D$11*'Vstupy benefit'!$B$20)*'Vstupy benefit'!$B$23*'Vstupy benefit'!$B$24*24*365*'Vstupy benefit'!F5</f>
        <v>142493.94431999998</v>
      </c>
      <c r="G28" s="25">
        <f>('Vstupy benefit'!$E$11*'Vstupy benefit'!$B$18+'Vstupy benefit'!$F$11*'Vstupy benefit'!$B$19+'Vstupy benefit'!$G$11*'Vstupy benefit'!$B$20)*'Vstupy benefit'!$B$23*'Vstupy benefit'!$B$24*24*365*'Vstupy benefit'!G5</f>
        <v>1740461.7484800001</v>
      </c>
      <c r="H28" s="25">
        <f>('Vstupy benefit'!$E$11*'Vstupy benefit'!$B$18+'Vstupy benefit'!$F$11*'Vstupy benefit'!$B$19+'Vstupy benefit'!$G$11*'Vstupy benefit'!$B$20)*'Vstupy benefit'!$B$23*'Vstupy benefit'!$B$24*24*365*'Vstupy benefit'!H5</f>
        <v>2320615.6646400001</v>
      </c>
      <c r="I28" s="25">
        <f>('Vstupy benefit'!$E$11*'Vstupy benefit'!$B$18+'Vstupy benefit'!$F$11*'Vstupy benefit'!$B$19+'Vstupy benefit'!$G$11*'Vstupy benefit'!$B$20)*'Vstupy benefit'!$B$23*'Vstupy benefit'!$B$24*24*365*'Vstupy benefit'!I5</f>
        <v>3480923.4969600001</v>
      </c>
      <c r="J28" s="25">
        <f>('Vstupy benefit'!$E$11*'Vstupy benefit'!$B$18+'Vstupy benefit'!$F$11*'Vstupy benefit'!$B$19+'Vstupy benefit'!$G$11*'Vstupy benefit'!$B$20)*'Vstupy benefit'!$B$23*'Vstupy benefit'!$B$24*24*365*'Vstupy benefit'!J5</f>
        <v>4641231.3292800002</v>
      </c>
      <c r="K28" s="25">
        <f>('Vstupy benefit'!$E$11*'Vstupy benefit'!$B$18+'Vstupy benefit'!$F$11*'Vstupy benefit'!$B$19+'Vstupy benefit'!$G$11*'Vstupy benefit'!$B$20)*'Vstupy benefit'!$B$23*'Vstupy benefit'!$B$24*24*365*'Vstupy benefit'!K5</f>
        <v>5801539.1616000012</v>
      </c>
      <c r="L28" s="35">
        <f t="shared" si="7"/>
        <v>18198512.317440003</v>
      </c>
    </row>
    <row r="29" spans="1:13" ht="12" hidden="1" customHeight="1">
      <c r="A29" s="5" t="s">
        <v>137</v>
      </c>
      <c r="B29" s="25">
        <f>'Vstupy benefit'!$B$21*'Vstupy benefit'!$B$22*'Vstupy benefit'!B5</f>
        <v>0</v>
      </c>
      <c r="C29" s="25">
        <f>'Vstupy benefit'!$B$21*'Vstupy benefit'!$B$22*'Vstupy benefit'!C5</f>
        <v>0</v>
      </c>
      <c r="D29" s="25">
        <f>'Vstupy benefit'!$B$21*'Vstupy benefit'!$B$22*'Vstupy benefit'!D5</f>
        <v>0</v>
      </c>
      <c r="E29" s="25">
        <f>'Vstupy benefit'!$B$21*'Vstupy benefit'!$B$22*'Vstupy benefit'!E5</f>
        <v>25920</v>
      </c>
      <c r="F29" s="25">
        <f>'Vstupy benefit'!$B$21*'Vstupy benefit'!$B$22*'Vstupy benefit'!F5</f>
        <v>51840</v>
      </c>
      <c r="G29" s="25">
        <f>'Vstupy benefit'!$B$21*'Vstupy benefit'!$B$22*'Vstupy benefit'!G5</f>
        <v>77760</v>
      </c>
      <c r="H29" s="25">
        <f>'Vstupy benefit'!$B$21*'Vstupy benefit'!$B$22*'Vstupy benefit'!H5</f>
        <v>103680</v>
      </c>
      <c r="I29" s="25">
        <f>'Vstupy benefit'!$B$21*'Vstupy benefit'!$B$22*'Vstupy benefit'!I5</f>
        <v>155520</v>
      </c>
      <c r="J29" s="25">
        <f>'Vstupy benefit'!$B$21*'Vstupy benefit'!$B$22*'Vstupy benefit'!J5</f>
        <v>207360</v>
      </c>
      <c r="K29" s="25">
        <f>'Vstupy benefit'!$B$21*'Vstupy benefit'!$B$22*'Vstupy benefit'!K5</f>
        <v>259200</v>
      </c>
      <c r="L29" s="35">
        <f t="shared" si="7"/>
        <v>881280</v>
      </c>
    </row>
    <row r="30" spans="1:13" ht="12" hidden="1" customHeight="1">
      <c r="A30" s="33" t="s">
        <v>146</v>
      </c>
      <c r="B30" s="36">
        <f>SUM(B31:B32)</f>
        <v>0</v>
      </c>
      <c r="C30" s="36">
        <f t="shared" ref="C30:K30" si="13">SUM(C31:C32)</f>
        <v>0</v>
      </c>
      <c r="D30" s="36">
        <f t="shared" si="13"/>
        <v>0</v>
      </c>
      <c r="E30" s="36">
        <f t="shared" si="13"/>
        <v>0</v>
      </c>
      <c r="F30" s="36">
        <f t="shared" si="13"/>
        <v>191552.08319999996</v>
      </c>
      <c r="G30" s="36">
        <f t="shared" si="13"/>
        <v>3084286.2911999999</v>
      </c>
      <c r="H30" s="36">
        <f t="shared" si="13"/>
        <v>3084286.2911999999</v>
      </c>
      <c r="I30" s="36">
        <f t="shared" si="13"/>
        <v>3084286.2911999999</v>
      </c>
      <c r="J30" s="36">
        <f t="shared" si="13"/>
        <v>3084286.2911999999</v>
      </c>
      <c r="K30" s="36">
        <f t="shared" si="13"/>
        <v>3084286.2911999999</v>
      </c>
      <c r="L30" s="37">
        <f>SUM(B30:K30)</f>
        <v>15612983.5392</v>
      </c>
    </row>
    <row r="31" spans="1:13" ht="12" hidden="1" customHeight="1">
      <c r="A31" s="5" t="s">
        <v>136</v>
      </c>
      <c r="B31" s="25">
        <f>('Vstupy benefit'!$B$12*'Vstupy benefit'!$B$18+'Vstupy benefit'!$C$12*'Vstupy benefit'!$B$19+'Vstupy benefit'!$D$12*'Vstupy benefit'!$B$20)*'Vstupy benefit'!$B$23*'Vstupy benefit'!$B$24*24*365*'Vstupy benefit'!B3</f>
        <v>0</v>
      </c>
      <c r="C31" s="25">
        <f>('Vstupy benefit'!$B$12*'Vstupy benefit'!$B$18+'Vstupy benefit'!$C$12*'Vstupy benefit'!$B$19+'Vstupy benefit'!$D$12*'Vstupy benefit'!$B$20)*'Vstupy benefit'!$B$23*'Vstupy benefit'!$B$24*24*365*'Vstupy benefit'!C3</f>
        <v>0</v>
      </c>
      <c r="D31" s="25">
        <f>('Vstupy benefit'!$B$12*'Vstupy benefit'!$B$18+'Vstupy benefit'!$C$12*'Vstupy benefit'!$B$19+'Vstupy benefit'!$D$12*'Vstupy benefit'!$B$20)*'Vstupy benefit'!$B$23*'Vstupy benefit'!$B$24*24*365*'Vstupy benefit'!D3</f>
        <v>0</v>
      </c>
      <c r="E31" s="25">
        <f>('Vstupy benefit'!$B$12*'Vstupy benefit'!$B$18+'Vstupy benefit'!$C$12*'Vstupy benefit'!$B$19+'Vstupy benefit'!$D$12*'Vstupy benefit'!$B$20)*'Vstupy benefit'!$B$23*'Vstupy benefit'!$B$24*24*365*'Vstupy benefit'!E3</f>
        <v>0</v>
      </c>
      <c r="F31" s="25">
        <f>('Vstupy benefit'!$B$12*'Vstupy benefit'!$B$18+'Vstupy benefit'!$C$12*'Vstupy benefit'!$B$19+'Vstupy benefit'!$D$12*'Vstupy benefit'!$B$20)*'Vstupy benefit'!$B$23*'Vstupy benefit'!$B$24*24*365*'Vstupy benefit'!F3</f>
        <v>152672.08319999996</v>
      </c>
      <c r="G31" s="25">
        <f>('Vstupy benefit'!$E$12*'Vstupy benefit'!$B$18+'Vstupy benefit'!$F$12*'Vstupy benefit'!$B$19+'Vstupy benefit'!$G$12*'Vstupy benefit'!$B$20)*'Vstupy benefit'!$B$23*'Vstupy benefit'!$B$24*24*365*'Vstupy benefit'!G3</f>
        <v>3045406.2911999999</v>
      </c>
      <c r="H31" s="25">
        <f>('Vstupy benefit'!$E$12*'Vstupy benefit'!$B$18+'Vstupy benefit'!$F$12*'Vstupy benefit'!$B$19+'Vstupy benefit'!$G$12*'Vstupy benefit'!$B$20)*'Vstupy benefit'!$B$23*'Vstupy benefit'!$B$24*24*365*'Vstupy benefit'!H3</f>
        <v>3045406.2911999999</v>
      </c>
      <c r="I31" s="25">
        <f>('Vstupy benefit'!$E$12*'Vstupy benefit'!$B$18+'Vstupy benefit'!$F$12*'Vstupy benefit'!$B$19+'Vstupy benefit'!$G$12*'Vstupy benefit'!$B$20)*'Vstupy benefit'!$B$23*'Vstupy benefit'!$B$24*24*365*'Vstupy benefit'!I3</f>
        <v>3045406.2911999999</v>
      </c>
      <c r="J31" s="25">
        <f>('Vstupy benefit'!$E$12*'Vstupy benefit'!$B$18+'Vstupy benefit'!$F$12*'Vstupy benefit'!$B$19+'Vstupy benefit'!$G$12*'Vstupy benefit'!$B$20)*'Vstupy benefit'!$B$23*'Vstupy benefit'!$B$24*24*365*'Vstupy benefit'!J3</f>
        <v>3045406.2911999999</v>
      </c>
      <c r="K31" s="25">
        <f>('Vstupy benefit'!$E$12*'Vstupy benefit'!$B$18+'Vstupy benefit'!$F$12*'Vstupy benefit'!$B$19+'Vstupy benefit'!$G$12*'Vstupy benefit'!$B$20)*'Vstupy benefit'!$B$23*'Vstupy benefit'!$B$24*24*365*'Vstupy benefit'!K3</f>
        <v>3045406.2911999999</v>
      </c>
      <c r="L31" s="35">
        <f t="shared" si="7"/>
        <v>15379703.5392</v>
      </c>
    </row>
    <row r="32" spans="1:13" ht="12" hidden="1" customHeight="1">
      <c r="A32" s="5" t="s">
        <v>137</v>
      </c>
      <c r="B32" s="25">
        <f>'Vstupy benefit'!$B$21*'Vstupy benefit'!$B$22*'Vstupy benefit'!B3</f>
        <v>0</v>
      </c>
      <c r="C32" s="25">
        <f>'Vstupy benefit'!$B$21*'Vstupy benefit'!$B$22*'Vstupy benefit'!C3</f>
        <v>0</v>
      </c>
      <c r="D32" s="25">
        <f>'Vstupy benefit'!$B$21*'Vstupy benefit'!$B$22*'Vstupy benefit'!D3</f>
        <v>0</v>
      </c>
      <c r="E32" s="25">
        <f>'Vstupy benefit'!$B$21*'Vstupy benefit'!$B$22*'Vstupy benefit'!E3</f>
        <v>0</v>
      </c>
      <c r="F32" s="25">
        <f>'Vstupy benefit'!$B$21*'Vstupy benefit'!$B$22*'Vstupy benefit'!F3</f>
        <v>38880</v>
      </c>
      <c r="G32" s="25">
        <f>'Vstupy benefit'!$B$21*'Vstupy benefit'!$B$22*'Vstupy benefit'!G3</f>
        <v>38880</v>
      </c>
      <c r="H32" s="25">
        <f>'Vstupy benefit'!$B$21*'Vstupy benefit'!$B$22*'Vstupy benefit'!H3</f>
        <v>38880</v>
      </c>
      <c r="I32" s="25">
        <f>'Vstupy benefit'!$B$21*'Vstupy benefit'!$B$22*'Vstupy benefit'!I3</f>
        <v>38880</v>
      </c>
      <c r="J32" s="25">
        <f>'Vstupy benefit'!$B$21*'Vstupy benefit'!$B$22*'Vstupy benefit'!J3</f>
        <v>38880</v>
      </c>
      <c r="K32" s="25">
        <f>'Vstupy benefit'!$B$21*'Vstupy benefit'!$B$22*'Vstupy benefit'!K3</f>
        <v>38880</v>
      </c>
      <c r="L32" s="35">
        <f t="shared" si="7"/>
        <v>233280</v>
      </c>
    </row>
    <row r="33" spans="1:12" ht="12" hidden="1" customHeight="1">
      <c r="A33" s="33" t="s">
        <v>147</v>
      </c>
      <c r="B33" s="36">
        <f>SUM(B34:B35)</f>
        <v>0</v>
      </c>
      <c r="C33" s="36">
        <f t="shared" ref="C33:K33" si="14">SUM(C34:C35)</f>
        <v>0</v>
      </c>
      <c r="D33" s="36">
        <f t="shared" si="14"/>
        <v>0</v>
      </c>
      <c r="E33" s="36">
        <f t="shared" si="14"/>
        <v>0</v>
      </c>
      <c r="F33" s="36">
        <f t="shared" si="14"/>
        <v>191552.08319999996</v>
      </c>
      <c r="G33" s="36">
        <f t="shared" si="14"/>
        <v>3084286.2911999999</v>
      </c>
      <c r="H33" s="36">
        <f t="shared" si="14"/>
        <v>3084286.2911999999</v>
      </c>
      <c r="I33" s="36">
        <f t="shared" si="14"/>
        <v>3084286.2911999999</v>
      </c>
      <c r="J33" s="36">
        <f t="shared" si="14"/>
        <v>3084286.2911999999</v>
      </c>
      <c r="K33" s="36">
        <f t="shared" si="14"/>
        <v>3084286.2911999999</v>
      </c>
      <c r="L33" s="37">
        <f>SUM(B33:K33)</f>
        <v>15612983.5392</v>
      </c>
    </row>
    <row r="34" spans="1:12" ht="12" hidden="1" customHeight="1">
      <c r="A34" s="5" t="s">
        <v>136</v>
      </c>
      <c r="B34" s="25">
        <f>('Vstupy benefit'!$B$12*'Vstupy benefit'!$B$18+'Vstupy benefit'!$C$12*'Vstupy benefit'!$B$19+'Vstupy benefit'!$D$12*'Vstupy benefit'!$B$20)*'Vstupy benefit'!$B$23*'Vstupy benefit'!$B$24*24*365*'Vstupy benefit'!B4</f>
        <v>0</v>
      </c>
      <c r="C34" s="25">
        <f>('Vstupy benefit'!$B$12*'Vstupy benefit'!$B$18+'Vstupy benefit'!$C$12*'Vstupy benefit'!$B$19+'Vstupy benefit'!$D$12*'Vstupy benefit'!$B$20)*'Vstupy benefit'!$B$23*'Vstupy benefit'!$B$24*24*365*'Vstupy benefit'!C4</f>
        <v>0</v>
      </c>
      <c r="D34" s="25">
        <f>('Vstupy benefit'!$B$12*'Vstupy benefit'!$B$18+'Vstupy benefit'!$C$12*'Vstupy benefit'!$B$19+'Vstupy benefit'!$D$12*'Vstupy benefit'!$B$20)*'Vstupy benefit'!$B$23*'Vstupy benefit'!$B$24*24*365*'Vstupy benefit'!D4</f>
        <v>0</v>
      </c>
      <c r="E34" s="25">
        <f>('Vstupy benefit'!$B$12*'Vstupy benefit'!$B$18+'Vstupy benefit'!$C$12*'Vstupy benefit'!$B$19+'Vstupy benefit'!$D$12*'Vstupy benefit'!$B$20)*'Vstupy benefit'!$B$23*'Vstupy benefit'!$B$24*24*365*'Vstupy benefit'!E4</f>
        <v>0</v>
      </c>
      <c r="F34" s="25">
        <f>('Vstupy benefit'!$B$12*'Vstupy benefit'!$B$18+'Vstupy benefit'!$C$12*'Vstupy benefit'!$B$19+'Vstupy benefit'!$D$12*'Vstupy benefit'!$B$20)*'Vstupy benefit'!$B$23*'Vstupy benefit'!$B$24*24*365*'Vstupy benefit'!F4</f>
        <v>152672.08319999996</v>
      </c>
      <c r="G34" s="25">
        <f>('Vstupy benefit'!$E$12*'Vstupy benefit'!$B$18+'Vstupy benefit'!$F$12*'Vstupy benefit'!$B$19+'Vstupy benefit'!$G$12*'Vstupy benefit'!$B$20)*'Vstupy benefit'!$B$23*'Vstupy benefit'!$B$24*24*365*'Vstupy benefit'!G4</f>
        <v>3045406.2911999999</v>
      </c>
      <c r="H34" s="25">
        <f>('Vstupy benefit'!$E$12*'Vstupy benefit'!$B$18+'Vstupy benefit'!$F$12*'Vstupy benefit'!$B$19+'Vstupy benefit'!$G$12*'Vstupy benefit'!$B$20)*'Vstupy benefit'!$B$23*'Vstupy benefit'!$B$24*24*365*'Vstupy benefit'!H4</f>
        <v>3045406.2911999999</v>
      </c>
      <c r="I34" s="25">
        <f>('Vstupy benefit'!$E$12*'Vstupy benefit'!$B$18+'Vstupy benefit'!$F$12*'Vstupy benefit'!$B$19+'Vstupy benefit'!$G$12*'Vstupy benefit'!$B$20)*'Vstupy benefit'!$B$23*'Vstupy benefit'!$B$24*24*365*'Vstupy benefit'!I4</f>
        <v>3045406.2911999999</v>
      </c>
      <c r="J34" s="25">
        <f>('Vstupy benefit'!$E$12*'Vstupy benefit'!$B$18+'Vstupy benefit'!$F$12*'Vstupy benefit'!$B$19+'Vstupy benefit'!$G$12*'Vstupy benefit'!$B$20)*'Vstupy benefit'!$B$23*'Vstupy benefit'!$B$24*24*365*'Vstupy benefit'!J4</f>
        <v>3045406.2911999999</v>
      </c>
      <c r="K34" s="25">
        <f>('Vstupy benefit'!$E$12*'Vstupy benefit'!$B$18+'Vstupy benefit'!$F$12*'Vstupy benefit'!$B$19+'Vstupy benefit'!$G$12*'Vstupy benefit'!$B$20)*'Vstupy benefit'!$B$23*'Vstupy benefit'!$B$24*24*365*'Vstupy benefit'!K4</f>
        <v>3045406.2911999999</v>
      </c>
      <c r="L34" s="35">
        <f t="shared" si="7"/>
        <v>15379703.5392</v>
      </c>
    </row>
    <row r="35" spans="1:12" ht="12" hidden="1" customHeight="1">
      <c r="A35" s="5" t="s">
        <v>137</v>
      </c>
      <c r="B35" s="25">
        <f>'Vstupy benefit'!$B$21*'Vstupy benefit'!$B$22*'Vstupy benefit'!B4</f>
        <v>0</v>
      </c>
      <c r="C35" s="25">
        <f>'Vstupy benefit'!$B$21*'Vstupy benefit'!$B$22*'Vstupy benefit'!C4</f>
        <v>0</v>
      </c>
      <c r="D35" s="25">
        <f>'Vstupy benefit'!$B$21*'Vstupy benefit'!$B$22*'Vstupy benefit'!D4</f>
        <v>0</v>
      </c>
      <c r="E35" s="25">
        <f>'Vstupy benefit'!$B$21*'Vstupy benefit'!$B$22*'Vstupy benefit'!E4</f>
        <v>0</v>
      </c>
      <c r="F35" s="25">
        <f>'Vstupy benefit'!$B$21*'Vstupy benefit'!$B$22*'Vstupy benefit'!F4</f>
        <v>38880</v>
      </c>
      <c r="G35" s="25">
        <f>'Vstupy benefit'!$B$21*'Vstupy benefit'!$B$22*'Vstupy benefit'!G4</f>
        <v>38880</v>
      </c>
      <c r="H35" s="25">
        <f>'Vstupy benefit'!$B$21*'Vstupy benefit'!$B$22*'Vstupy benefit'!H4</f>
        <v>38880</v>
      </c>
      <c r="I35" s="25">
        <f>'Vstupy benefit'!$B$21*'Vstupy benefit'!$B$22*'Vstupy benefit'!I4</f>
        <v>38880</v>
      </c>
      <c r="J35" s="25">
        <f>'Vstupy benefit'!$B$21*'Vstupy benefit'!$B$22*'Vstupy benefit'!J4</f>
        <v>38880</v>
      </c>
      <c r="K35" s="25">
        <f>'Vstupy benefit'!$B$21*'Vstupy benefit'!$B$22*'Vstupy benefit'!K4</f>
        <v>38880</v>
      </c>
      <c r="L35" s="35">
        <f t="shared" si="7"/>
        <v>233280</v>
      </c>
    </row>
    <row r="36" spans="1:12" ht="12" hidden="1" customHeight="1">
      <c r="A36" s="33" t="s">
        <v>148</v>
      </c>
      <c r="B36" s="36">
        <f>SUM(B37:B38)</f>
        <v>0</v>
      </c>
      <c r="C36" s="36">
        <f t="shared" ref="C36:K36" si="15">SUM(C37:C38)</f>
        <v>0</v>
      </c>
      <c r="D36" s="36">
        <f t="shared" si="15"/>
        <v>0</v>
      </c>
      <c r="E36" s="36">
        <f t="shared" si="15"/>
        <v>127701.38879999999</v>
      </c>
      <c r="F36" s="36">
        <f t="shared" si="15"/>
        <v>255402.77759999997</v>
      </c>
      <c r="G36" s="36">
        <f t="shared" si="15"/>
        <v>6168572.5823999997</v>
      </c>
      <c r="H36" s="36">
        <f t="shared" si="15"/>
        <v>8224763.4431999996</v>
      </c>
      <c r="I36" s="36">
        <f t="shared" si="15"/>
        <v>12337145.164799999</v>
      </c>
      <c r="J36" s="36">
        <f t="shared" si="15"/>
        <v>16449526.886399999</v>
      </c>
      <c r="K36" s="36">
        <f t="shared" si="15"/>
        <v>20561908.607999999</v>
      </c>
      <c r="L36" s="37">
        <f>SUM(B36:K36)</f>
        <v>64125020.851199999</v>
      </c>
    </row>
    <row r="37" spans="1:12" ht="12" hidden="1" customHeight="1">
      <c r="A37" s="5" t="s">
        <v>136</v>
      </c>
      <c r="B37" s="25">
        <f>('Vstupy benefit'!$B$12*'Vstupy benefit'!$B$18+'Vstupy benefit'!$C$12*'Vstupy benefit'!$B$19+'Vstupy benefit'!$D$12*'Vstupy benefit'!$B$20)*'Vstupy benefit'!$B$23*'Vstupy benefit'!$B$24*24*365*'Vstupy benefit'!B5</f>
        <v>0</v>
      </c>
      <c r="C37" s="25">
        <f>('Vstupy benefit'!$B$12*'Vstupy benefit'!$B$18+'Vstupy benefit'!$C$12*'Vstupy benefit'!$B$19+'Vstupy benefit'!$D$12*'Vstupy benefit'!$B$20)*'Vstupy benefit'!$B$23*'Vstupy benefit'!$B$24*24*365*'Vstupy benefit'!C5</f>
        <v>0</v>
      </c>
      <c r="D37" s="25">
        <f>('Vstupy benefit'!$B$12*'Vstupy benefit'!$B$18+'Vstupy benefit'!$C$12*'Vstupy benefit'!$B$19+'Vstupy benefit'!$D$12*'Vstupy benefit'!$B$20)*'Vstupy benefit'!$B$23*'Vstupy benefit'!$B$24*24*365*'Vstupy benefit'!D5</f>
        <v>0</v>
      </c>
      <c r="E37" s="25">
        <f>('Vstupy benefit'!$B$12*'Vstupy benefit'!$B$18+'Vstupy benefit'!$C$12*'Vstupy benefit'!$B$19+'Vstupy benefit'!$D$12*'Vstupy benefit'!$B$20)*'Vstupy benefit'!$B$23*'Vstupy benefit'!$B$24*24*365*'Vstupy benefit'!E5</f>
        <v>101781.38879999999</v>
      </c>
      <c r="F37" s="25">
        <f>('Vstupy benefit'!$B$12*'Vstupy benefit'!$B$18+'Vstupy benefit'!$C$12*'Vstupy benefit'!$B$19+'Vstupy benefit'!$D$12*'Vstupy benefit'!$B$20)*'Vstupy benefit'!$B$23*'Vstupy benefit'!$B$24*24*365*'Vstupy benefit'!F5</f>
        <v>203562.77759999997</v>
      </c>
      <c r="G37" s="25">
        <f>('Vstupy benefit'!$E$12*'Vstupy benefit'!$B$18+'Vstupy benefit'!$F$12*'Vstupy benefit'!$B$19+'Vstupy benefit'!$G$12*'Vstupy benefit'!$B$20)*'Vstupy benefit'!$B$23*'Vstupy benefit'!$B$24*24*365*'Vstupy benefit'!G5</f>
        <v>6090812.5823999997</v>
      </c>
      <c r="H37" s="25">
        <f>('Vstupy benefit'!$E$12*'Vstupy benefit'!$B$18+'Vstupy benefit'!$F$12*'Vstupy benefit'!$B$19+'Vstupy benefit'!$G$12*'Vstupy benefit'!$B$20)*'Vstupy benefit'!$B$23*'Vstupy benefit'!$B$24*24*365*'Vstupy benefit'!H5</f>
        <v>8121083.4431999996</v>
      </c>
      <c r="I37" s="25">
        <f>('Vstupy benefit'!$E$12*'Vstupy benefit'!$B$18+'Vstupy benefit'!$F$12*'Vstupy benefit'!$B$19+'Vstupy benefit'!$G$12*'Vstupy benefit'!$B$20)*'Vstupy benefit'!$B$23*'Vstupy benefit'!$B$24*24*365*'Vstupy benefit'!I5</f>
        <v>12181625.164799999</v>
      </c>
      <c r="J37" s="25">
        <f>('Vstupy benefit'!$E$12*'Vstupy benefit'!$B$18+'Vstupy benefit'!$F$12*'Vstupy benefit'!$B$19+'Vstupy benefit'!$G$12*'Vstupy benefit'!$B$20)*'Vstupy benefit'!$B$23*'Vstupy benefit'!$B$24*24*365*'Vstupy benefit'!J5</f>
        <v>16242166.886399999</v>
      </c>
      <c r="K37" s="25">
        <f>('Vstupy benefit'!$E$12*'Vstupy benefit'!$B$18+'Vstupy benefit'!$F$12*'Vstupy benefit'!$B$19+'Vstupy benefit'!$G$12*'Vstupy benefit'!$B$20)*'Vstupy benefit'!$B$23*'Vstupy benefit'!$B$24*24*365*'Vstupy benefit'!K5</f>
        <v>20302708.607999999</v>
      </c>
      <c r="L37" s="35">
        <f t="shared" si="7"/>
        <v>63243740.851199999</v>
      </c>
    </row>
    <row r="38" spans="1:12" ht="12" hidden="1" customHeight="1">
      <c r="A38" s="5" t="s">
        <v>137</v>
      </c>
      <c r="B38" s="25">
        <f>'Vstupy benefit'!$B$21*'Vstupy benefit'!$B$22*'Vstupy benefit'!B5</f>
        <v>0</v>
      </c>
      <c r="C38" s="25">
        <f>'Vstupy benefit'!$B$21*'Vstupy benefit'!$B$22*'Vstupy benefit'!C5</f>
        <v>0</v>
      </c>
      <c r="D38" s="25">
        <f>'Vstupy benefit'!$B$21*'Vstupy benefit'!$B$22*'Vstupy benefit'!D5</f>
        <v>0</v>
      </c>
      <c r="E38" s="25">
        <f>'Vstupy benefit'!$B$21*'Vstupy benefit'!$B$22*'Vstupy benefit'!E5</f>
        <v>25920</v>
      </c>
      <c r="F38" s="25">
        <f>'Vstupy benefit'!$B$21*'Vstupy benefit'!$B$22*'Vstupy benefit'!F5</f>
        <v>51840</v>
      </c>
      <c r="G38" s="25">
        <f>'Vstupy benefit'!$B$21*'Vstupy benefit'!$B$22*'Vstupy benefit'!G5</f>
        <v>77760</v>
      </c>
      <c r="H38" s="25">
        <f>'Vstupy benefit'!$B$21*'Vstupy benefit'!$B$22*'Vstupy benefit'!H5</f>
        <v>103680</v>
      </c>
      <c r="I38" s="25">
        <f>'Vstupy benefit'!$B$21*'Vstupy benefit'!$B$22*'Vstupy benefit'!I5</f>
        <v>155520</v>
      </c>
      <c r="J38" s="25">
        <f>'Vstupy benefit'!$B$21*'Vstupy benefit'!$B$22*'Vstupy benefit'!J5</f>
        <v>207360</v>
      </c>
      <c r="K38" s="25">
        <f>'Vstupy benefit'!$B$21*'Vstupy benefit'!$B$22*'Vstupy benefit'!K5</f>
        <v>259200</v>
      </c>
      <c r="L38" s="35">
        <f t="shared" si="7"/>
        <v>881280</v>
      </c>
    </row>
    <row r="39" spans="1:12" ht="12" hidden="1" customHeight="1">
      <c r="A39" s="33" t="s">
        <v>149</v>
      </c>
      <c r="B39" s="36">
        <f>SUM(B40:B41)</f>
        <v>0</v>
      </c>
      <c r="C39" s="36">
        <f t="shared" ref="C39:K39" si="16">SUM(C40:C41)</f>
        <v>0</v>
      </c>
      <c r="D39" s="36">
        <f t="shared" si="16"/>
        <v>0</v>
      </c>
      <c r="E39" s="36">
        <f t="shared" si="16"/>
        <v>0</v>
      </c>
      <c r="F39" s="36">
        <f t="shared" si="16"/>
        <v>145750.45823999998</v>
      </c>
      <c r="G39" s="36">
        <f t="shared" si="16"/>
        <v>3199192.1222400004</v>
      </c>
      <c r="H39" s="36">
        <f t="shared" si="16"/>
        <v>3199192.1222400004</v>
      </c>
      <c r="I39" s="36">
        <f t="shared" si="16"/>
        <v>3199192.1222400004</v>
      </c>
      <c r="J39" s="36">
        <f t="shared" si="16"/>
        <v>3199192.1222400004</v>
      </c>
      <c r="K39" s="36">
        <f t="shared" si="16"/>
        <v>3199192.1222400004</v>
      </c>
      <c r="L39" s="37">
        <f>SUM(B39:K39)</f>
        <v>16141711.06944</v>
      </c>
    </row>
    <row r="40" spans="1:12" ht="12" hidden="1" customHeight="1">
      <c r="A40" s="5" t="s">
        <v>136</v>
      </c>
      <c r="B40" s="25">
        <f>('Vstupy benefit'!$B$13*'Vstupy benefit'!$B$18+'Vstupy benefit'!$C$13*'Vstupy benefit'!$B$19+'Vstupy benefit'!$D$13*'Vstupy benefit'!$B$20)*'Vstupy benefit'!$B$23*'Vstupy benefit'!$B$24*24*365*'Vstupy benefit'!B3</f>
        <v>0</v>
      </c>
      <c r="C40" s="25">
        <f>('Vstupy benefit'!$B$13*'Vstupy benefit'!$B$18+'Vstupy benefit'!$C$13*'Vstupy benefit'!$B$19+'Vstupy benefit'!$D$13*'Vstupy benefit'!$B$20)*'Vstupy benefit'!$B$23*'Vstupy benefit'!$B$24*24*365*'Vstupy benefit'!C3</f>
        <v>0</v>
      </c>
      <c r="D40" s="25">
        <f>('Vstupy benefit'!$B$13*'Vstupy benefit'!$B$18+'Vstupy benefit'!$C$13*'Vstupy benefit'!$B$19+'Vstupy benefit'!$D$13*'Vstupy benefit'!$B$20)*'Vstupy benefit'!$B$23*'Vstupy benefit'!$B$24*24*365*'Vstupy benefit'!D3</f>
        <v>0</v>
      </c>
      <c r="E40" s="25">
        <f>('Vstupy benefit'!$B$13*'Vstupy benefit'!$B$18+'Vstupy benefit'!$C$13*'Vstupy benefit'!$B$19+'Vstupy benefit'!$D$13*'Vstupy benefit'!$B$20)*'Vstupy benefit'!$B$23*'Vstupy benefit'!$B$24*24*365*'Vstupy benefit'!E3</f>
        <v>0</v>
      </c>
      <c r="F40" s="25">
        <f>('Vstupy benefit'!$B$13*'Vstupy benefit'!$B$18+'Vstupy benefit'!$C$13*'Vstupy benefit'!$B$19+'Vstupy benefit'!$D$13*'Vstupy benefit'!$B$20)*'Vstupy benefit'!$B$23*'Vstupy benefit'!$B$24*24*365*'Vstupy benefit'!F3</f>
        <v>106870.45823999998</v>
      </c>
      <c r="G40" s="25">
        <f>('Vstupy benefit'!$E$13*'Vstupy benefit'!$B$18+'Vstupy benefit'!$F$13*'Vstupy benefit'!$B$19+'Vstupy benefit'!$G$13*'Vstupy benefit'!$B$20)*'Vstupy benefit'!$B$23*'Vstupy benefit'!$B$24*24*365*'Vstupy benefit'!G3</f>
        <v>3160312.1222400004</v>
      </c>
      <c r="H40" s="25">
        <f>('Vstupy benefit'!$E$13*'Vstupy benefit'!$B$18+'Vstupy benefit'!$F$13*'Vstupy benefit'!$B$19+'Vstupy benefit'!$G$13*'Vstupy benefit'!$B$20)*'Vstupy benefit'!$B$23*'Vstupy benefit'!$B$24*24*365*'Vstupy benefit'!H3</f>
        <v>3160312.1222400004</v>
      </c>
      <c r="I40" s="25">
        <f>('Vstupy benefit'!$E$13*'Vstupy benefit'!$B$18+'Vstupy benefit'!$F$13*'Vstupy benefit'!$B$19+'Vstupy benefit'!$G$13*'Vstupy benefit'!$B$20)*'Vstupy benefit'!$B$23*'Vstupy benefit'!$B$24*24*365*'Vstupy benefit'!I3</f>
        <v>3160312.1222400004</v>
      </c>
      <c r="J40" s="25">
        <f>('Vstupy benefit'!$E$13*'Vstupy benefit'!$B$18+'Vstupy benefit'!$F$13*'Vstupy benefit'!$B$19+'Vstupy benefit'!$G$13*'Vstupy benefit'!$B$20)*'Vstupy benefit'!$B$23*'Vstupy benefit'!$B$24*24*365*'Vstupy benefit'!J3</f>
        <v>3160312.1222400004</v>
      </c>
      <c r="K40" s="25">
        <f>('Vstupy benefit'!$E$13*'Vstupy benefit'!$B$18+'Vstupy benefit'!$F$13*'Vstupy benefit'!$B$19+'Vstupy benefit'!$G$13*'Vstupy benefit'!$B$20)*'Vstupy benefit'!$B$23*'Vstupy benefit'!$B$24*24*365*'Vstupy benefit'!K3</f>
        <v>3160312.1222400004</v>
      </c>
      <c r="L40" s="35">
        <f t="shared" si="7"/>
        <v>15908431.06944</v>
      </c>
    </row>
    <row r="41" spans="1:12" ht="12" hidden="1" customHeight="1">
      <c r="A41" s="5" t="s">
        <v>137</v>
      </c>
      <c r="B41" s="25">
        <f>'Vstupy benefit'!$B$21*'Vstupy benefit'!$B$22*'Vstupy benefit'!B3</f>
        <v>0</v>
      </c>
      <c r="C41" s="25">
        <f>'Vstupy benefit'!$B$21*'Vstupy benefit'!$B$22*'Vstupy benefit'!C3</f>
        <v>0</v>
      </c>
      <c r="D41" s="25">
        <f>'Vstupy benefit'!$B$21*'Vstupy benefit'!$B$22*'Vstupy benefit'!D3</f>
        <v>0</v>
      </c>
      <c r="E41" s="25">
        <f>'Vstupy benefit'!$B$21*'Vstupy benefit'!$B$22*'Vstupy benefit'!E3</f>
        <v>0</v>
      </c>
      <c r="F41" s="25">
        <f>'Vstupy benefit'!$B$21*'Vstupy benefit'!$B$22*'Vstupy benefit'!F3</f>
        <v>38880</v>
      </c>
      <c r="G41" s="25">
        <f>'Vstupy benefit'!$B$21*'Vstupy benefit'!$B$22*'Vstupy benefit'!G3</f>
        <v>38880</v>
      </c>
      <c r="H41" s="25">
        <f>'Vstupy benefit'!$B$21*'Vstupy benefit'!$B$22*'Vstupy benefit'!H3</f>
        <v>38880</v>
      </c>
      <c r="I41" s="25">
        <f>'Vstupy benefit'!$B$21*'Vstupy benefit'!$B$22*'Vstupy benefit'!I3</f>
        <v>38880</v>
      </c>
      <c r="J41" s="25">
        <f>'Vstupy benefit'!$B$21*'Vstupy benefit'!$B$22*'Vstupy benefit'!J3</f>
        <v>38880</v>
      </c>
      <c r="K41" s="25">
        <f>'Vstupy benefit'!$B$21*'Vstupy benefit'!$B$22*'Vstupy benefit'!K3</f>
        <v>38880</v>
      </c>
      <c r="L41" s="35">
        <f t="shared" si="7"/>
        <v>233280</v>
      </c>
    </row>
    <row r="42" spans="1:12" ht="12" hidden="1" customHeight="1">
      <c r="A42" s="33" t="s">
        <v>150</v>
      </c>
      <c r="B42" s="36">
        <f>SUM(B43:B44)</f>
        <v>0</v>
      </c>
      <c r="C42" s="36">
        <f t="shared" ref="C42:K42" si="17">SUM(C43:C44)</f>
        <v>0</v>
      </c>
      <c r="D42" s="36">
        <f t="shared" si="17"/>
        <v>0</v>
      </c>
      <c r="E42" s="36">
        <f t="shared" si="17"/>
        <v>0</v>
      </c>
      <c r="F42" s="36">
        <f t="shared" si="17"/>
        <v>145750.45823999998</v>
      </c>
      <c r="G42" s="36">
        <f t="shared" si="17"/>
        <v>3199192.1222400004</v>
      </c>
      <c r="H42" s="36">
        <f t="shared" si="17"/>
        <v>3199192.1222400004</v>
      </c>
      <c r="I42" s="36">
        <f t="shared" si="17"/>
        <v>3199192.1222400004</v>
      </c>
      <c r="J42" s="36">
        <f t="shared" si="17"/>
        <v>3199192.1222400004</v>
      </c>
      <c r="K42" s="36">
        <f t="shared" si="17"/>
        <v>3199192.1222400004</v>
      </c>
      <c r="L42" s="37">
        <f>SUM(B42:K42)</f>
        <v>16141711.06944</v>
      </c>
    </row>
    <row r="43" spans="1:12" ht="12" hidden="1" customHeight="1">
      <c r="A43" s="5" t="s">
        <v>136</v>
      </c>
      <c r="B43" s="25">
        <f>('Vstupy benefit'!$B$13*'Vstupy benefit'!$B$18+'Vstupy benefit'!$C$13*'Vstupy benefit'!$B$19+'Vstupy benefit'!$D$13*'Vstupy benefit'!$B$20)*'Vstupy benefit'!$B$23*'Vstupy benefit'!$B$24*24*365*'Vstupy benefit'!B4</f>
        <v>0</v>
      </c>
      <c r="C43" s="25">
        <f>('Vstupy benefit'!$B$13*'Vstupy benefit'!$B$18+'Vstupy benefit'!$C$13*'Vstupy benefit'!$B$19+'Vstupy benefit'!$D$13*'Vstupy benefit'!$B$20)*'Vstupy benefit'!$B$23*'Vstupy benefit'!$B$24*24*365*'Vstupy benefit'!C4</f>
        <v>0</v>
      </c>
      <c r="D43" s="25">
        <f>('Vstupy benefit'!$B$13*'Vstupy benefit'!$B$18+'Vstupy benefit'!$C$13*'Vstupy benefit'!$B$19+'Vstupy benefit'!$D$13*'Vstupy benefit'!$B$20)*'Vstupy benefit'!$B$23*'Vstupy benefit'!$B$24*24*365*'Vstupy benefit'!D4</f>
        <v>0</v>
      </c>
      <c r="E43" s="25">
        <f>('Vstupy benefit'!$B$13*'Vstupy benefit'!$B$18+'Vstupy benefit'!$C$13*'Vstupy benefit'!$B$19+'Vstupy benefit'!$D$13*'Vstupy benefit'!$B$20)*'Vstupy benefit'!$B$23*'Vstupy benefit'!$B$24*24*365*'Vstupy benefit'!E4</f>
        <v>0</v>
      </c>
      <c r="F43" s="25">
        <f>('Vstupy benefit'!$B$13*'Vstupy benefit'!$B$18+'Vstupy benefit'!$C$13*'Vstupy benefit'!$B$19+'Vstupy benefit'!$D$13*'Vstupy benefit'!$B$20)*'Vstupy benefit'!$B$23*'Vstupy benefit'!$B$24*24*365*'Vstupy benefit'!F4</f>
        <v>106870.45823999998</v>
      </c>
      <c r="G43" s="25">
        <f>('Vstupy benefit'!$E$13*'Vstupy benefit'!$B$18+'Vstupy benefit'!$F$13*'Vstupy benefit'!$B$19+'Vstupy benefit'!$G$13*'Vstupy benefit'!$B$20)*'Vstupy benefit'!$B$23*'Vstupy benefit'!$B$24*24*365*'Vstupy benefit'!G4</f>
        <v>3160312.1222400004</v>
      </c>
      <c r="H43" s="25">
        <f>('Vstupy benefit'!$E$13*'Vstupy benefit'!$B$18+'Vstupy benefit'!$F$13*'Vstupy benefit'!$B$19+'Vstupy benefit'!$G$13*'Vstupy benefit'!$B$20)*'Vstupy benefit'!$B$23*'Vstupy benefit'!$B$24*24*365*'Vstupy benefit'!H4</f>
        <v>3160312.1222400004</v>
      </c>
      <c r="I43" s="25">
        <f>('Vstupy benefit'!$E$13*'Vstupy benefit'!$B$18+'Vstupy benefit'!$F$13*'Vstupy benefit'!$B$19+'Vstupy benefit'!$G$13*'Vstupy benefit'!$B$20)*'Vstupy benefit'!$B$23*'Vstupy benefit'!$B$24*24*365*'Vstupy benefit'!I4</f>
        <v>3160312.1222400004</v>
      </c>
      <c r="J43" s="25">
        <f>('Vstupy benefit'!$E$13*'Vstupy benefit'!$B$18+'Vstupy benefit'!$F$13*'Vstupy benefit'!$B$19+'Vstupy benefit'!$G$13*'Vstupy benefit'!$B$20)*'Vstupy benefit'!$B$23*'Vstupy benefit'!$B$24*24*365*'Vstupy benefit'!J4</f>
        <v>3160312.1222400004</v>
      </c>
      <c r="K43" s="25">
        <f>('Vstupy benefit'!$E$13*'Vstupy benefit'!$B$18+'Vstupy benefit'!$F$13*'Vstupy benefit'!$B$19+'Vstupy benefit'!$G$13*'Vstupy benefit'!$B$20)*'Vstupy benefit'!$B$23*'Vstupy benefit'!$B$24*24*365*'Vstupy benefit'!K4</f>
        <v>3160312.1222400004</v>
      </c>
      <c r="L43" s="35">
        <f t="shared" si="7"/>
        <v>15908431.06944</v>
      </c>
    </row>
    <row r="44" spans="1:12" ht="12" hidden="1" customHeight="1">
      <c r="A44" s="5" t="s">
        <v>137</v>
      </c>
      <c r="B44" s="25">
        <f>'Vstupy benefit'!$B$21*'Vstupy benefit'!$B$22*'Vstupy benefit'!B4</f>
        <v>0</v>
      </c>
      <c r="C44" s="25">
        <f>'Vstupy benefit'!$B$21*'Vstupy benefit'!$B$22*'Vstupy benefit'!C4</f>
        <v>0</v>
      </c>
      <c r="D44" s="25">
        <f>'Vstupy benefit'!$B$21*'Vstupy benefit'!$B$22*'Vstupy benefit'!D4</f>
        <v>0</v>
      </c>
      <c r="E44" s="25">
        <f>'Vstupy benefit'!$B$21*'Vstupy benefit'!$B$22*'Vstupy benefit'!E4</f>
        <v>0</v>
      </c>
      <c r="F44" s="25">
        <f>'Vstupy benefit'!$B$21*'Vstupy benefit'!$B$22*'Vstupy benefit'!F4</f>
        <v>38880</v>
      </c>
      <c r="G44" s="25">
        <f>'Vstupy benefit'!$B$21*'Vstupy benefit'!$B$22*'Vstupy benefit'!G4</f>
        <v>38880</v>
      </c>
      <c r="H44" s="25">
        <f>'Vstupy benefit'!$B$21*'Vstupy benefit'!$B$22*'Vstupy benefit'!H4</f>
        <v>38880</v>
      </c>
      <c r="I44" s="25">
        <f>'Vstupy benefit'!$B$21*'Vstupy benefit'!$B$22*'Vstupy benefit'!I4</f>
        <v>38880</v>
      </c>
      <c r="J44" s="25">
        <f>'Vstupy benefit'!$B$21*'Vstupy benefit'!$B$22*'Vstupy benefit'!J4</f>
        <v>38880</v>
      </c>
      <c r="K44" s="25">
        <f>'Vstupy benefit'!$B$21*'Vstupy benefit'!$B$22*'Vstupy benefit'!K4</f>
        <v>38880</v>
      </c>
      <c r="L44" s="35">
        <f t="shared" si="7"/>
        <v>233280</v>
      </c>
    </row>
    <row r="45" spans="1:12" ht="12" hidden="1" customHeight="1">
      <c r="A45" s="33" t="s">
        <v>151</v>
      </c>
      <c r="B45" s="36">
        <f>SUM(B46:B47)</f>
        <v>0</v>
      </c>
      <c r="C45" s="36">
        <f t="shared" ref="C45:K45" si="18">SUM(C46:C47)</f>
        <v>0</v>
      </c>
      <c r="D45" s="36">
        <f t="shared" si="18"/>
        <v>0</v>
      </c>
      <c r="E45" s="36">
        <f t="shared" si="18"/>
        <v>97166.97215999999</v>
      </c>
      <c r="F45" s="36">
        <f t="shared" si="18"/>
        <v>194333.94431999998</v>
      </c>
      <c r="G45" s="36">
        <f t="shared" si="18"/>
        <v>6398384.2444800008</v>
      </c>
      <c r="H45" s="36">
        <f t="shared" si="18"/>
        <v>8531178.9926400017</v>
      </c>
      <c r="I45" s="36">
        <f t="shared" si="18"/>
        <v>12796768.488960002</v>
      </c>
      <c r="J45" s="36">
        <f t="shared" si="18"/>
        <v>17062357.985280003</v>
      </c>
      <c r="K45" s="36">
        <f t="shared" si="18"/>
        <v>21327947.481600005</v>
      </c>
      <c r="L45" s="37">
        <f>SUM(B45:K45)</f>
        <v>66408138.109440014</v>
      </c>
    </row>
    <row r="46" spans="1:12" ht="12" hidden="1" customHeight="1">
      <c r="A46" s="5" t="s">
        <v>136</v>
      </c>
      <c r="B46" s="25">
        <f>('Vstupy benefit'!$B$13*'Vstupy benefit'!$B$18+'Vstupy benefit'!$C$13*'Vstupy benefit'!$B$19+'Vstupy benefit'!$D$13*'Vstupy benefit'!$B$20)*'Vstupy benefit'!$B$23*'Vstupy benefit'!$B$24*24*365*'Vstupy benefit'!B5</f>
        <v>0</v>
      </c>
      <c r="C46" s="25">
        <f>('Vstupy benefit'!$B$13*'Vstupy benefit'!$B$18+'Vstupy benefit'!$C$13*'Vstupy benefit'!$B$19+'Vstupy benefit'!$D$13*'Vstupy benefit'!$B$20)*'Vstupy benefit'!$B$23*'Vstupy benefit'!$B$24*24*365*'Vstupy benefit'!C5</f>
        <v>0</v>
      </c>
      <c r="D46" s="25">
        <f>('Vstupy benefit'!$B$13*'Vstupy benefit'!$B$18+'Vstupy benefit'!$C$13*'Vstupy benefit'!$B$19+'Vstupy benefit'!$D$13*'Vstupy benefit'!$B$20)*'Vstupy benefit'!$B$23*'Vstupy benefit'!$B$24*24*365*'Vstupy benefit'!D5</f>
        <v>0</v>
      </c>
      <c r="E46" s="25">
        <f>('Vstupy benefit'!$B$13*'Vstupy benefit'!$B$18+'Vstupy benefit'!$C$13*'Vstupy benefit'!$B$19+'Vstupy benefit'!$D$13*'Vstupy benefit'!$B$20)*'Vstupy benefit'!$B$23*'Vstupy benefit'!$B$24*24*365*'Vstupy benefit'!E5</f>
        <v>71246.97215999999</v>
      </c>
      <c r="F46" s="25">
        <f>('Vstupy benefit'!$B$13*'Vstupy benefit'!$B$18+'Vstupy benefit'!$C$13*'Vstupy benefit'!$B$19+'Vstupy benefit'!$D$13*'Vstupy benefit'!$B$20)*'Vstupy benefit'!$B$23*'Vstupy benefit'!$B$24*24*365*'Vstupy benefit'!F5</f>
        <v>142493.94431999998</v>
      </c>
      <c r="G46" s="25">
        <f>('Vstupy benefit'!$E$13*'Vstupy benefit'!$B$18+'Vstupy benefit'!$F$13*'Vstupy benefit'!$B$19+'Vstupy benefit'!$G$13*'Vstupy benefit'!$B$20)*'Vstupy benefit'!$B$23*'Vstupy benefit'!$B$24*24*365*'Vstupy benefit'!G5</f>
        <v>6320624.2444800008</v>
      </c>
      <c r="H46" s="25">
        <f>('Vstupy benefit'!$E$13*'Vstupy benefit'!$B$18+'Vstupy benefit'!$F$13*'Vstupy benefit'!$B$19+'Vstupy benefit'!$G$13*'Vstupy benefit'!$B$20)*'Vstupy benefit'!$B$23*'Vstupy benefit'!$B$24*24*365*'Vstupy benefit'!H5</f>
        <v>8427498.9926400017</v>
      </c>
      <c r="I46" s="25">
        <f>('Vstupy benefit'!$E$13*'Vstupy benefit'!$B$18+'Vstupy benefit'!$F$13*'Vstupy benefit'!$B$19+'Vstupy benefit'!$G$13*'Vstupy benefit'!$B$20)*'Vstupy benefit'!$B$23*'Vstupy benefit'!$B$24*24*365*'Vstupy benefit'!I5</f>
        <v>12641248.488960002</v>
      </c>
      <c r="J46" s="25">
        <f>('Vstupy benefit'!$E$13*'Vstupy benefit'!$B$18+'Vstupy benefit'!$F$13*'Vstupy benefit'!$B$19+'Vstupy benefit'!$G$13*'Vstupy benefit'!$B$20)*'Vstupy benefit'!$B$23*'Vstupy benefit'!$B$24*24*365*'Vstupy benefit'!J5</f>
        <v>16854997.985280003</v>
      </c>
      <c r="K46" s="25">
        <f>('Vstupy benefit'!$E$13*'Vstupy benefit'!$B$18+'Vstupy benefit'!$F$13*'Vstupy benefit'!$B$19+'Vstupy benefit'!$G$13*'Vstupy benefit'!$B$20)*'Vstupy benefit'!$B$23*'Vstupy benefit'!$B$24*24*365*'Vstupy benefit'!K5</f>
        <v>21068747.481600005</v>
      </c>
      <c r="L46" s="35">
        <f t="shared" si="7"/>
        <v>65526858.109440014</v>
      </c>
    </row>
    <row r="47" spans="1:12" ht="12" hidden="1" customHeight="1" thickBot="1">
      <c r="A47" s="9" t="s">
        <v>137</v>
      </c>
      <c r="B47" s="39">
        <f>'Vstupy benefit'!$B$21*'Vstupy benefit'!$B$22*'Vstupy benefit'!B5</f>
        <v>0</v>
      </c>
      <c r="C47" s="39">
        <f>'Vstupy benefit'!$B$21*'Vstupy benefit'!$B$22*'Vstupy benefit'!C5</f>
        <v>0</v>
      </c>
      <c r="D47" s="39">
        <f>'Vstupy benefit'!$B$21*'Vstupy benefit'!$B$22*'Vstupy benefit'!D5</f>
        <v>0</v>
      </c>
      <c r="E47" s="39">
        <f>'Vstupy benefit'!$B$21*'Vstupy benefit'!$B$22*'Vstupy benefit'!E5</f>
        <v>25920</v>
      </c>
      <c r="F47" s="39">
        <f>'Vstupy benefit'!$B$21*'Vstupy benefit'!$B$22*'Vstupy benefit'!F5</f>
        <v>51840</v>
      </c>
      <c r="G47" s="39">
        <f>'Vstupy benefit'!$B$21*'Vstupy benefit'!$B$22*'Vstupy benefit'!G5</f>
        <v>77760</v>
      </c>
      <c r="H47" s="39">
        <f>'Vstupy benefit'!$B$21*'Vstupy benefit'!$B$22*'Vstupy benefit'!H5</f>
        <v>103680</v>
      </c>
      <c r="I47" s="39">
        <f>'Vstupy benefit'!$B$21*'Vstupy benefit'!$B$22*'Vstupy benefit'!I5</f>
        <v>155520</v>
      </c>
      <c r="J47" s="39">
        <f>'Vstupy benefit'!$B$21*'Vstupy benefit'!$B$22*'Vstupy benefit'!J5</f>
        <v>207360</v>
      </c>
      <c r="K47" s="39">
        <f>'Vstupy benefit'!$B$21*'Vstupy benefit'!$B$22*'Vstupy benefit'!K5</f>
        <v>259200</v>
      </c>
      <c r="L47" s="40">
        <f t="shared" si="7"/>
        <v>881280</v>
      </c>
    </row>
    <row r="49" spans="1:1" ht="13.95" customHeight="1">
      <c r="A49" s="47" t="s">
        <v>152</v>
      </c>
    </row>
    <row r="50" spans="1:1" ht="13.95" customHeight="1">
      <c r="A50" s="47" t="s">
        <v>153</v>
      </c>
    </row>
    <row r="52" spans="1:1" ht="13.95" customHeight="1">
      <c r="A52" s="47" t="s">
        <v>154</v>
      </c>
    </row>
    <row r="54" spans="1:1" ht="13.95" customHeight="1">
      <c r="A54" s="47"/>
    </row>
  </sheetData>
  <pageMargins left="0.7" right="0.7" top="0.75" bottom="0.75" header="0.3" footer="0.3"/>
  <pageSetup paperSize="8" scale="99" fitToHeight="0" orientation="landscape" horizontalDpi="1200" verticalDpi="1200" r:id="rId1"/>
  <headerFooter>
    <oddFooter>&amp;C&amp;7&amp;B&amp;"Arial"Document Classification: KPMG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8C56B-357C-4465-BADB-F8B7645A94BB}">
  <dimension ref="A1:E2"/>
  <sheetViews>
    <sheetView workbookViewId="0"/>
  </sheetViews>
  <sheetFormatPr defaultRowHeight="14.4"/>
  <sheetData>
    <row r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spans="1:5">
      <c r="A2">
        <v>1</v>
      </c>
      <c r="B2">
        <v>1</v>
      </c>
      <c r="C2">
        <v>12</v>
      </c>
      <c r="D2">
        <v>3</v>
      </c>
      <c r="E2" t="s">
        <v>155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3B2EB-3FC2-4CFE-8DE0-E466C36876DD}">
  <sheetPr>
    <pageSetUpPr fitToPage="1"/>
  </sheetPr>
  <dimension ref="A1:M57"/>
  <sheetViews>
    <sheetView topLeftCell="A7" workbookViewId="0">
      <selection activeCell="L19" sqref="L19"/>
    </sheetView>
  </sheetViews>
  <sheetFormatPr defaultColWidth="8.88671875" defaultRowHeight="13.95" customHeight="1"/>
  <cols>
    <col min="1" max="1" width="39.88671875" style="10" bestFit="1" customWidth="1"/>
    <col min="2" max="3" width="12.6640625" style="10" customWidth="1"/>
    <col min="4" max="11" width="13.44140625" style="10" customWidth="1"/>
    <col min="12" max="12" width="15.33203125" style="10" bestFit="1" customWidth="1"/>
    <col min="13" max="16384" width="8.88671875" style="10"/>
  </cols>
  <sheetData>
    <row r="1" spans="1:12" ht="19.5" hidden="1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" hidden="1" customHeight="1">
      <c r="A2" s="27" t="s">
        <v>156</v>
      </c>
      <c r="B2" s="4" t="s">
        <v>157</v>
      </c>
      <c r="C2" s="4" t="s">
        <v>158</v>
      </c>
      <c r="D2" s="4" t="s">
        <v>159</v>
      </c>
      <c r="E2" s="4" t="s">
        <v>160</v>
      </c>
      <c r="F2" s="4" t="s">
        <v>161</v>
      </c>
      <c r="G2" s="4" t="s">
        <v>162</v>
      </c>
      <c r="H2" s="4" t="s">
        <v>163</v>
      </c>
      <c r="I2" s="4" t="s">
        <v>164</v>
      </c>
      <c r="J2" s="4" t="s">
        <v>165</v>
      </c>
      <c r="K2" s="4" t="s">
        <v>166</v>
      </c>
      <c r="L2" s="28" t="s">
        <v>11</v>
      </c>
    </row>
    <row r="3" spans="1:12" ht="12" hidden="1" customHeight="1">
      <c r="A3" s="255" t="s">
        <v>39</v>
      </c>
      <c r="B3" s="256">
        <v>4</v>
      </c>
      <c r="C3" s="256">
        <v>16</v>
      </c>
      <c r="D3" s="256">
        <v>10</v>
      </c>
      <c r="E3" s="256">
        <v>25</v>
      </c>
      <c r="F3" s="256">
        <v>0</v>
      </c>
      <c r="G3" s="256">
        <v>0</v>
      </c>
      <c r="H3" s="256">
        <v>0</v>
      </c>
      <c r="I3" s="256">
        <v>0</v>
      </c>
      <c r="J3" s="256">
        <v>0</v>
      </c>
      <c r="K3" s="256">
        <v>0</v>
      </c>
      <c r="L3" s="257">
        <f>SUM(B3:K3)</f>
        <v>55</v>
      </c>
    </row>
    <row r="4" spans="1:12" ht="12" hidden="1" customHeight="1">
      <c r="A4" s="255" t="s">
        <v>64</v>
      </c>
      <c r="B4" s="256">
        <v>4</v>
      </c>
      <c r="C4" s="256">
        <v>21</v>
      </c>
      <c r="D4" s="256">
        <v>15</v>
      </c>
      <c r="E4" s="256">
        <v>30</v>
      </c>
      <c r="F4" s="256">
        <v>0</v>
      </c>
      <c r="G4" s="256">
        <v>0</v>
      </c>
      <c r="H4" s="256">
        <v>0</v>
      </c>
      <c r="I4" s="256">
        <v>0</v>
      </c>
      <c r="J4" s="256">
        <v>0</v>
      </c>
      <c r="K4" s="256">
        <v>0</v>
      </c>
      <c r="L4" s="257">
        <f t="shared" ref="L4:L5" si="0">SUM(B4:K4)</f>
        <v>70</v>
      </c>
    </row>
    <row r="5" spans="1:12" ht="12" hidden="1" customHeight="1">
      <c r="A5" s="255" t="s">
        <v>65</v>
      </c>
      <c r="B5" s="256">
        <v>4</v>
      </c>
      <c r="C5" s="256">
        <v>21</v>
      </c>
      <c r="D5" s="256">
        <v>15</v>
      </c>
      <c r="E5" s="256">
        <v>30</v>
      </c>
      <c r="F5" s="256">
        <v>5</v>
      </c>
      <c r="G5" s="256">
        <v>0</v>
      </c>
      <c r="H5" s="256">
        <v>0</v>
      </c>
      <c r="I5" s="256">
        <v>0</v>
      </c>
      <c r="J5" s="256">
        <v>0</v>
      </c>
      <c r="K5" s="256">
        <v>0</v>
      </c>
      <c r="L5" s="257">
        <f t="shared" si="0"/>
        <v>75</v>
      </c>
    </row>
    <row r="6" spans="1:12" ht="12" hidden="1" customHeight="1" thickBot="1">
      <c r="A6" s="9" t="s">
        <v>67</v>
      </c>
      <c r="B6" s="240">
        <v>4</v>
      </c>
      <c r="C6" s="240">
        <v>21</v>
      </c>
      <c r="D6" s="240">
        <v>15</v>
      </c>
      <c r="E6" s="240">
        <v>40</v>
      </c>
      <c r="F6" s="240">
        <v>3</v>
      </c>
      <c r="G6" s="240">
        <v>0</v>
      </c>
      <c r="H6" s="240">
        <v>0</v>
      </c>
      <c r="I6" s="240">
        <v>0</v>
      </c>
      <c r="J6" s="240">
        <v>0</v>
      </c>
      <c r="K6" s="240">
        <v>0</v>
      </c>
      <c r="L6" s="44">
        <f>SUM(B6:K6)</f>
        <v>83</v>
      </c>
    </row>
    <row r="7" spans="1:12" ht="13.95" customHeight="1">
      <c r="L7" s="11"/>
    </row>
    <row r="8" spans="1:12" ht="19.5" customHeight="1">
      <c r="A8" s="1" t="s">
        <v>167</v>
      </c>
      <c r="B8" s="2"/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2" customHeight="1">
      <c r="A9" s="29"/>
      <c r="B9" s="30" t="s">
        <v>125</v>
      </c>
      <c r="C9" s="30" t="s">
        <v>126</v>
      </c>
      <c r="D9" s="30" t="s">
        <v>127</v>
      </c>
      <c r="E9" s="30" t="s">
        <v>128</v>
      </c>
      <c r="F9" s="30" t="s">
        <v>129</v>
      </c>
      <c r="G9" s="30" t="s">
        <v>130</v>
      </c>
      <c r="H9" s="30" t="s">
        <v>131</v>
      </c>
      <c r="I9" s="30" t="s">
        <v>132</v>
      </c>
      <c r="J9" s="30" t="s">
        <v>133</v>
      </c>
      <c r="K9" s="30" t="s">
        <v>134</v>
      </c>
      <c r="L9" s="31" t="s">
        <v>11</v>
      </c>
    </row>
    <row r="10" spans="1:12" ht="12" customHeight="1">
      <c r="A10" s="33" t="s">
        <v>135</v>
      </c>
      <c r="B10" s="36">
        <f>SUM(B11:B12)</f>
        <v>0</v>
      </c>
      <c r="C10" s="36">
        <f t="shared" ref="C10:K10" si="1">SUM(C11:C12)</f>
        <v>0</v>
      </c>
      <c r="D10" s="36">
        <f t="shared" si="1"/>
        <v>0</v>
      </c>
      <c r="E10" s="36">
        <f t="shared" si="1"/>
        <v>0</v>
      </c>
      <c r="F10" s="36">
        <f t="shared" si="1"/>
        <v>0</v>
      </c>
      <c r="G10" s="36">
        <f t="shared" si="1"/>
        <v>0</v>
      </c>
      <c r="H10" s="36">
        <f t="shared" si="1"/>
        <v>68775688.800000012</v>
      </c>
      <c r="I10" s="36">
        <f t="shared" si="1"/>
        <v>137551377.60000002</v>
      </c>
      <c r="J10" s="36">
        <f t="shared" si="1"/>
        <v>206327066.40000001</v>
      </c>
      <c r="K10" s="36">
        <f t="shared" si="1"/>
        <v>275102755.20000005</v>
      </c>
      <c r="L10" s="37">
        <f>SUM(B10:K10)</f>
        <v>687756888.00000012</v>
      </c>
    </row>
    <row r="11" spans="1:12" ht="12" customHeight="1">
      <c r="A11" s="5" t="s">
        <v>168</v>
      </c>
      <c r="B11" s="25" t="s">
        <v>169</v>
      </c>
      <c r="C11" s="25" t="s">
        <v>169</v>
      </c>
      <c r="D11" s="25">
        <f>0.5*Výnosy!B3*'Vstupy benefit'!$B$28</f>
        <v>0</v>
      </c>
      <c r="E11" s="25">
        <f>0.5*SUM(Výnosy!B3:C3)*'Vstupy benefit'!$B$28</f>
        <v>0</v>
      </c>
      <c r="F11" s="25">
        <f>0.5*SUM(Výnosy!B3:D3)*'Vstupy benefit'!$B$28</f>
        <v>0</v>
      </c>
      <c r="G11" s="25">
        <f>0.5*SUM(Výnosy!B3:E3)*'Vstupy benefit'!$B$28</f>
        <v>0</v>
      </c>
      <c r="H11" s="25">
        <f>0.5*SUM(Výnosy!B3:F3)*'Vstupy benefit'!$B$28</f>
        <v>58971016.800000004</v>
      </c>
      <c r="I11" s="25">
        <f>0.5*SUM(Výnosy!B3:G3)*'Vstupy benefit'!$B$28</f>
        <v>117942033.60000001</v>
      </c>
      <c r="J11" s="25">
        <f>0.5*SUM(Výnosy!B3:H3)*'Vstupy benefit'!$B$28</f>
        <v>176913050.40000001</v>
      </c>
      <c r="K11" s="25">
        <f>0.5*SUM(Výnosy!B3:I3)*'Vstupy benefit'!$B$28</f>
        <v>235884067.20000002</v>
      </c>
      <c r="L11" s="35">
        <f>SUM(B11:K11)</f>
        <v>589710168</v>
      </c>
    </row>
    <row r="12" spans="1:12" ht="12" customHeight="1">
      <c r="A12" s="5" t="s">
        <v>170</v>
      </c>
      <c r="B12" s="25" t="s">
        <v>169</v>
      </c>
      <c r="C12" s="25" t="s">
        <v>169</v>
      </c>
      <c r="D12" s="25">
        <f>0.5*Výnosy!B3*'Vstupy benefit'!$B$29</f>
        <v>0</v>
      </c>
      <c r="E12" s="25">
        <f>0.5*SUM(Výnosy!B3:C3)*'Vstupy benefit'!$B$29</f>
        <v>0</v>
      </c>
      <c r="F12" s="25">
        <f>0.5*SUM(Výnosy!B3:D3)*'Vstupy benefit'!$B$29</f>
        <v>0</v>
      </c>
      <c r="G12" s="25">
        <f>0.5*SUM(Výnosy!B3:E3)*'Vstupy benefit'!$B$29</f>
        <v>0</v>
      </c>
      <c r="H12" s="25">
        <f>0.5*SUM(Výnosy!B3:F3)*'Vstupy benefit'!$B$29</f>
        <v>9804672</v>
      </c>
      <c r="I12" s="25">
        <f>0.5*SUM(Výnosy!B3:G3)*'Vstupy benefit'!$B$29</f>
        <v>19609344</v>
      </c>
      <c r="J12" s="25">
        <f>0.5*SUM(Výnosy!B3:H3)*'Vstupy benefit'!$B$29</f>
        <v>29414016</v>
      </c>
      <c r="K12" s="25">
        <f>0.5*SUM(Výnosy!B3:I3)*'Vstupy benefit'!$B$29</f>
        <v>39218688</v>
      </c>
      <c r="L12" s="35">
        <f t="shared" ref="L12:L54" si="2">SUM(B12:K12)</f>
        <v>98046720</v>
      </c>
    </row>
    <row r="13" spans="1:12" ht="12" hidden="1" customHeight="1">
      <c r="A13" s="33" t="s">
        <v>138</v>
      </c>
      <c r="B13" s="36">
        <f>SUM(B14:B15)</f>
        <v>0</v>
      </c>
      <c r="C13" s="36">
        <f t="shared" ref="C13" si="3">SUM(C14:C15)</f>
        <v>0</v>
      </c>
      <c r="D13" s="36">
        <f>SUM(D14:D15)</f>
        <v>0</v>
      </c>
      <c r="E13" s="36">
        <f t="shared" ref="E13:K13" si="4">SUM(E14:E15)</f>
        <v>0</v>
      </c>
      <c r="F13" s="36">
        <f t="shared" si="4"/>
        <v>0</v>
      </c>
      <c r="G13" s="36">
        <f t="shared" si="4"/>
        <v>0</v>
      </c>
      <c r="H13" s="36">
        <f t="shared" si="4"/>
        <v>68775688.800000012</v>
      </c>
      <c r="I13" s="36">
        <f t="shared" si="4"/>
        <v>137551377.60000002</v>
      </c>
      <c r="J13" s="36">
        <f t="shared" si="4"/>
        <v>206327066.40000001</v>
      </c>
      <c r="K13" s="36">
        <f t="shared" si="4"/>
        <v>275102755.20000005</v>
      </c>
      <c r="L13" s="37">
        <f t="shared" si="2"/>
        <v>687756888.00000012</v>
      </c>
    </row>
    <row r="14" spans="1:12" ht="12" hidden="1" customHeight="1">
      <c r="A14" s="5" t="s">
        <v>168</v>
      </c>
      <c r="B14" s="25" t="s">
        <v>169</v>
      </c>
      <c r="C14" s="25" t="s">
        <v>169</v>
      </c>
      <c r="D14" s="25">
        <f>0.5*Výnosy!B6*'Vstupy benefit'!$B$28</f>
        <v>0</v>
      </c>
      <c r="E14" s="25">
        <f>0.5*SUM(Výnosy!B6:C6)*'Vstupy benefit'!$B$28</f>
        <v>0</v>
      </c>
      <c r="F14" s="25">
        <f>0.5*SUM(Výnosy!B6:D6)*'Vstupy benefit'!$B$28</f>
        <v>0</v>
      </c>
      <c r="G14" s="25">
        <f>0.5*SUM(Výnosy!B6:E6)*'Vstupy benefit'!$B$28</f>
        <v>0</v>
      </c>
      <c r="H14" s="25">
        <f>0.5*SUM(Výnosy!B6:F6)*'Vstupy benefit'!$B$28</f>
        <v>58971016.800000004</v>
      </c>
      <c r="I14" s="25">
        <f>0.5*SUM(Výnosy!B6:G6)*'Vstupy benefit'!$B$28</f>
        <v>117942033.60000001</v>
      </c>
      <c r="J14" s="25">
        <f>0.5*SUM(Výnosy!B6:H6)*'Vstupy benefit'!$B$28</f>
        <v>176913050.40000001</v>
      </c>
      <c r="K14" s="25">
        <f>0.5*SUM(Výnosy!B6:I6)*'Vstupy benefit'!$B$28</f>
        <v>235884067.20000002</v>
      </c>
      <c r="L14" s="35">
        <f t="shared" si="2"/>
        <v>589710168</v>
      </c>
    </row>
    <row r="15" spans="1:12" ht="12" hidden="1" customHeight="1">
      <c r="A15" s="5" t="s">
        <v>170</v>
      </c>
      <c r="B15" s="25" t="s">
        <v>169</v>
      </c>
      <c r="C15" s="25" t="s">
        <v>169</v>
      </c>
      <c r="D15" s="25">
        <f>0.5*Výnosy!B6*'Vstupy benefit'!$B$29</f>
        <v>0</v>
      </c>
      <c r="E15" s="25">
        <f>0.5*SUM(Výnosy!B6:C6)*'Vstupy benefit'!$B$29</f>
        <v>0</v>
      </c>
      <c r="F15" s="25">
        <f>0.5*SUM(Výnosy!B6:D6)*'Vstupy benefit'!$B$29</f>
        <v>0</v>
      </c>
      <c r="G15" s="25">
        <f>0.5*SUM(Výnosy!B6:E6)*'Vstupy benefit'!$B$29</f>
        <v>0</v>
      </c>
      <c r="H15" s="25">
        <f>0.5*SUM(Výnosy!B6:F6)*'Vstupy benefit'!$B$29</f>
        <v>9804672</v>
      </c>
      <c r="I15" s="25">
        <f>0.5*SUM(Výnosy!B6:G6)*'Vstupy benefit'!$B$29</f>
        <v>19609344</v>
      </c>
      <c r="J15" s="25">
        <f>0.5*SUM(Výnosy!B6:H6)*'Vstupy benefit'!$B$29</f>
        <v>29414016</v>
      </c>
      <c r="K15" s="25">
        <f>0.5*SUM(Výnosy!B6:I6)*'Vstupy benefit'!$B$29</f>
        <v>39218688</v>
      </c>
      <c r="L15" s="35">
        <f t="shared" si="2"/>
        <v>98046720</v>
      </c>
    </row>
    <row r="16" spans="1:12" ht="12" hidden="1" customHeight="1">
      <c r="A16" s="33" t="s">
        <v>139</v>
      </c>
      <c r="B16" s="36">
        <f>SUM(B17:B18)</f>
        <v>0</v>
      </c>
      <c r="C16" s="36">
        <f t="shared" ref="C16" si="5">SUM(C17:C18)</f>
        <v>0</v>
      </c>
      <c r="D16" s="36">
        <f>SUM(D17:D18)</f>
        <v>0</v>
      </c>
      <c r="E16" s="36">
        <f t="shared" ref="E16:K16" si="6">SUM(E17:E18)</f>
        <v>0</v>
      </c>
      <c r="F16" s="36">
        <f t="shared" si="6"/>
        <v>0</v>
      </c>
      <c r="G16" s="36">
        <f t="shared" si="6"/>
        <v>36854912.640000001</v>
      </c>
      <c r="H16" s="36">
        <f t="shared" si="6"/>
        <v>128555831.03999999</v>
      </c>
      <c r="I16" s="36">
        <f t="shared" si="6"/>
        <v>266107208.64000002</v>
      </c>
      <c r="J16" s="36">
        <f t="shared" si="6"/>
        <v>449509045.44000006</v>
      </c>
      <c r="K16" s="36">
        <f t="shared" si="6"/>
        <v>724611800.63999999</v>
      </c>
      <c r="L16" s="37">
        <f t="shared" si="2"/>
        <v>1605638798.4000001</v>
      </c>
    </row>
    <row r="17" spans="1:13" ht="12" hidden="1" customHeight="1">
      <c r="A17" s="5" t="s">
        <v>168</v>
      </c>
      <c r="B17" s="25" t="s">
        <v>169</v>
      </c>
      <c r="C17" s="25" t="s">
        <v>169</v>
      </c>
      <c r="D17" s="25">
        <f>0.5*Výnosy!B9*'Vstupy benefit'!$B$28</f>
        <v>0</v>
      </c>
      <c r="E17" s="25">
        <f>0.5*SUM(Výnosy!B9:C9)*'Vstupy benefit'!$B$28</f>
        <v>0</v>
      </c>
      <c r="F17" s="25">
        <f>0.5*SUM(Výnosy!B9:D9)*'Vstupy benefit'!$B$28</f>
        <v>0</v>
      </c>
      <c r="G17" s="25">
        <f>0.5*SUM(Výnosy!B9:E9)*'Vstupy benefit'!$B$28</f>
        <v>31600871.040000003</v>
      </c>
      <c r="H17" s="25">
        <f>0.5*SUM(Výnosy!B9:F9)*'Vstupy benefit'!$B$28</f>
        <v>110228893.44</v>
      </c>
      <c r="I17" s="25">
        <f>0.5*SUM(Výnosy!B9:G9)*'Vstupy benefit'!$B$28</f>
        <v>228170927.04000002</v>
      </c>
      <c r="J17" s="25">
        <f>0.5*SUM(Výnosy!B9:H9)*'Vstupy benefit'!$B$28</f>
        <v>385426971.84000003</v>
      </c>
      <c r="K17" s="25">
        <f>0.5*SUM(Výnosy!B9:I9)*'Vstupy benefit'!$B$28</f>
        <v>621311039.03999996</v>
      </c>
      <c r="L17" s="35">
        <f t="shared" si="2"/>
        <v>1376738702.4000001</v>
      </c>
    </row>
    <row r="18" spans="1:13" ht="12" hidden="1" customHeight="1">
      <c r="A18" s="5" t="s">
        <v>170</v>
      </c>
      <c r="B18" s="25" t="s">
        <v>169</v>
      </c>
      <c r="C18" s="25" t="s">
        <v>169</v>
      </c>
      <c r="D18" s="25">
        <f>0.5*Výnosy!B9*'Vstupy benefit'!$B$29</f>
        <v>0</v>
      </c>
      <c r="E18" s="25">
        <f>0.5*SUM(Výnosy!B9:C9)*'Vstupy benefit'!$B$29</f>
        <v>0</v>
      </c>
      <c r="F18" s="25">
        <f>0.5*SUM(Výnosy!B9:D9)*'Vstupy benefit'!$B$29</f>
        <v>0</v>
      </c>
      <c r="G18" s="25">
        <f>0.5*SUM(Výnosy!B9:E9)*'Vstupy benefit'!$B$29</f>
        <v>5254041.5999999996</v>
      </c>
      <c r="H18" s="25">
        <f>0.5*SUM(Výnosy!B9:F9)*'Vstupy benefit'!$B$29</f>
        <v>18326937.599999998</v>
      </c>
      <c r="I18" s="25">
        <f>0.5*SUM(Výnosy!B9:G9)*'Vstupy benefit'!$B$29</f>
        <v>37936281.600000001</v>
      </c>
      <c r="J18" s="25">
        <f>0.5*SUM(Výnosy!B9:H9)*'Vstupy benefit'!$B$29</f>
        <v>64082073.599999994</v>
      </c>
      <c r="K18" s="25">
        <f>0.5*SUM(Výnosy!B9:I9)*'Vstupy benefit'!$B$29</f>
        <v>103300761.59999999</v>
      </c>
      <c r="L18" s="35">
        <f t="shared" si="2"/>
        <v>228900096</v>
      </c>
    </row>
    <row r="19" spans="1:13" ht="12" customHeight="1">
      <c r="A19" s="33" t="s">
        <v>140</v>
      </c>
      <c r="B19" s="36">
        <f>SUM(B20:B21)</f>
        <v>0</v>
      </c>
      <c r="C19" s="36">
        <f t="shared" ref="C19:K19" si="7">SUM(C20:C21)</f>
        <v>0</v>
      </c>
      <c r="D19" s="36">
        <f t="shared" si="7"/>
        <v>0</v>
      </c>
      <c r="E19" s="36">
        <f t="shared" si="7"/>
        <v>0</v>
      </c>
      <c r="F19" s="36">
        <f t="shared" si="7"/>
        <v>0</v>
      </c>
      <c r="G19" s="303">
        <f t="shared" si="7"/>
        <v>0</v>
      </c>
      <c r="H19" s="303">
        <f t="shared" si="7"/>
        <v>29040567.323040001</v>
      </c>
      <c r="I19" s="303">
        <f t="shared" si="7"/>
        <v>58081134.646080002</v>
      </c>
      <c r="J19" s="303">
        <f t="shared" si="7"/>
        <v>87121701.969120011</v>
      </c>
      <c r="K19" s="303">
        <f t="shared" si="7"/>
        <v>116162269.29216</v>
      </c>
      <c r="L19" s="304">
        <f t="shared" si="2"/>
        <v>290405673.23039997</v>
      </c>
    </row>
    <row r="20" spans="1:13" ht="12" customHeight="1">
      <c r="A20" s="5" t="s">
        <v>168</v>
      </c>
      <c r="B20" s="25" t="s">
        <v>169</v>
      </c>
      <c r="C20" s="25" t="s">
        <v>169</v>
      </c>
      <c r="D20" s="25">
        <f>0.5*Výnosy!B12*'Vstupy benefit'!$B$28</f>
        <v>0</v>
      </c>
      <c r="E20" s="25">
        <f>0.5*SUM(Výnosy!B12:C12)*'Vstupy benefit'!$B$28</f>
        <v>0</v>
      </c>
      <c r="F20" s="25">
        <f>0.5*SUM(Výnosy!B12:D12)*'Vstupy benefit'!$B$28</f>
        <v>0</v>
      </c>
      <c r="G20" s="294">
        <f>0.5*SUM(Výnosy!B12:E12)*'Vstupy benefit'!$B$28</f>
        <v>0</v>
      </c>
      <c r="H20" s="294">
        <f>0.5*SUM(Výnosy!B12:F12)*'Vstupy benefit'!$B$28</f>
        <v>24900539.905440003</v>
      </c>
      <c r="I20" s="294">
        <f>0.5*SUM(Výnosy!B12:G12)*'Vstupy benefit'!$B$28</f>
        <v>49801079.810880005</v>
      </c>
      <c r="J20" s="294">
        <f>0.5*SUM(Výnosy!B12:H12)*'Vstupy benefit'!$B$28</f>
        <v>74701619.716320008</v>
      </c>
      <c r="K20" s="294">
        <f>0.5*SUM(Výnosy!B12:I12)*'Vstupy benefit'!$B$28</f>
        <v>99602159.621760011</v>
      </c>
      <c r="L20" s="301">
        <f t="shared" si="2"/>
        <v>249005399.05440003</v>
      </c>
    </row>
    <row r="21" spans="1:13" ht="12" customHeight="1">
      <c r="A21" s="5" t="s">
        <v>170</v>
      </c>
      <c r="B21" s="25" t="s">
        <v>169</v>
      </c>
      <c r="C21" s="25" t="s">
        <v>169</v>
      </c>
      <c r="D21" s="25">
        <f>0.5*Výnosy!B12*'Vstupy benefit'!$B$29</f>
        <v>0</v>
      </c>
      <c r="E21" s="25">
        <f>0.5*SUM(Výnosy!B12:C12)*'Vstupy benefit'!$B$29</f>
        <v>0</v>
      </c>
      <c r="F21" s="25">
        <f>0.5*SUM(Výnosy!B12:D12)*'Vstupy benefit'!$B$29</f>
        <v>0</v>
      </c>
      <c r="G21" s="294">
        <f>0.5*SUM(Výnosy!B12:E12)*'Vstupy benefit'!$B$29</f>
        <v>0</v>
      </c>
      <c r="H21" s="294">
        <f>0.5*SUM(Výnosy!B12:F12)*'Vstupy benefit'!$B$29</f>
        <v>4140027.4176000003</v>
      </c>
      <c r="I21" s="294">
        <f>0.5*SUM(Výnosy!B12:G12)*'Vstupy benefit'!$B$29</f>
        <v>8280054.8352000006</v>
      </c>
      <c r="J21" s="294">
        <f>0.5*SUM(Výnosy!B12:H12)*'Vstupy benefit'!$B$29</f>
        <v>12420082.252799999</v>
      </c>
      <c r="K21" s="294">
        <f>0.5*SUM(Výnosy!B12:I12)*'Vstupy benefit'!$B$29</f>
        <v>16560109.670400001</v>
      </c>
      <c r="L21" s="301">
        <f t="shared" si="2"/>
        <v>41400274.175999999</v>
      </c>
    </row>
    <row r="22" spans="1:13" ht="12" hidden="1" customHeight="1">
      <c r="A22" s="33" t="s">
        <v>141</v>
      </c>
      <c r="B22" s="36">
        <f>SUM(B23:B24)</f>
        <v>0</v>
      </c>
      <c r="C22" s="36">
        <f t="shared" ref="C22" si="8">SUM(C23:C24)</f>
        <v>0</v>
      </c>
      <c r="D22" s="36">
        <f>SUM(D23:D24)</f>
        <v>0</v>
      </c>
      <c r="E22" s="36">
        <f t="shared" ref="E22:K22" si="9">SUM(E23:E24)</f>
        <v>0</v>
      </c>
      <c r="F22" s="36">
        <f t="shared" si="9"/>
        <v>0</v>
      </c>
      <c r="G22" s="36">
        <f t="shared" si="9"/>
        <v>0</v>
      </c>
      <c r="H22" s="36">
        <f t="shared" si="9"/>
        <v>1309089.6000000001</v>
      </c>
      <c r="I22" s="36">
        <f t="shared" si="9"/>
        <v>30349656.923040003</v>
      </c>
      <c r="J22" s="36">
        <f t="shared" si="9"/>
        <v>59390224.246080011</v>
      </c>
      <c r="K22" s="36">
        <f t="shared" si="9"/>
        <v>88430791.569120005</v>
      </c>
      <c r="L22" s="37">
        <f t="shared" si="2"/>
        <v>179479762.33824003</v>
      </c>
    </row>
    <row r="23" spans="1:13" ht="12" hidden="1" customHeight="1">
      <c r="A23" s="5" t="s">
        <v>168</v>
      </c>
      <c r="B23" s="25" t="s">
        <v>169</v>
      </c>
      <c r="C23" s="25" t="s">
        <v>169</v>
      </c>
      <c r="D23" s="25">
        <f>0.5*Výnosy!B15*'Vstupy benefit'!$B$28</f>
        <v>0</v>
      </c>
      <c r="E23" s="25">
        <f>0.5*SUM(Výnosy!B15:C15)*'Vstupy benefit'!$B$28</f>
        <v>0</v>
      </c>
      <c r="F23" s="25">
        <f>0.5*SUM(Výnosy!B15:D15)*'Vstupy benefit'!$B$28</f>
        <v>0</v>
      </c>
      <c r="G23" s="25">
        <f>0.5*SUM(Výnosy!B15:E15)*'Vstupy benefit'!$B$28</f>
        <v>0</v>
      </c>
      <c r="H23" s="25">
        <f>0.5*SUM(Výnosy!B15:F15)*'Vstupy benefit'!$B$28</f>
        <v>1122465.6000000001</v>
      </c>
      <c r="I23" s="25">
        <f>0.5*SUM(Výnosy!B15:G15)*'Vstupy benefit'!$B$28</f>
        <v>26023005.505440004</v>
      </c>
      <c r="J23" s="25">
        <f>0.5*SUM(Výnosy!B15:H15)*'Vstupy benefit'!$B$28</f>
        <v>50923545.410880007</v>
      </c>
      <c r="K23" s="25">
        <f>0.5*SUM(Výnosy!B15:I15)*'Vstupy benefit'!$B$28</f>
        <v>75824085.316320002</v>
      </c>
      <c r="L23" s="35">
        <f t="shared" si="2"/>
        <v>153893101.83264002</v>
      </c>
    </row>
    <row r="24" spans="1:13" ht="12" hidden="1" customHeight="1">
      <c r="A24" s="5" t="s">
        <v>170</v>
      </c>
      <c r="B24" s="25" t="s">
        <v>169</v>
      </c>
      <c r="C24" s="25" t="s">
        <v>169</v>
      </c>
      <c r="D24" s="25">
        <f>0.5*Výnosy!B15*'Vstupy benefit'!$B$29</f>
        <v>0</v>
      </c>
      <c r="E24" s="25">
        <f>0.5*SUM(Výnosy!B15:C15)*'Vstupy benefit'!$B$29</f>
        <v>0</v>
      </c>
      <c r="F24" s="25">
        <f>0.5*SUM(Výnosy!B15:D15)*'Vstupy benefit'!$B$29</f>
        <v>0</v>
      </c>
      <c r="G24" s="25">
        <f>0.5*SUM(Výnosy!B15:E15)*'Vstupy benefit'!$B$29</f>
        <v>0</v>
      </c>
      <c r="H24" s="25">
        <f>0.5*SUM(Výnosy!B15:F15)*'Vstupy benefit'!$B$29</f>
        <v>186624</v>
      </c>
      <c r="I24" s="25">
        <f>0.5*SUM(Výnosy!B15:G15)*'Vstupy benefit'!$B$29</f>
        <v>4326651.4176000003</v>
      </c>
      <c r="J24" s="25">
        <f>0.5*SUM(Výnosy!B15:H15)*'Vstupy benefit'!$B$29</f>
        <v>8466678.8352000006</v>
      </c>
      <c r="K24" s="25">
        <f>0.5*SUM(Výnosy!B15:I15)*'Vstupy benefit'!$B$29</f>
        <v>12606706.252799999</v>
      </c>
      <c r="L24" s="35">
        <f t="shared" si="2"/>
        <v>25586660.505599998</v>
      </c>
    </row>
    <row r="25" spans="1:13" ht="12" hidden="1" customHeight="1">
      <c r="A25" s="33" t="s">
        <v>142</v>
      </c>
      <c r="B25" s="36">
        <f>SUM(B26:B27)</f>
        <v>0</v>
      </c>
      <c r="C25" s="36">
        <f t="shared" ref="C25" si="10">SUM(C26:C27)</f>
        <v>0</v>
      </c>
      <c r="D25" s="36">
        <f>SUM(D26:D27)</f>
        <v>0</v>
      </c>
      <c r="E25" s="36">
        <f t="shared" ref="E25:K25" si="11">SUM(E26:E27)</f>
        <v>0</v>
      </c>
      <c r="F25" s="36">
        <f t="shared" si="11"/>
        <v>0</v>
      </c>
      <c r="G25" s="36">
        <f t="shared" si="11"/>
        <v>872726.4</v>
      </c>
      <c r="H25" s="36">
        <f t="shared" si="11"/>
        <v>2618179.2000000002</v>
      </c>
      <c r="I25" s="36">
        <f t="shared" si="11"/>
        <v>60699313.846080005</v>
      </c>
      <c r="J25" s="36">
        <f t="shared" si="11"/>
        <v>138140826.70752001</v>
      </c>
      <c r="K25" s="36">
        <f t="shared" si="11"/>
        <v>254303095.99968001</v>
      </c>
      <c r="L25" s="37">
        <f t="shared" si="2"/>
        <v>456634142.15328002</v>
      </c>
    </row>
    <row r="26" spans="1:13" ht="12" hidden="1" customHeight="1">
      <c r="A26" s="5" t="s">
        <v>168</v>
      </c>
      <c r="B26" s="25" t="s">
        <v>169</v>
      </c>
      <c r="C26" s="25" t="s">
        <v>169</v>
      </c>
      <c r="D26" s="25">
        <f>0.5*Výnosy!B18*'Vstupy benefit'!$B$28</f>
        <v>0</v>
      </c>
      <c r="E26" s="25">
        <f>0.5*SUM(Výnosy!B18:C18)*'Vstupy benefit'!$B$28</f>
        <v>0</v>
      </c>
      <c r="F26" s="25">
        <f>0.5*SUM(Výnosy!B18:D18)*'Vstupy benefit'!$B$28</f>
        <v>0</v>
      </c>
      <c r="G26" s="25">
        <f>0.5*SUM(Výnosy!B18:E18)*'Vstupy benefit'!$B$28</f>
        <v>748310.4</v>
      </c>
      <c r="H26" s="25">
        <f>0.5*SUM(Výnosy!B18:F18)*'Vstupy benefit'!$B$28</f>
        <v>2244931.2000000002</v>
      </c>
      <c r="I26" s="25">
        <f>0.5*SUM(Výnosy!B18:G18)*'Vstupy benefit'!$B$28</f>
        <v>52046011.010880008</v>
      </c>
      <c r="J26" s="25">
        <f>0.5*SUM(Výnosy!B18:H18)*'Vstupy benefit'!$B$28</f>
        <v>118447450.75872001</v>
      </c>
      <c r="K26" s="25">
        <f>0.5*SUM(Výnosy!B18:I18)*'Vstupy benefit'!$B$28</f>
        <v>218049610.38048002</v>
      </c>
      <c r="L26" s="35">
        <f t="shared" si="2"/>
        <v>391536313.75008005</v>
      </c>
    </row>
    <row r="27" spans="1:13" ht="12" hidden="1" customHeight="1">
      <c r="A27" s="5" t="s">
        <v>170</v>
      </c>
      <c r="B27" s="25" t="s">
        <v>169</v>
      </c>
      <c r="C27" s="25" t="s">
        <v>169</v>
      </c>
      <c r="D27" s="25">
        <f>0.5*Výnosy!B18*'Vstupy benefit'!$B$29</f>
        <v>0</v>
      </c>
      <c r="E27" s="25">
        <f>0.5*SUM(Výnosy!B18:C18)*'Vstupy benefit'!$B$29</f>
        <v>0</v>
      </c>
      <c r="F27" s="25">
        <f>0.5*SUM(Výnosy!B18:D18)*'Vstupy benefit'!$B$29</f>
        <v>0</v>
      </c>
      <c r="G27" s="25">
        <f>0.5*SUM(Výnosy!B18:E18)*'Vstupy benefit'!$B$29</f>
        <v>124416</v>
      </c>
      <c r="H27" s="25">
        <f>0.5*SUM(Výnosy!B18:F18)*'Vstupy benefit'!$B$29</f>
        <v>373248</v>
      </c>
      <c r="I27" s="25">
        <f>0.5*SUM(Výnosy!B18:G18)*'Vstupy benefit'!$B$29</f>
        <v>8653302.8352000006</v>
      </c>
      <c r="J27" s="25">
        <f>0.5*SUM(Výnosy!B18:H18)*'Vstupy benefit'!$B$29</f>
        <v>19693375.948800001</v>
      </c>
      <c r="K27" s="25">
        <f>0.5*SUM(Výnosy!B18:I18)*'Vstupy benefit'!$B$29</f>
        <v>36253485.619199999</v>
      </c>
      <c r="L27" s="35">
        <f t="shared" si="2"/>
        <v>65097828.403200001</v>
      </c>
    </row>
    <row r="28" spans="1:13" ht="12" hidden="1" customHeight="1">
      <c r="A28" s="33" t="s">
        <v>143</v>
      </c>
      <c r="B28" s="36">
        <f>SUM(B29:B30)</f>
        <v>0</v>
      </c>
      <c r="C28" s="36">
        <f t="shared" ref="C28" si="12">SUM(C29:C30)</f>
        <v>0</v>
      </c>
      <c r="D28" s="36">
        <f>SUM(D29:D30)</f>
        <v>0</v>
      </c>
      <c r="E28" s="36">
        <f t="shared" ref="E28" si="13">SUM(E29:E30)</f>
        <v>0</v>
      </c>
      <c r="F28" s="36">
        <f t="shared" ref="F28" si="14">SUM(F29:F30)</f>
        <v>0</v>
      </c>
      <c r="G28" s="36">
        <f t="shared" ref="G28" si="15">SUM(G29:G30)</f>
        <v>0</v>
      </c>
      <c r="H28" s="36">
        <f t="shared" ref="H28" si="16">SUM(H29:H30)</f>
        <v>4907417.9289407991</v>
      </c>
      <c r="I28" s="36">
        <f t="shared" ref="I28" si="17">SUM(I29:I30)</f>
        <v>35517181.0646016</v>
      </c>
      <c r="J28" s="36">
        <f t="shared" ref="J28" si="18">SUM(J29:J30)</f>
        <v>66126944.200262405</v>
      </c>
      <c r="K28" s="36">
        <f t="shared" ref="K28" si="19">SUM(K29:K30)</f>
        <v>96736707.335923195</v>
      </c>
      <c r="L28" s="37">
        <f t="shared" si="2"/>
        <v>203288250.529728</v>
      </c>
    </row>
    <row r="29" spans="1:13" ht="12" hidden="1" customHeight="1">
      <c r="A29" s="5" t="s">
        <v>168</v>
      </c>
      <c r="B29" s="25" t="s">
        <v>169</v>
      </c>
      <c r="C29" s="25" t="s">
        <v>169</v>
      </c>
      <c r="D29" s="25">
        <f>0.5*Výnosy!B21*'Vstupy benefit'!$B$28</f>
        <v>0</v>
      </c>
      <c r="E29" s="25">
        <f>0.5*SUM(Výnosy!B21:C21)*'Vstupy benefit'!$B$28</f>
        <v>0</v>
      </c>
      <c r="F29" s="25">
        <f>0.5*SUM(Výnosy!B21:D21)*'Vstupy benefit'!$B$28</f>
        <v>0</v>
      </c>
      <c r="G29" s="25">
        <f>0.5*SUM(Výnosy!B21:E21)*'Vstupy benefit'!$B$28</f>
        <v>0</v>
      </c>
      <c r="H29" s="25">
        <f>0.5*SUM(Výnosy!B21:F21)*'Vstupy benefit'!$B$28</f>
        <v>4207815.7293887995</v>
      </c>
      <c r="I29" s="25">
        <f>0.5*SUM(Výnosy!B21:G21)*'Vstupy benefit'!$B$28</f>
        <v>30453846.668697603</v>
      </c>
      <c r="J29" s="25">
        <f>0.5*SUM(Výnosy!B21:H21)*'Vstupy benefit'!$B$28</f>
        <v>56699877.608006403</v>
      </c>
      <c r="K29" s="25">
        <f>0.5*SUM(Výnosy!B21:I21)*'Vstupy benefit'!$B$28</f>
        <v>82945908.547315195</v>
      </c>
      <c r="L29" s="35">
        <f t="shared" si="2"/>
        <v>174307448.553408</v>
      </c>
      <c r="M29" s="47"/>
    </row>
    <row r="30" spans="1:13" ht="12" hidden="1" customHeight="1">
      <c r="A30" s="5" t="s">
        <v>170</v>
      </c>
      <c r="B30" s="25" t="s">
        <v>169</v>
      </c>
      <c r="C30" s="25" t="s">
        <v>169</v>
      </c>
      <c r="D30" s="25">
        <f>0.5*Výnosy!B21*'Vstupy benefit'!$B$29</f>
        <v>0</v>
      </c>
      <c r="E30" s="25">
        <f>0.5*SUM(Výnosy!B21:C21)*'Vstupy benefit'!$B$29</f>
        <v>0</v>
      </c>
      <c r="F30" s="25">
        <f>0.5*SUM(Výnosy!B21:D21)*'Vstupy benefit'!$B$29</f>
        <v>0</v>
      </c>
      <c r="G30" s="25">
        <f>0.5*SUM(Výnosy!B21:E21)*'Vstupy benefit'!$B$29</f>
        <v>0</v>
      </c>
      <c r="H30" s="25">
        <f>0.5*SUM(Výnosy!B21:F21)*'Vstupy benefit'!$B$29</f>
        <v>699602.19955199992</v>
      </c>
      <c r="I30" s="25">
        <f>0.5*SUM(Výnosy!B21:G21)*'Vstupy benefit'!$B$29</f>
        <v>5063334.3959039999</v>
      </c>
      <c r="J30" s="25">
        <f>0.5*SUM(Výnosy!B21:H21)*'Vstupy benefit'!$B$29</f>
        <v>9427066.5922560003</v>
      </c>
      <c r="K30" s="25">
        <f>0.5*SUM(Výnosy!B21:I21)*'Vstupy benefit'!$B$29</f>
        <v>13790798.788608</v>
      </c>
      <c r="L30" s="35">
        <f t="shared" si="2"/>
        <v>28980801.976319999</v>
      </c>
      <c r="M30" s="47"/>
    </row>
    <row r="31" spans="1:13" ht="12" hidden="1" customHeight="1">
      <c r="A31" s="33" t="s">
        <v>144</v>
      </c>
      <c r="B31" s="36">
        <f>SUM(B32:B33)</f>
        <v>0</v>
      </c>
      <c r="C31" s="36">
        <f t="shared" ref="C31" si="20">SUM(C32:C33)</f>
        <v>0</v>
      </c>
      <c r="D31" s="36">
        <f>SUM(D32:D33)</f>
        <v>0</v>
      </c>
      <c r="E31" s="36">
        <f t="shared" ref="E31" si="21">SUM(E32:E33)</f>
        <v>0</v>
      </c>
      <c r="F31" s="36">
        <f t="shared" ref="F31" si="22">SUM(F32:F33)</f>
        <v>0</v>
      </c>
      <c r="G31" s="36">
        <f t="shared" ref="G31" si="23">SUM(G32:G33)</f>
        <v>0</v>
      </c>
      <c r="H31" s="36">
        <f t="shared" ref="H31" si="24">SUM(H32:H33)</f>
        <v>4907417.9289407991</v>
      </c>
      <c r="I31" s="36">
        <f t="shared" ref="I31" si="25">SUM(I32:I33)</f>
        <v>35517181.0646016</v>
      </c>
      <c r="J31" s="36">
        <f t="shared" ref="J31" si="26">SUM(J32:J33)</f>
        <v>66126944.200262405</v>
      </c>
      <c r="K31" s="36">
        <f t="shared" ref="K31" si="27">SUM(K32:K33)</f>
        <v>96736707.335923195</v>
      </c>
      <c r="L31" s="37">
        <f t="shared" si="2"/>
        <v>203288250.529728</v>
      </c>
    </row>
    <row r="32" spans="1:13" ht="12" hidden="1" customHeight="1">
      <c r="A32" s="5" t="s">
        <v>168</v>
      </c>
      <c r="B32" s="25" t="s">
        <v>169</v>
      </c>
      <c r="C32" s="25" t="s">
        <v>169</v>
      </c>
      <c r="D32" s="25">
        <f>0.5*Výnosy!B24*'Vstupy benefit'!$B$28</f>
        <v>0</v>
      </c>
      <c r="E32" s="25">
        <f>0.5*SUM(Výnosy!B24:C24)*'Vstupy benefit'!$B$28</f>
        <v>0</v>
      </c>
      <c r="F32" s="25">
        <f>0.5*SUM(Výnosy!B24:D24)*'Vstupy benefit'!$B$28</f>
        <v>0</v>
      </c>
      <c r="G32" s="25">
        <f>0.5*SUM(Výnosy!B24:E24)*'Vstupy benefit'!$B$28</f>
        <v>0</v>
      </c>
      <c r="H32" s="25">
        <f>0.5*SUM(Výnosy!B24:F24)*'Vstupy benefit'!$B$28</f>
        <v>4207815.7293887995</v>
      </c>
      <c r="I32" s="25">
        <f>0.5*SUM(Výnosy!B24:G24)*'Vstupy benefit'!$B$28</f>
        <v>30453846.668697603</v>
      </c>
      <c r="J32" s="25">
        <f>0.5*SUM(Výnosy!B24:H24)*'Vstupy benefit'!$B$28</f>
        <v>56699877.608006403</v>
      </c>
      <c r="K32" s="25">
        <f>0.5*SUM(Výnosy!B24:I24)*'Vstupy benefit'!$B$28</f>
        <v>82945908.547315195</v>
      </c>
      <c r="L32" s="35">
        <f t="shared" si="2"/>
        <v>174307448.553408</v>
      </c>
    </row>
    <row r="33" spans="1:12" ht="12" hidden="1" customHeight="1">
      <c r="A33" s="5" t="s">
        <v>170</v>
      </c>
      <c r="B33" s="25" t="s">
        <v>169</v>
      </c>
      <c r="C33" s="25" t="s">
        <v>169</v>
      </c>
      <c r="D33" s="25">
        <f>0.5*Výnosy!B24*'Vstupy benefit'!$B$29</f>
        <v>0</v>
      </c>
      <c r="E33" s="25">
        <f>0.5*SUM(Výnosy!B24:C24)*'Vstupy benefit'!$B$29</f>
        <v>0</v>
      </c>
      <c r="F33" s="25">
        <f>0.5*SUM(Výnosy!B24:D24)*'Vstupy benefit'!$B$29</f>
        <v>0</v>
      </c>
      <c r="G33" s="25">
        <f>0.5*SUM(Výnosy!B24:E24)*'Vstupy benefit'!$B$29</f>
        <v>0</v>
      </c>
      <c r="H33" s="25">
        <f>0.5*SUM(Výnosy!B24:F24)*'Vstupy benefit'!$B$29</f>
        <v>699602.19955199992</v>
      </c>
      <c r="I33" s="25">
        <f>0.5*SUM(Výnosy!B24:G24)*'Vstupy benefit'!$B$29</f>
        <v>5063334.3959039999</v>
      </c>
      <c r="J33" s="25">
        <f>0.5*SUM(Výnosy!B24:H24)*'Vstupy benefit'!$B$29</f>
        <v>9427066.5922560003</v>
      </c>
      <c r="K33" s="25">
        <f>0.5*SUM(Výnosy!B24:I24)*'Vstupy benefit'!$B$29</f>
        <v>13790798.788608</v>
      </c>
      <c r="L33" s="35">
        <f t="shared" si="2"/>
        <v>28980801.976319999</v>
      </c>
    </row>
    <row r="34" spans="1:12" ht="12" hidden="1" customHeight="1">
      <c r="A34" s="33" t="s">
        <v>145</v>
      </c>
      <c r="B34" s="36">
        <f>SUM(B35:B36)</f>
        <v>0</v>
      </c>
      <c r="C34" s="36">
        <f t="shared" ref="C34" si="28">SUM(C35:C36)</f>
        <v>0</v>
      </c>
      <c r="D34" s="36">
        <f>SUM(D35:D36)</f>
        <v>0</v>
      </c>
      <c r="E34" s="36">
        <f t="shared" ref="E34" si="29">SUM(E35:E36)</f>
        <v>0</v>
      </c>
      <c r="F34" s="36">
        <f t="shared" ref="F34" si="30">SUM(F35:F36)</f>
        <v>0</v>
      </c>
      <c r="G34" s="36">
        <f t="shared" ref="G34" si="31">SUM(G35:G36)</f>
        <v>3271611.9526271997</v>
      </c>
      <c r="H34" s="36">
        <f t="shared" ref="H34" si="32">SUM(H35:H36)</f>
        <v>9814835.8578815982</v>
      </c>
      <c r="I34" s="36">
        <f t="shared" ref="I34" si="33">SUM(I35:I36)</f>
        <v>71034362.1292032</v>
      </c>
      <c r="J34" s="36">
        <f t="shared" ref="J34" si="34">SUM(J35:J36)</f>
        <v>152660397.15763202</v>
      </c>
      <c r="K34" s="36">
        <f t="shared" ref="K34" si="35">SUM(K35:K36)</f>
        <v>275099449.70027524</v>
      </c>
      <c r="L34" s="37">
        <f t="shared" si="2"/>
        <v>511880656.79761928</v>
      </c>
    </row>
    <row r="35" spans="1:12" ht="12" hidden="1" customHeight="1">
      <c r="A35" s="5" t="s">
        <v>168</v>
      </c>
      <c r="B35" s="25" t="s">
        <v>169</v>
      </c>
      <c r="C35" s="25" t="s">
        <v>169</v>
      </c>
      <c r="D35" s="25">
        <f>0.5*Výnosy!B27*'Vstupy benefit'!$B$28</f>
        <v>0</v>
      </c>
      <c r="E35" s="25">
        <f>0.5*SUM(Výnosy!B27:C27)*'Vstupy benefit'!$B$28</f>
        <v>0</v>
      </c>
      <c r="F35" s="25">
        <f>0.5*SUM(Výnosy!B27:D27)*'Vstupy benefit'!$B$28</f>
        <v>0</v>
      </c>
      <c r="G35" s="25">
        <f>0.5*SUM(Výnosy!B27:E27)*'Vstupy benefit'!$B$28</f>
        <v>2805210.4862591997</v>
      </c>
      <c r="H35" s="25">
        <f>0.5*SUM(Výnosy!B27:F27)*'Vstupy benefit'!$B$28</f>
        <v>8415631.458777599</v>
      </c>
      <c r="I35" s="25">
        <f>0.5*SUM(Výnosy!B27:G27)*'Vstupy benefit'!$B$28</f>
        <v>60907693.337395206</v>
      </c>
      <c r="J35" s="25">
        <f>0.5*SUM(Výnosy!B27:H27)*'Vstupy benefit'!$B$28</f>
        <v>130897109.17555203</v>
      </c>
      <c r="K35" s="25">
        <f>0.5*SUM(Výnosy!B27:I27)*'Vstupy benefit'!$B$28</f>
        <v>235881232.93278724</v>
      </c>
      <c r="L35" s="35">
        <f t="shared" si="2"/>
        <v>438906877.39077127</v>
      </c>
    </row>
    <row r="36" spans="1:12" ht="12" hidden="1" customHeight="1">
      <c r="A36" s="5" t="s">
        <v>170</v>
      </c>
      <c r="B36" s="25" t="s">
        <v>169</v>
      </c>
      <c r="C36" s="25" t="s">
        <v>169</v>
      </c>
      <c r="D36" s="25">
        <f>0.5*Výnosy!B27*'Vstupy benefit'!$B$29</f>
        <v>0</v>
      </c>
      <c r="E36" s="25">
        <f>0.5*SUM(Výnosy!B27:C27)*'Vstupy benefit'!$B$29</f>
        <v>0</v>
      </c>
      <c r="F36" s="25">
        <f>0.5*SUM(Výnosy!B27:D27)*'Vstupy benefit'!$B$29</f>
        <v>0</v>
      </c>
      <c r="G36" s="25">
        <f>0.5*SUM(Výnosy!B27:E27)*'Vstupy benefit'!$B$29</f>
        <v>466401.46636799996</v>
      </c>
      <c r="H36" s="25">
        <f>0.5*SUM(Výnosy!B27:F27)*'Vstupy benefit'!$B$29</f>
        <v>1399204.3991039998</v>
      </c>
      <c r="I36" s="25">
        <f>0.5*SUM(Výnosy!B27:G27)*'Vstupy benefit'!$B$29</f>
        <v>10126668.791808</v>
      </c>
      <c r="J36" s="25">
        <f>0.5*SUM(Výnosy!B27:H27)*'Vstupy benefit'!$B$29</f>
        <v>21763287.982080001</v>
      </c>
      <c r="K36" s="25">
        <f>0.5*SUM(Výnosy!B27:I27)*'Vstupy benefit'!$B$29</f>
        <v>39218216.767488003</v>
      </c>
      <c r="L36" s="35">
        <f t="shared" si="2"/>
        <v>72973779.406848013</v>
      </c>
    </row>
    <row r="37" spans="1:12" ht="12" hidden="1" customHeight="1">
      <c r="A37" s="33" t="s">
        <v>146</v>
      </c>
      <c r="B37" s="36">
        <f>SUM(B38:B39)</f>
        <v>0</v>
      </c>
      <c r="C37" s="36">
        <f t="shared" ref="C37" si="36">SUM(C38:C39)</f>
        <v>0</v>
      </c>
      <c r="D37" s="36">
        <f>SUM(D38:D39)</f>
        <v>0</v>
      </c>
      <c r="E37" s="36">
        <f t="shared" ref="E37" si="37">SUM(E38:E39)</f>
        <v>0</v>
      </c>
      <c r="F37" s="36">
        <f t="shared" ref="F37" si="38">SUM(F38:F39)</f>
        <v>0</v>
      </c>
      <c r="G37" s="36">
        <f t="shared" ref="G37" si="39">SUM(G38:G39)</f>
        <v>0</v>
      </c>
      <c r="H37" s="36">
        <f t="shared" ref="H37" si="40">SUM(H38:H39)</f>
        <v>6449558.6413439987</v>
      </c>
      <c r="I37" s="36">
        <f t="shared" ref="I37" si="41">SUM(I38:I39)</f>
        <v>110297478.06604798</v>
      </c>
      <c r="J37" s="36">
        <f t="shared" ref="J37" si="42">SUM(J38:J39)</f>
        <v>214145397.49075201</v>
      </c>
      <c r="K37" s="36">
        <f t="shared" ref="K37" si="43">SUM(K38:K39)</f>
        <v>317993316.91545594</v>
      </c>
      <c r="L37" s="37">
        <f t="shared" si="2"/>
        <v>648885751.1135999</v>
      </c>
    </row>
    <row r="38" spans="1:12" ht="12" hidden="1" customHeight="1">
      <c r="A38" s="5" t="s">
        <v>168</v>
      </c>
      <c r="B38" s="25" t="s">
        <v>169</v>
      </c>
      <c r="C38" s="25" t="s">
        <v>169</v>
      </c>
      <c r="D38" s="25">
        <f>0.5*Výnosy!B30*'Vstupy benefit'!$B$28</f>
        <v>0</v>
      </c>
      <c r="E38" s="25">
        <f>0.5*SUM(Výnosy!B30:C30)*'Vstupy benefit'!$B$28</f>
        <v>0</v>
      </c>
      <c r="F38" s="25">
        <f>0.5*SUM(Výnosy!B30:D30)*'Vstupy benefit'!$B$28</f>
        <v>0</v>
      </c>
      <c r="G38" s="25">
        <f>0.5*SUM(Výnosy!B30:E30)*'Vstupy benefit'!$B$28</f>
        <v>0</v>
      </c>
      <c r="H38" s="25">
        <f>0.5*SUM(Výnosy!B30:F30)*'Vstupy benefit'!$B$28</f>
        <v>5530108.6419839989</v>
      </c>
      <c r="I38" s="25">
        <f>0.5*SUM(Výnosy!B30:G30)*'Vstupy benefit'!$B$28</f>
        <v>94573453.868927985</v>
      </c>
      <c r="J38" s="25">
        <f>0.5*SUM(Výnosy!B30:H30)*'Vstupy benefit'!$B$28</f>
        <v>183616799.09587201</v>
      </c>
      <c r="K38" s="25">
        <f>0.5*SUM(Výnosy!B30:I30)*'Vstupy benefit'!$B$28</f>
        <v>272660144.32281595</v>
      </c>
      <c r="L38" s="35">
        <f t="shared" si="2"/>
        <v>556380505.9296</v>
      </c>
    </row>
    <row r="39" spans="1:12" ht="12" hidden="1" customHeight="1">
      <c r="A39" s="5" t="s">
        <v>170</v>
      </c>
      <c r="B39" s="25" t="s">
        <v>169</v>
      </c>
      <c r="C39" s="25" t="s">
        <v>169</v>
      </c>
      <c r="D39" s="25">
        <f>0.5*Výnosy!B30*'Vstupy benefit'!$B$29</f>
        <v>0</v>
      </c>
      <c r="E39" s="25">
        <f>0.5*SUM(Výnosy!B30:C30)*'Vstupy benefit'!$B$29</f>
        <v>0</v>
      </c>
      <c r="F39" s="25">
        <f>0.5*SUM(Výnosy!B30:D30)*'Vstupy benefit'!$B$29</f>
        <v>0</v>
      </c>
      <c r="G39" s="25">
        <f>0.5*SUM(Výnosy!B30:E30)*'Vstupy benefit'!$B$29</f>
        <v>0</v>
      </c>
      <c r="H39" s="25">
        <f>0.5*SUM(Výnosy!B30:F30)*'Vstupy benefit'!$B$29</f>
        <v>919449.99935999978</v>
      </c>
      <c r="I39" s="25">
        <f>0.5*SUM(Výnosy!B30:G30)*'Vstupy benefit'!$B$29</f>
        <v>15724024.197119998</v>
      </c>
      <c r="J39" s="25">
        <f>0.5*SUM(Výnosy!B30:H30)*'Vstupy benefit'!$B$29</f>
        <v>30528598.394879997</v>
      </c>
      <c r="K39" s="25">
        <f>0.5*SUM(Výnosy!B30:I30)*'Vstupy benefit'!$B$29</f>
        <v>45333172.59263999</v>
      </c>
      <c r="L39" s="35">
        <f t="shared" si="2"/>
        <v>92505245.183999985</v>
      </c>
    </row>
    <row r="40" spans="1:12" ht="12" hidden="1" customHeight="1">
      <c r="A40" s="33" t="s">
        <v>147</v>
      </c>
      <c r="B40" s="36">
        <f>SUM(B41:B42)</f>
        <v>0</v>
      </c>
      <c r="C40" s="36">
        <f t="shared" ref="C40" si="44">SUM(C41:C42)</f>
        <v>0</v>
      </c>
      <c r="D40" s="36">
        <f>SUM(D41:D42)</f>
        <v>0</v>
      </c>
      <c r="E40" s="36">
        <f t="shared" ref="E40" si="45">SUM(E41:E42)</f>
        <v>0</v>
      </c>
      <c r="F40" s="36">
        <f t="shared" ref="F40" si="46">SUM(F41:F42)</f>
        <v>0</v>
      </c>
      <c r="G40" s="36">
        <f t="shared" ref="G40" si="47">SUM(G41:G42)</f>
        <v>0</v>
      </c>
      <c r="H40" s="36">
        <f t="shared" ref="H40" si="48">SUM(H41:H42)</f>
        <v>6449558.6413439987</v>
      </c>
      <c r="I40" s="36">
        <f t="shared" ref="I40" si="49">SUM(I41:I42)</f>
        <v>110297478.06604798</v>
      </c>
      <c r="J40" s="36">
        <f t="shared" ref="J40" si="50">SUM(J41:J42)</f>
        <v>214145397.49075201</v>
      </c>
      <c r="K40" s="36">
        <f t="shared" ref="K40" si="51">SUM(K41:K42)</f>
        <v>317993316.91545594</v>
      </c>
      <c r="L40" s="37">
        <f t="shared" si="2"/>
        <v>648885751.1135999</v>
      </c>
    </row>
    <row r="41" spans="1:12" ht="12" hidden="1" customHeight="1">
      <c r="A41" s="5" t="s">
        <v>168</v>
      </c>
      <c r="B41" s="25" t="s">
        <v>169</v>
      </c>
      <c r="C41" s="25" t="s">
        <v>169</v>
      </c>
      <c r="D41" s="25">
        <f>0.5*Výnosy!B33*'Vstupy benefit'!$B$28</f>
        <v>0</v>
      </c>
      <c r="E41" s="25">
        <f>0.5*SUM(Výnosy!B33:C33)*'Vstupy benefit'!$B$28</f>
        <v>0</v>
      </c>
      <c r="F41" s="25">
        <f>0.5*SUM(Výnosy!B33:D33)*'Vstupy benefit'!$B$28</f>
        <v>0</v>
      </c>
      <c r="G41" s="25">
        <f>0.5*SUM(Výnosy!B33:E33)*'Vstupy benefit'!$B$28</f>
        <v>0</v>
      </c>
      <c r="H41" s="25">
        <f>0.5*SUM(Výnosy!B33:F33)*'Vstupy benefit'!$B$28</f>
        <v>5530108.6419839989</v>
      </c>
      <c r="I41" s="25">
        <f>0.5*SUM(Výnosy!B33:G33)*'Vstupy benefit'!$B$28</f>
        <v>94573453.868927985</v>
      </c>
      <c r="J41" s="25">
        <f>0.5*SUM(Výnosy!B33:H33)*'Vstupy benefit'!$B$28</f>
        <v>183616799.09587201</v>
      </c>
      <c r="K41" s="25">
        <f>0.5*SUM(Výnosy!B33:I33)*'Vstupy benefit'!$B$28</f>
        <v>272660144.32281595</v>
      </c>
      <c r="L41" s="35">
        <f t="shared" si="2"/>
        <v>556380505.9296</v>
      </c>
    </row>
    <row r="42" spans="1:12" ht="12" hidden="1" customHeight="1">
      <c r="A42" s="5" t="s">
        <v>170</v>
      </c>
      <c r="B42" s="25" t="s">
        <v>169</v>
      </c>
      <c r="C42" s="25" t="s">
        <v>169</v>
      </c>
      <c r="D42" s="25">
        <f>0.5*Výnosy!B33*'Vstupy benefit'!$B$29</f>
        <v>0</v>
      </c>
      <c r="E42" s="25">
        <f>0.5*SUM(Výnosy!B33:C33)*'Vstupy benefit'!$B$29</f>
        <v>0</v>
      </c>
      <c r="F42" s="25">
        <f>0.5*SUM(Výnosy!B33:D33)*'Vstupy benefit'!$B$29</f>
        <v>0</v>
      </c>
      <c r="G42" s="25">
        <f>0.5*SUM(Výnosy!B33:E33)*'Vstupy benefit'!$B$29</f>
        <v>0</v>
      </c>
      <c r="H42" s="25">
        <f>0.5*SUM(Výnosy!B33:F33)*'Vstupy benefit'!$B$29</f>
        <v>919449.99935999978</v>
      </c>
      <c r="I42" s="25">
        <f>0.5*SUM(Výnosy!B33:G33)*'Vstupy benefit'!$B$29</f>
        <v>15724024.197119998</v>
      </c>
      <c r="J42" s="25">
        <f>0.5*SUM(Výnosy!B33:H33)*'Vstupy benefit'!$B$29</f>
        <v>30528598.394879997</v>
      </c>
      <c r="K42" s="25">
        <f>0.5*SUM(Výnosy!B33:I33)*'Vstupy benefit'!$B$29</f>
        <v>45333172.59263999</v>
      </c>
      <c r="L42" s="35">
        <f t="shared" si="2"/>
        <v>92505245.183999985</v>
      </c>
    </row>
    <row r="43" spans="1:12" ht="12" hidden="1" customHeight="1">
      <c r="A43" s="33" t="s">
        <v>148</v>
      </c>
      <c r="B43" s="36">
        <f>SUM(B44:B45)</f>
        <v>0</v>
      </c>
      <c r="C43" s="36">
        <f t="shared" ref="C43" si="52">SUM(C44:C45)</f>
        <v>0</v>
      </c>
      <c r="D43" s="36">
        <f>SUM(D44:D45)</f>
        <v>0</v>
      </c>
      <c r="E43" s="36">
        <f t="shared" ref="E43" si="53">SUM(E44:E45)</f>
        <v>0</v>
      </c>
      <c r="F43" s="36">
        <f t="shared" ref="F43" si="54">SUM(F44:F45)</f>
        <v>0</v>
      </c>
      <c r="G43" s="36">
        <f t="shared" ref="G43" si="55">SUM(G44:G45)</f>
        <v>4299705.7608960001</v>
      </c>
      <c r="H43" s="36">
        <f t="shared" ref="H43" si="56">SUM(H44:H45)</f>
        <v>12899117.282687999</v>
      </c>
      <c r="I43" s="36">
        <f t="shared" ref="I43" si="57">SUM(I44:I45)</f>
        <v>220594956.13209599</v>
      </c>
      <c r="J43" s="36">
        <f t="shared" ref="J43" si="58">SUM(J44:J45)</f>
        <v>497522741.26463997</v>
      </c>
      <c r="K43" s="36">
        <f t="shared" ref="K43" si="59">SUM(K44:K45)</f>
        <v>912914418.96345592</v>
      </c>
      <c r="L43" s="37">
        <f>SUM(B43:K43)</f>
        <v>1648230939.4037759</v>
      </c>
    </row>
    <row r="44" spans="1:12" ht="12" hidden="1" customHeight="1">
      <c r="A44" s="5" t="s">
        <v>168</v>
      </c>
      <c r="B44" s="25" t="s">
        <v>169</v>
      </c>
      <c r="C44" s="25" t="s">
        <v>169</v>
      </c>
      <c r="D44" s="25">
        <f>0.5*Výnosy!B36*'Vstupy benefit'!$B$28</f>
        <v>0</v>
      </c>
      <c r="E44" s="25">
        <f>0.5*SUM(Výnosy!B36:C36)*'Vstupy benefit'!$B$28</f>
        <v>0</v>
      </c>
      <c r="F44" s="25">
        <f>0.5*SUM(Výnosy!B36:D36)*'Vstupy benefit'!$B$28</f>
        <v>0</v>
      </c>
      <c r="G44" s="25">
        <f>0.5*SUM(Výnosy!B36:E36)*'Vstupy benefit'!$B$28</f>
        <v>3686739.0946559999</v>
      </c>
      <c r="H44" s="25">
        <f>0.5*SUM(Výnosy!B36:F36)*'Vstupy benefit'!$B$28</f>
        <v>11060217.283968</v>
      </c>
      <c r="I44" s="25">
        <f>0.5*SUM(Výnosy!B36:G36)*'Vstupy benefit'!$B$28</f>
        <v>189146907.737856</v>
      </c>
      <c r="J44" s="25">
        <f>0.5*SUM(Výnosy!B36:H36)*'Vstupy benefit'!$B$28</f>
        <v>426595828.34303999</v>
      </c>
      <c r="K44" s="25">
        <f>0.5*SUM(Výnosy!B36:I36)*'Vstupy benefit'!$B$28</f>
        <v>782769209.25081599</v>
      </c>
      <c r="L44" s="35">
        <f t="shared" si="2"/>
        <v>1413258901.710336</v>
      </c>
    </row>
    <row r="45" spans="1:12" ht="12" hidden="1" customHeight="1">
      <c r="A45" s="5" t="s">
        <v>170</v>
      </c>
      <c r="B45" s="25" t="s">
        <v>169</v>
      </c>
      <c r="C45" s="25" t="s">
        <v>169</v>
      </c>
      <c r="D45" s="25">
        <f>0.5*Výnosy!B36*'Vstupy benefit'!$B$29</f>
        <v>0</v>
      </c>
      <c r="E45" s="25">
        <f>0.5*SUM(Výnosy!B36:C36)*'Vstupy benefit'!$B$29</f>
        <v>0</v>
      </c>
      <c r="F45" s="25">
        <f>0.5*SUM(Výnosy!B36:D36)*'Vstupy benefit'!$B$29</f>
        <v>0</v>
      </c>
      <c r="G45" s="25">
        <f>0.5*SUM(Výnosy!B36:E36)*'Vstupy benefit'!$B$29</f>
        <v>612966.66623999993</v>
      </c>
      <c r="H45" s="25">
        <f>0.5*SUM(Výnosy!B36:F36)*'Vstupy benefit'!$B$29</f>
        <v>1838899.9987199998</v>
      </c>
      <c r="I45" s="25">
        <f>0.5*SUM(Výnosy!B36:G36)*'Vstupy benefit'!$B$29</f>
        <v>31448048.394239999</v>
      </c>
      <c r="J45" s="25">
        <f>0.5*SUM(Výnosy!B36:H36)*'Vstupy benefit'!$B$29</f>
        <v>70926912.921599999</v>
      </c>
      <c r="K45" s="25">
        <f>0.5*SUM(Výnosy!B36:I36)*'Vstupy benefit'!$B$29</f>
        <v>130145209.71263999</v>
      </c>
      <c r="L45" s="35">
        <f t="shared" si="2"/>
        <v>234972037.69343999</v>
      </c>
    </row>
    <row r="46" spans="1:12" ht="12" hidden="1" customHeight="1">
      <c r="A46" s="33" t="s">
        <v>149</v>
      </c>
      <c r="B46" s="36">
        <f>SUM(B47:B48)</f>
        <v>0</v>
      </c>
      <c r="C46" s="36">
        <f t="shared" ref="C46" si="60">SUM(C47:C48)</f>
        <v>0</v>
      </c>
      <c r="D46" s="36">
        <f>SUM(D47:D48)</f>
        <v>0</v>
      </c>
      <c r="E46" s="36">
        <f t="shared" ref="E46" si="61">SUM(E47:E48)</f>
        <v>0</v>
      </c>
      <c r="F46" s="36">
        <f t="shared" ref="F46" si="62">SUM(F47:F48)</f>
        <v>0</v>
      </c>
      <c r="G46" s="36">
        <f t="shared" ref="G46" si="63">SUM(G47:G48)</f>
        <v>0</v>
      </c>
      <c r="H46" s="36">
        <f t="shared" ref="H46" si="64">SUM(H47:H48)</f>
        <v>4907417.9289407991</v>
      </c>
      <c r="I46" s="36">
        <f t="shared" ref="I46" si="65">SUM(I47:I48)</f>
        <v>112624216.68476163</v>
      </c>
      <c r="J46" s="36">
        <f t="shared" ref="J46" si="66">SUM(J47:J48)</f>
        <v>220341015.44058245</v>
      </c>
      <c r="K46" s="36">
        <f t="shared" ref="K46" si="67">SUM(K47:K48)</f>
        <v>328057814.19640326</v>
      </c>
      <c r="L46" s="37">
        <f t="shared" si="2"/>
        <v>665930464.25068808</v>
      </c>
    </row>
    <row r="47" spans="1:12" ht="12" hidden="1" customHeight="1">
      <c r="A47" s="5" t="s">
        <v>168</v>
      </c>
      <c r="B47" s="25" t="s">
        <v>169</v>
      </c>
      <c r="C47" s="25" t="s">
        <v>169</v>
      </c>
      <c r="D47" s="25">
        <f>0.5*Výnosy!B39*'Vstupy benefit'!$B$28</f>
        <v>0</v>
      </c>
      <c r="E47" s="25">
        <f>0.5*SUM(Výnosy!B39:C39)*'Vstupy benefit'!$B$28</f>
        <v>0</v>
      </c>
      <c r="F47" s="25">
        <f>0.5*SUM(Výnosy!B39:D39)*'Vstupy benefit'!$B$28</f>
        <v>0</v>
      </c>
      <c r="G47" s="25">
        <f>0.5*SUM(Výnosy!B39:E39)*'Vstupy benefit'!$B$28</f>
        <v>0</v>
      </c>
      <c r="H47" s="25">
        <f>0.5*SUM(Výnosy!B39:F39)*'Vstupy benefit'!$B$28</f>
        <v>4207815.7293887995</v>
      </c>
      <c r="I47" s="25">
        <f>0.5*SUM(Výnosy!B39:G39)*'Vstupy benefit'!$B$28</f>
        <v>96568492.298457623</v>
      </c>
      <c r="J47" s="25">
        <f>0.5*SUM(Výnosy!B39:H39)*'Vstupy benefit'!$B$28</f>
        <v>188929168.86752644</v>
      </c>
      <c r="K47" s="25">
        <f>0.5*SUM(Výnosy!B39:I39)*'Vstupy benefit'!$B$28</f>
        <v>281289845.43659526</v>
      </c>
      <c r="L47" s="35">
        <f t="shared" si="2"/>
        <v>570995322.33196807</v>
      </c>
    </row>
    <row r="48" spans="1:12" ht="12" hidden="1" customHeight="1">
      <c r="A48" s="5" t="s">
        <v>170</v>
      </c>
      <c r="B48" s="25" t="s">
        <v>169</v>
      </c>
      <c r="C48" s="25" t="s">
        <v>169</v>
      </c>
      <c r="D48" s="25">
        <f>0.5*Výnosy!B39*'Vstupy benefit'!$B$29</f>
        <v>0</v>
      </c>
      <c r="E48" s="25">
        <f>0.5*SUM(Výnosy!B39:C39)*'Vstupy benefit'!$B$29</f>
        <v>0</v>
      </c>
      <c r="F48" s="25">
        <f>0.5*SUM(Výnosy!B39:D39)*'Vstupy benefit'!$B$29</f>
        <v>0</v>
      </c>
      <c r="G48" s="25">
        <f>0.5*SUM(Výnosy!B39:E39)*'Vstupy benefit'!$B$29</f>
        <v>0</v>
      </c>
      <c r="H48" s="25">
        <f>0.5*SUM(Výnosy!B39:F39)*'Vstupy benefit'!$B$29</f>
        <v>699602.19955199992</v>
      </c>
      <c r="I48" s="25">
        <f>0.5*SUM(Výnosy!B39:G39)*'Vstupy benefit'!$B$29</f>
        <v>16055724.386304002</v>
      </c>
      <c r="J48" s="25">
        <f>0.5*SUM(Výnosy!B39:H39)*'Vstupy benefit'!$B$29</f>
        <v>31411846.573056005</v>
      </c>
      <c r="K48" s="25">
        <f>0.5*SUM(Výnosy!B39:I39)*'Vstupy benefit'!$B$29</f>
        <v>46767968.759808004</v>
      </c>
      <c r="L48" s="35">
        <f t="shared" si="2"/>
        <v>94935141.918720007</v>
      </c>
    </row>
    <row r="49" spans="1:12" ht="12" hidden="1" customHeight="1">
      <c r="A49" s="33" t="s">
        <v>150</v>
      </c>
      <c r="B49" s="36">
        <f>SUM(B50:B51)</f>
        <v>0</v>
      </c>
      <c r="C49" s="36">
        <f t="shared" ref="C49" si="68">SUM(C50:C51)</f>
        <v>0</v>
      </c>
      <c r="D49" s="36">
        <f>SUM(D50:D51)</f>
        <v>0</v>
      </c>
      <c r="E49" s="36">
        <f t="shared" ref="E49" si="69">SUM(E50:E51)</f>
        <v>0</v>
      </c>
      <c r="F49" s="36">
        <f t="shared" ref="F49" si="70">SUM(F50:F51)</f>
        <v>0</v>
      </c>
      <c r="G49" s="36">
        <f t="shared" ref="G49" si="71">SUM(G50:G51)</f>
        <v>0</v>
      </c>
      <c r="H49" s="36">
        <f t="shared" ref="H49" si="72">SUM(H50:H51)</f>
        <v>4907417.9289407991</v>
      </c>
      <c r="I49" s="36">
        <f t="shared" ref="I49" si="73">SUM(I50:I51)</f>
        <v>112624216.68476163</v>
      </c>
      <c r="J49" s="36">
        <f t="shared" ref="J49" si="74">SUM(J50:J51)</f>
        <v>220341015.44058245</v>
      </c>
      <c r="K49" s="36">
        <f t="shared" ref="K49" si="75">SUM(K50:K51)</f>
        <v>328057814.19640326</v>
      </c>
      <c r="L49" s="37">
        <f t="shared" si="2"/>
        <v>665930464.25068808</v>
      </c>
    </row>
    <row r="50" spans="1:12" ht="12" hidden="1" customHeight="1">
      <c r="A50" s="5" t="s">
        <v>168</v>
      </c>
      <c r="B50" s="25" t="s">
        <v>169</v>
      </c>
      <c r="C50" s="25" t="s">
        <v>169</v>
      </c>
      <c r="D50" s="25">
        <f>0.5*Výnosy!B42*'Vstupy benefit'!$B$28</f>
        <v>0</v>
      </c>
      <c r="E50" s="25">
        <f>0.5*SUM(Výnosy!B42:C42)*'Vstupy benefit'!$B$28</f>
        <v>0</v>
      </c>
      <c r="F50" s="25">
        <f>0.5*SUM(Výnosy!B42:D42)*'Vstupy benefit'!$B$28</f>
        <v>0</v>
      </c>
      <c r="G50" s="25">
        <f>0.5*SUM(Výnosy!B42:E42)*'Vstupy benefit'!$B$28</f>
        <v>0</v>
      </c>
      <c r="H50" s="25">
        <f>0.5*SUM(Výnosy!B42:F42)*'Vstupy benefit'!$B$28</f>
        <v>4207815.7293887995</v>
      </c>
      <c r="I50" s="25">
        <f>0.5*SUM(Výnosy!B42:G42)*'Vstupy benefit'!$B$28</f>
        <v>96568492.298457623</v>
      </c>
      <c r="J50" s="25">
        <f>0.5*SUM(Výnosy!B42:H42)*'Vstupy benefit'!$B$28</f>
        <v>188929168.86752644</v>
      </c>
      <c r="K50" s="25">
        <f>0.5*SUM(Výnosy!B42:I42)*'Vstupy benefit'!$B$28</f>
        <v>281289845.43659526</v>
      </c>
      <c r="L50" s="35">
        <f t="shared" si="2"/>
        <v>570995322.33196807</v>
      </c>
    </row>
    <row r="51" spans="1:12" ht="12" hidden="1" customHeight="1">
      <c r="A51" s="5" t="s">
        <v>170</v>
      </c>
      <c r="B51" s="25" t="s">
        <v>169</v>
      </c>
      <c r="C51" s="25" t="s">
        <v>169</v>
      </c>
      <c r="D51" s="25">
        <f>0.5*Výnosy!B42*'Vstupy benefit'!$B$29</f>
        <v>0</v>
      </c>
      <c r="E51" s="25">
        <f>0.5*SUM(Výnosy!B42:C42)*'Vstupy benefit'!$B$29</f>
        <v>0</v>
      </c>
      <c r="F51" s="25">
        <f>0.5*SUM(Výnosy!B42:D42)*'Vstupy benefit'!$B$29</f>
        <v>0</v>
      </c>
      <c r="G51" s="25">
        <f>0.5*SUM(Výnosy!B42:E42)*'Vstupy benefit'!$B$29</f>
        <v>0</v>
      </c>
      <c r="H51" s="25">
        <f>0.5*SUM(Výnosy!B42:F42)*'Vstupy benefit'!$B$29</f>
        <v>699602.19955199992</v>
      </c>
      <c r="I51" s="25">
        <f>0.5*SUM(Výnosy!B42:G42)*'Vstupy benefit'!$B$29</f>
        <v>16055724.386304002</v>
      </c>
      <c r="J51" s="25">
        <f>0.5*SUM(Výnosy!B42:H42)*'Vstupy benefit'!$B$29</f>
        <v>31411846.573056005</v>
      </c>
      <c r="K51" s="25">
        <f>0.5*SUM(Výnosy!B42:I42)*'Vstupy benefit'!$B$29</f>
        <v>46767968.759808004</v>
      </c>
      <c r="L51" s="35">
        <f t="shared" si="2"/>
        <v>94935141.918720007</v>
      </c>
    </row>
    <row r="52" spans="1:12" ht="12" hidden="1" customHeight="1">
      <c r="A52" s="33" t="s">
        <v>151</v>
      </c>
      <c r="B52" s="36">
        <f>SUM(B53:B54)</f>
        <v>0</v>
      </c>
      <c r="C52" s="36">
        <f t="shared" ref="C52" si="76">SUM(C53:C54)</f>
        <v>0</v>
      </c>
      <c r="D52" s="36">
        <f>SUM(D53:D54)</f>
        <v>0</v>
      </c>
      <c r="E52" s="36">
        <f t="shared" ref="E52" si="77">SUM(E53:E54)</f>
        <v>0</v>
      </c>
      <c r="F52" s="36">
        <f t="shared" ref="F52" si="78">SUM(F53:F54)</f>
        <v>0</v>
      </c>
      <c r="G52" s="36">
        <f t="shared" ref="G52" si="79">SUM(G53:G54)</f>
        <v>3271611.9526271997</v>
      </c>
      <c r="H52" s="36">
        <f t="shared" ref="H52" si="80">SUM(H53:H54)</f>
        <v>9814835.8578815982</v>
      </c>
      <c r="I52" s="36">
        <f t="shared" ref="I52" si="81">SUM(I53:I54)</f>
        <v>225248433.36952326</v>
      </c>
      <c r="J52" s="36">
        <f t="shared" ref="J52" si="82">SUM(J53:J54)</f>
        <v>512493230.0517121</v>
      </c>
      <c r="K52" s="36">
        <f t="shared" ref="K52" si="83">SUM(K53:K54)</f>
        <v>943360425.0749954</v>
      </c>
      <c r="L52" s="37">
        <f t="shared" si="2"/>
        <v>1694188536.3067396</v>
      </c>
    </row>
    <row r="53" spans="1:12" ht="12" hidden="1" customHeight="1">
      <c r="A53" s="5" t="s">
        <v>168</v>
      </c>
      <c r="B53" s="25" t="s">
        <v>169</v>
      </c>
      <c r="C53" s="25" t="s">
        <v>169</v>
      </c>
      <c r="D53" s="25">
        <f>0.5*Výnosy!B45*'Vstupy benefit'!$B$28</f>
        <v>0</v>
      </c>
      <c r="E53" s="25">
        <f>0.5*SUM(Výnosy!B45:C45)*'Vstupy benefit'!$B$28</f>
        <v>0</v>
      </c>
      <c r="F53" s="25">
        <f>0.5*SUM(Výnosy!B45:D45)*'Vstupy benefit'!$B$28</f>
        <v>0</v>
      </c>
      <c r="G53" s="25">
        <f>0.5*SUM(Výnosy!B45:E45)*'Vstupy benefit'!$B$28</f>
        <v>2805210.4862591997</v>
      </c>
      <c r="H53" s="25">
        <f>0.5*SUM(Výnosy!B45:F45)*'Vstupy benefit'!$B$28</f>
        <v>8415631.458777599</v>
      </c>
      <c r="I53" s="25">
        <f>0.5*SUM(Výnosy!B45:G45)*'Vstupy benefit'!$B$28</f>
        <v>193136984.59691525</v>
      </c>
      <c r="J53" s="25">
        <f>0.5*SUM(Výnosy!B45:H45)*'Vstupy benefit'!$B$28</f>
        <v>439432122.1144321</v>
      </c>
      <c r="K53" s="25">
        <f>0.5*SUM(Výnosy!B45:I45)*'Vstupy benefit'!$B$28</f>
        <v>808874828.39070737</v>
      </c>
      <c r="L53" s="35">
        <f t="shared" si="2"/>
        <v>1452664777.0470915</v>
      </c>
    </row>
    <row r="54" spans="1:12" ht="12" hidden="1" customHeight="1" thickBot="1">
      <c r="A54" s="9" t="s">
        <v>170</v>
      </c>
      <c r="B54" s="39" t="s">
        <v>169</v>
      </c>
      <c r="C54" s="39" t="s">
        <v>169</v>
      </c>
      <c r="D54" s="39">
        <f>0.5*Výnosy!B45*'Vstupy benefit'!$B$29</f>
        <v>0</v>
      </c>
      <c r="E54" s="39">
        <f>0.5*SUM(Výnosy!B45:C45)*'Vstupy benefit'!$B$29</f>
        <v>0</v>
      </c>
      <c r="F54" s="39">
        <f>0.5*SUM(Výnosy!B45:D45)*'Vstupy benefit'!$B$29</f>
        <v>0</v>
      </c>
      <c r="G54" s="39">
        <f>0.5*SUM(Výnosy!B45:E45)*'Vstupy benefit'!$B$29</f>
        <v>466401.46636799996</v>
      </c>
      <c r="H54" s="39">
        <f>0.5*SUM(Výnosy!B45:F45)*'Vstupy benefit'!$B$29</f>
        <v>1399204.3991039998</v>
      </c>
      <c r="I54" s="39">
        <f>0.5*SUM(Výnosy!B45:G45)*'Vstupy benefit'!$B$29</f>
        <v>32111448.772608005</v>
      </c>
      <c r="J54" s="39">
        <f>0.5*SUM(Výnosy!B45:H45)*'Vstupy benefit'!$B$29</f>
        <v>73061107.937280014</v>
      </c>
      <c r="K54" s="39">
        <f>0.5*SUM(Výnosy!B45:I45)*'Vstupy benefit'!$B$29</f>
        <v>134485596.68428802</v>
      </c>
      <c r="L54" s="40">
        <f t="shared" si="2"/>
        <v>241523759.25964803</v>
      </c>
    </row>
    <row r="56" spans="1:12" ht="13.95" customHeight="1">
      <c r="A56" s="47" t="s">
        <v>171</v>
      </c>
    </row>
    <row r="57" spans="1:12" ht="13.95" customHeight="1">
      <c r="A57" s="47" t="s">
        <v>172</v>
      </c>
    </row>
  </sheetData>
  <pageMargins left="0.7" right="0.7" top="0.75" bottom="0.75" header="0.3" footer="0.3"/>
  <pageSetup paperSize="8" fitToHeight="0" orientation="landscape" horizontalDpi="1200" verticalDpi="1200" r:id="rId1"/>
  <headerFooter>
    <oddFooter>&amp;C&amp;7&amp;B&amp;"Arial"Document Classification: KPMG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3DD476BBE3640AAFB511CFE331D38" ma:contentTypeVersion="12" ma:contentTypeDescription="Create a new document." ma:contentTypeScope="" ma:versionID="a284a8201f2f6ad257b86eac0b79c6e0">
  <xsd:schema xmlns:xsd="http://www.w3.org/2001/XMLSchema" xmlns:xs="http://www.w3.org/2001/XMLSchema" xmlns:p="http://schemas.microsoft.com/office/2006/metadata/properties" xmlns:ns2="db771455-404e-4e72-ae14-99023448ebf0" xmlns:ns3="398feacc-0d36-45f8-9e8b-f7d4278f9688" targetNamespace="http://schemas.microsoft.com/office/2006/metadata/properties" ma:root="true" ma:fieldsID="bc9ada87313b256e341a1ca6af83102c" ns2:_="" ns3:_="">
    <xsd:import namespace="db771455-404e-4e72-ae14-99023448ebf0"/>
    <xsd:import namespace="398feacc-0d36-45f8-9e8b-f7d4278f96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71455-404e-4e72-ae14-99023448e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feacc-0d36-45f8-9e8b-f7d4278f968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98feacc-0d36-45f8-9e8b-f7d4278f9688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A9A592A-94A5-4961-9003-D7C0F183B7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884148-9EEC-4C9B-AA6E-65038BC34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771455-404e-4e72-ae14-99023448ebf0"/>
    <ds:schemaRef ds:uri="398feacc-0d36-45f8-9e8b-f7d4278f96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5BA633-CDE4-4149-8403-853EC0304DB0}">
  <ds:schemaRefs>
    <ds:schemaRef ds:uri="http://schemas.microsoft.com/office/2006/documentManagement/types"/>
    <ds:schemaRef ds:uri="db771455-404e-4e72-ae14-99023448ebf0"/>
    <ds:schemaRef ds:uri="398feacc-0d36-45f8-9e8b-f7d4278f9688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Metadata/LabelInfo.xml><?xml version="1.0" encoding="utf-8"?>
<clbl:labelList xmlns:clbl="http://schemas.microsoft.com/office/2020/mipLabelMetadata">
  <clbl:label id="{deff24bb-2089-4400-8c8e-f71e680378b2}" enabled="0" method="" siteId="{deff24bb-2089-4400-8c8e-f71e680378b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Súhrn</vt:lpstr>
      <vt:lpstr>Súhrn CBA</vt:lpstr>
      <vt:lpstr>Náklady</vt:lpstr>
      <vt:lpstr>Výnosy</vt:lpstr>
      <vt:lpstr>Prínosy</vt:lpstr>
      <vt:lpstr>Vstupy cost</vt:lpstr>
      <vt:lpstr>Vstupy benefit</vt:lpstr>
      <vt:lpstr>Výnosy klientov</vt:lpstr>
      <vt:lpstr>Zdroje financovania</vt:lpstr>
      <vt:lpstr>ZF po rokoch</vt:lpstr>
      <vt:lpstr>Náklady!Print_Area</vt:lpstr>
      <vt:lpstr>'Súhrn CBA'!Print_Area</vt:lpstr>
    </vt:vector>
  </TitlesOfParts>
  <Manager/>
  <Company>KPMG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Dernerova, Sandra</dc:creator>
  <cp:keywords/>
  <dc:description/>
  <cp:lastModifiedBy>Dernerova, Sandra</cp:lastModifiedBy>
  <cp:revision/>
  <dcterms:created xsi:type="dcterms:W3CDTF">2022-07-01T12:19:12Z</dcterms:created>
  <dcterms:modified xsi:type="dcterms:W3CDTF">2023-04-18T06:48:55Z</dcterms:modified>
  <cp:category>KPMG Confidential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0x0101001563DD476BBE3640AAFB511CFE331D38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