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202300"/>
  <mc:AlternateContent xmlns:mc="http://schemas.openxmlformats.org/markup-compatibility/2006">
    <mc:Choice Requires="x15">
      <x15ac:absPath xmlns:x15ac="http://schemas.microsoft.com/office/spreadsheetml/2010/11/ac" url="C:\Robota\Posudzovanie_SLA_manday_rates\2025\recenzne\"/>
    </mc:Choice>
  </mc:AlternateContent>
  <xr:revisionPtr revIDLastSave="0" documentId="13_ncr:1_{A5249379-CF2D-4EE4-AE23-DB97781F9E16}" xr6:coauthVersionLast="47" xr6:coauthVersionMax="47" xr10:uidLastSave="{00000000-0000-0000-0000-000000000000}"/>
  <bookViews>
    <workbookView xWindow="-57720" yWindow="-120" windowWidth="29040" windowHeight="15720" xr2:uid="{89802B95-942D-49E8-A30C-47AB6F8E6ABF}"/>
  </bookViews>
  <sheets>
    <sheet name="DB" sheetId="1" r:id="rId1"/>
  </sheets>
  <externalReferences>
    <externalReference r:id="rId2"/>
  </externalReferences>
  <definedNames>
    <definedName name="InternalRates">[1]Ciselniky!$A$2:$B$14</definedName>
    <definedName name="InternalRates01">[1]Ciselniky!$A$2:$A$14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131" i="1" l="1"/>
  <c r="X130" i="1"/>
  <c r="AL1453" i="1"/>
  <c r="AK1453" i="1"/>
  <c r="AJ1453" i="1" a="1"/>
  <c r="AJ1453" i="1" s="1"/>
  <c r="AN1453" i="1" s="1"/>
  <c r="AI1453" i="1" a="1"/>
  <c r="AI1453" i="1" s="1"/>
  <c r="AM1453" i="1" s="1"/>
  <c r="AH1453" i="1"/>
  <c r="AB1453" i="1"/>
  <c r="AC1453" i="1" s="1"/>
  <c r="AA1453" i="1"/>
  <c r="Y1453" i="1"/>
  <c r="W1453" i="1"/>
  <c r="X1453" i="1" s="1"/>
  <c r="G1453" i="1"/>
  <c r="D1453" i="1"/>
  <c r="C1453" i="1"/>
  <c r="AL1452" i="1"/>
  <c r="AK1452" i="1"/>
  <c r="AJ1452" i="1" a="1"/>
  <c r="AJ1452" i="1" s="1"/>
  <c r="AN1452" i="1" s="1"/>
  <c r="AI1452" i="1" a="1"/>
  <c r="AI1452" i="1" s="1"/>
  <c r="AM1452" i="1" s="1"/>
  <c r="AH1452" i="1"/>
  <c r="AB1452" i="1"/>
  <c r="AC1452" i="1" s="1"/>
  <c r="AA1452" i="1"/>
  <c r="Y1452" i="1"/>
  <c r="W1452" i="1"/>
  <c r="G1452" i="1"/>
  <c r="D1452" i="1"/>
  <c r="C1452" i="1"/>
  <c r="AL1451" i="1"/>
  <c r="AK1451" i="1"/>
  <c r="AJ1451" i="1" a="1"/>
  <c r="AJ1451" i="1" s="1"/>
  <c r="AN1451" i="1" s="1"/>
  <c r="AI1451" i="1" a="1"/>
  <c r="AI1451" i="1" s="1"/>
  <c r="AM1451" i="1" s="1"/>
  <c r="AH1451" i="1"/>
  <c r="AA1451" i="1"/>
  <c r="Y1451" i="1"/>
  <c r="Z1451" i="1" s="1"/>
  <c r="X1451" i="1"/>
  <c r="G1451" i="1"/>
  <c r="D1451" i="1"/>
  <c r="C1451" i="1"/>
  <c r="AL1450" i="1"/>
  <c r="AK1450" i="1"/>
  <c r="AJ1450" i="1" a="1"/>
  <c r="AJ1450" i="1" s="1"/>
  <c r="AN1450" i="1" s="1"/>
  <c r="AI1450" i="1" a="1"/>
  <c r="AI1450" i="1" s="1"/>
  <c r="AM1450" i="1" s="1"/>
  <c r="AH1450" i="1"/>
  <c r="AC1450" i="1"/>
  <c r="AA1450" i="1"/>
  <c r="Y1450" i="1"/>
  <c r="Z1450" i="1" s="1"/>
  <c r="X1450" i="1"/>
  <c r="G1450" i="1"/>
  <c r="D1450" i="1"/>
  <c r="C1450" i="1"/>
  <c r="AL1449" i="1"/>
  <c r="AK1449" i="1"/>
  <c r="AJ1449" i="1" a="1"/>
  <c r="AJ1449" i="1" s="1"/>
  <c r="AN1449" i="1" s="1"/>
  <c r="AI1449" i="1" a="1"/>
  <c r="AI1449" i="1" s="1"/>
  <c r="AM1449" i="1" s="1"/>
  <c r="AH1449" i="1"/>
  <c r="AA1449" i="1"/>
  <c r="Y1449" i="1"/>
  <c r="W1449" i="1"/>
  <c r="X1449" i="1" s="1"/>
  <c r="G1449" i="1"/>
  <c r="D1449" i="1"/>
  <c r="C1449" i="1"/>
  <c r="AL1448" i="1"/>
  <c r="AK1448" i="1"/>
  <c r="AJ1448" i="1" a="1"/>
  <c r="AJ1448" i="1" s="1"/>
  <c r="AN1448" i="1" s="1"/>
  <c r="AI1448" i="1" a="1"/>
  <c r="AI1448" i="1" s="1"/>
  <c r="AM1448" i="1" s="1"/>
  <c r="AH1448" i="1"/>
  <c r="AB1448" i="1"/>
  <c r="AC1448" i="1" s="1"/>
  <c r="AA1448" i="1"/>
  <c r="Y1448" i="1"/>
  <c r="W1448" i="1"/>
  <c r="G1448" i="1"/>
  <c r="D1448" i="1"/>
  <c r="C1448" i="1"/>
  <c r="AL1447" i="1"/>
  <c r="AK1447" i="1"/>
  <c r="AJ1447" i="1" a="1"/>
  <c r="AJ1447" i="1" s="1"/>
  <c r="AN1447" i="1" s="1"/>
  <c r="AI1447" i="1" a="1"/>
  <c r="AI1447" i="1" s="1"/>
  <c r="AM1447" i="1" s="1"/>
  <c r="AH1447" i="1"/>
  <c r="AB1447" i="1"/>
  <c r="AC1447" i="1" s="1"/>
  <c r="AA1447" i="1"/>
  <c r="Y1447" i="1"/>
  <c r="W1447" i="1"/>
  <c r="X1447" i="1" s="1"/>
  <c r="G1447" i="1"/>
  <c r="D1447" i="1"/>
  <c r="C1447" i="1"/>
  <c r="AL1446" i="1"/>
  <c r="AK1446" i="1"/>
  <c r="AJ1446" i="1" a="1"/>
  <c r="AJ1446" i="1" s="1"/>
  <c r="AN1446" i="1" s="1"/>
  <c r="AI1446" i="1" a="1"/>
  <c r="AI1446" i="1" s="1"/>
  <c r="AM1446" i="1" s="1"/>
  <c r="AH1446" i="1"/>
  <c r="AB1446" i="1"/>
  <c r="AC1446" i="1" s="1"/>
  <c r="AA1446" i="1"/>
  <c r="Y1446" i="1"/>
  <c r="W1446" i="1"/>
  <c r="X1446" i="1" s="1"/>
  <c r="G1446" i="1"/>
  <c r="D1446" i="1"/>
  <c r="C1446" i="1"/>
  <c r="AL1445" i="1"/>
  <c r="AK1445" i="1"/>
  <c r="AJ1445" i="1" a="1"/>
  <c r="AJ1445" i="1" s="1"/>
  <c r="AN1445" i="1" s="1"/>
  <c r="AI1445" i="1" a="1"/>
  <c r="AI1445" i="1" s="1"/>
  <c r="AM1445" i="1" s="1"/>
  <c r="AH1445" i="1"/>
  <c r="AA1445" i="1"/>
  <c r="Y1445" i="1"/>
  <c r="Z1445" i="1" s="1"/>
  <c r="X1445" i="1"/>
  <c r="G1445" i="1"/>
  <c r="D1445" i="1"/>
  <c r="C1445" i="1"/>
  <c r="AL1444" i="1"/>
  <c r="AK1444" i="1"/>
  <c r="AJ1444" i="1" a="1"/>
  <c r="AJ1444" i="1" s="1"/>
  <c r="AN1444" i="1" s="1"/>
  <c r="AI1444" i="1" a="1"/>
  <c r="AI1444" i="1" s="1"/>
  <c r="AM1444" i="1" s="1"/>
  <c r="AH1444" i="1"/>
  <c r="AB1444" i="1"/>
  <c r="AC1444" i="1" s="1"/>
  <c r="AA1444" i="1"/>
  <c r="Y1444" i="1"/>
  <c r="Z1444" i="1" s="1"/>
  <c r="X1444" i="1"/>
  <c r="G1444" i="1"/>
  <c r="D1444" i="1"/>
  <c r="C1444" i="1"/>
  <c r="AL1443" i="1"/>
  <c r="AK1443" i="1"/>
  <c r="AJ1443" i="1" a="1"/>
  <c r="AJ1443" i="1" s="1"/>
  <c r="AN1443" i="1" s="1"/>
  <c r="AI1443" i="1" a="1"/>
  <c r="AI1443" i="1" s="1"/>
  <c r="AM1443" i="1" s="1"/>
  <c r="AH1443" i="1"/>
  <c r="AC1443" i="1"/>
  <c r="AA1443" i="1"/>
  <c r="Y1443" i="1"/>
  <c r="Z1443" i="1" s="1"/>
  <c r="X1443" i="1"/>
  <c r="G1443" i="1"/>
  <c r="D1443" i="1"/>
  <c r="C1443" i="1"/>
  <c r="AL1442" i="1"/>
  <c r="AK1442" i="1"/>
  <c r="AJ1442" i="1" a="1"/>
  <c r="AJ1442" i="1" s="1"/>
  <c r="AN1442" i="1" s="1"/>
  <c r="AI1442" i="1" a="1"/>
  <c r="AI1442" i="1" s="1"/>
  <c r="AM1442" i="1" s="1"/>
  <c r="AH1442" i="1"/>
  <c r="AA1442" i="1"/>
  <c r="Y1442" i="1"/>
  <c r="Z1442" i="1" s="1"/>
  <c r="X1442" i="1"/>
  <c r="G1442" i="1"/>
  <c r="D1442" i="1"/>
  <c r="C1442" i="1"/>
  <c r="AL1441" i="1"/>
  <c r="AK1441" i="1"/>
  <c r="AJ1441" i="1" a="1"/>
  <c r="AJ1441" i="1" s="1"/>
  <c r="AN1441" i="1" s="1"/>
  <c r="AI1441" i="1" a="1"/>
  <c r="AI1441" i="1" s="1"/>
  <c r="AM1441" i="1" s="1"/>
  <c r="AH1441" i="1"/>
  <c r="AC1441" i="1"/>
  <c r="AA1441" i="1"/>
  <c r="Y1441" i="1"/>
  <c r="W1441" i="1"/>
  <c r="X1441" i="1" s="1"/>
  <c r="G1441" i="1"/>
  <c r="D1441" i="1"/>
  <c r="C1441" i="1"/>
  <c r="AL1440" i="1"/>
  <c r="AK1440" i="1"/>
  <c r="AJ1440" i="1" a="1"/>
  <c r="AJ1440" i="1" s="1"/>
  <c r="AN1440" i="1" s="1"/>
  <c r="AI1440" i="1" a="1"/>
  <c r="AI1440" i="1" s="1"/>
  <c r="AM1440" i="1" s="1"/>
  <c r="AH1440" i="1"/>
  <c r="AA1440" i="1"/>
  <c r="Y1440" i="1"/>
  <c r="W1440" i="1"/>
  <c r="G1440" i="1"/>
  <c r="D1440" i="1"/>
  <c r="C1440" i="1"/>
  <c r="AL1439" i="1"/>
  <c r="AK1439" i="1"/>
  <c r="AJ1439" i="1" a="1"/>
  <c r="AJ1439" i="1" s="1"/>
  <c r="AN1439" i="1" s="1"/>
  <c r="AI1439" i="1" a="1"/>
  <c r="AI1439" i="1" s="1"/>
  <c r="AM1439" i="1" s="1"/>
  <c r="AH1439" i="1"/>
  <c r="AA1439" i="1"/>
  <c r="Y1439" i="1"/>
  <c r="W1439" i="1"/>
  <c r="X1439" i="1" s="1"/>
  <c r="G1439" i="1"/>
  <c r="D1439" i="1"/>
  <c r="C1439" i="1"/>
  <c r="AL1438" i="1"/>
  <c r="AK1438" i="1"/>
  <c r="AJ1438" i="1" a="1"/>
  <c r="AJ1438" i="1" s="1"/>
  <c r="AN1438" i="1" s="1"/>
  <c r="AI1438" i="1" a="1"/>
  <c r="AI1438" i="1" s="1"/>
  <c r="AM1438" i="1" s="1"/>
  <c r="AH1438" i="1"/>
  <c r="AA1438" i="1"/>
  <c r="Y1438" i="1"/>
  <c r="W1438" i="1"/>
  <c r="G1438" i="1"/>
  <c r="D1438" i="1"/>
  <c r="C1438" i="1"/>
  <c r="AL1437" i="1"/>
  <c r="AK1437" i="1"/>
  <c r="AJ1437" i="1" a="1"/>
  <c r="AJ1437" i="1" s="1"/>
  <c r="AN1437" i="1" s="1"/>
  <c r="AI1437" i="1" a="1"/>
  <c r="AI1437" i="1" s="1"/>
  <c r="AM1437" i="1" s="1"/>
  <c r="AH1437" i="1"/>
  <c r="AA1437" i="1"/>
  <c r="Y1437" i="1"/>
  <c r="W1437" i="1"/>
  <c r="G1437" i="1"/>
  <c r="D1437" i="1"/>
  <c r="C1437" i="1"/>
  <c r="AL1436" i="1"/>
  <c r="AK1436" i="1"/>
  <c r="AJ1436" i="1" a="1"/>
  <c r="AJ1436" i="1" s="1"/>
  <c r="AN1436" i="1" s="1"/>
  <c r="AI1436" i="1" a="1"/>
  <c r="AI1436" i="1" s="1"/>
  <c r="AM1436" i="1" s="1"/>
  <c r="AH1436" i="1"/>
  <c r="AA1436" i="1"/>
  <c r="Y1436" i="1"/>
  <c r="W1436" i="1"/>
  <c r="G1436" i="1"/>
  <c r="D1436" i="1"/>
  <c r="C1436" i="1"/>
  <c r="AL1435" i="1"/>
  <c r="AK1435" i="1"/>
  <c r="AJ1435" i="1" a="1"/>
  <c r="AJ1435" i="1" s="1"/>
  <c r="AN1435" i="1" s="1"/>
  <c r="AI1435" i="1" a="1"/>
  <c r="AI1435" i="1" s="1"/>
  <c r="AM1435" i="1" s="1"/>
  <c r="AH1435" i="1"/>
  <c r="AA1435" i="1"/>
  <c r="Y1435" i="1"/>
  <c r="W1435" i="1"/>
  <c r="X1435" i="1" s="1"/>
  <c r="G1435" i="1"/>
  <c r="D1435" i="1"/>
  <c r="C1435" i="1"/>
  <c r="AL1434" i="1"/>
  <c r="AK1434" i="1"/>
  <c r="AJ1434" i="1" a="1"/>
  <c r="AJ1434" i="1" s="1"/>
  <c r="AN1434" i="1" s="1"/>
  <c r="AI1434" i="1" a="1"/>
  <c r="AI1434" i="1" s="1"/>
  <c r="AM1434" i="1" s="1"/>
  <c r="AH1434" i="1"/>
  <c r="AA1434" i="1"/>
  <c r="Y1434" i="1"/>
  <c r="W1434" i="1"/>
  <c r="X1434" i="1" s="1"/>
  <c r="G1434" i="1"/>
  <c r="D1434" i="1"/>
  <c r="C1434" i="1"/>
  <c r="AL1433" i="1"/>
  <c r="AK1433" i="1"/>
  <c r="AJ1433" i="1" a="1"/>
  <c r="AJ1433" i="1" s="1"/>
  <c r="AN1433" i="1" s="1"/>
  <c r="AI1433" i="1" a="1"/>
  <c r="AI1433" i="1" s="1"/>
  <c r="AM1433" i="1" s="1"/>
  <c r="AH1433" i="1"/>
  <c r="AA1433" i="1"/>
  <c r="Y1433" i="1"/>
  <c r="W1433" i="1"/>
  <c r="X1433" i="1" s="1"/>
  <c r="G1433" i="1"/>
  <c r="D1433" i="1"/>
  <c r="C1433" i="1"/>
  <c r="AL1432" i="1"/>
  <c r="AK1432" i="1"/>
  <c r="AJ1432" i="1" a="1"/>
  <c r="AJ1432" i="1" s="1"/>
  <c r="AN1432" i="1" s="1"/>
  <c r="AI1432" i="1" a="1"/>
  <c r="AI1432" i="1" s="1"/>
  <c r="AM1432" i="1" s="1"/>
  <c r="AH1432" i="1"/>
  <c r="AA1432" i="1"/>
  <c r="Y1432" i="1"/>
  <c r="W1432" i="1"/>
  <c r="X1432" i="1" s="1"/>
  <c r="G1432" i="1"/>
  <c r="D1432" i="1"/>
  <c r="C1432" i="1"/>
  <c r="AL1431" i="1"/>
  <c r="AK1431" i="1"/>
  <c r="AJ1431" i="1" a="1"/>
  <c r="AJ1431" i="1" s="1"/>
  <c r="AN1431" i="1" s="1"/>
  <c r="AI1431" i="1" a="1"/>
  <c r="AI1431" i="1" s="1"/>
  <c r="AM1431" i="1" s="1"/>
  <c r="AH1431" i="1"/>
  <c r="AB1431" i="1"/>
  <c r="AC1431" i="1" s="1"/>
  <c r="AA1431" i="1"/>
  <c r="Y1431" i="1"/>
  <c r="W1431" i="1"/>
  <c r="G1431" i="1"/>
  <c r="D1431" i="1"/>
  <c r="C1431" i="1"/>
  <c r="AL1430" i="1"/>
  <c r="AK1430" i="1"/>
  <c r="AJ1430" i="1" a="1"/>
  <c r="AJ1430" i="1" s="1"/>
  <c r="AN1430" i="1" s="1"/>
  <c r="AI1430" i="1" a="1"/>
  <c r="AI1430" i="1" s="1"/>
  <c r="AM1430" i="1" s="1"/>
  <c r="AH1430" i="1"/>
  <c r="AB1430" i="1"/>
  <c r="AC1430" i="1" s="1"/>
  <c r="AA1430" i="1"/>
  <c r="Y1430" i="1"/>
  <c r="W1430" i="1"/>
  <c r="G1430" i="1"/>
  <c r="D1430" i="1"/>
  <c r="C1430" i="1"/>
  <c r="AL1429" i="1"/>
  <c r="AK1429" i="1"/>
  <c r="AJ1429" i="1" a="1"/>
  <c r="AJ1429" i="1" s="1"/>
  <c r="AN1429" i="1" s="1"/>
  <c r="AI1429" i="1" a="1"/>
  <c r="AI1429" i="1" s="1"/>
  <c r="AM1429" i="1" s="1"/>
  <c r="AH1429" i="1"/>
  <c r="AB1429" i="1"/>
  <c r="AC1429" i="1" s="1"/>
  <c r="AA1429" i="1"/>
  <c r="Y1429" i="1"/>
  <c r="Z1429" i="1" s="1"/>
  <c r="X1429" i="1"/>
  <c r="G1429" i="1"/>
  <c r="D1429" i="1"/>
  <c r="C1429" i="1"/>
  <c r="AL1428" i="1"/>
  <c r="AK1428" i="1"/>
  <c r="AJ1428" i="1" a="1"/>
  <c r="AJ1428" i="1" s="1"/>
  <c r="AN1428" i="1" s="1"/>
  <c r="AI1428" i="1" a="1"/>
  <c r="AI1428" i="1" s="1"/>
  <c r="AM1428" i="1" s="1"/>
  <c r="AH1428" i="1"/>
  <c r="AA1428" i="1"/>
  <c r="Y1428" i="1"/>
  <c r="Z1428" i="1" s="1"/>
  <c r="X1428" i="1"/>
  <c r="G1428" i="1"/>
  <c r="D1428" i="1"/>
  <c r="C1428" i="1"/>
  <c r="AL1427" i="1"/>
  <c r="AK1427" i="1"/>
  <c r="AJ1427" i="1" a="1"/>
  <c r="AJ1427" i="1" s="1"/>
  <c r="AN1427" i="1" s="1"/>
  <c r="AI1427" i="1" a="1"/>
  <c r="AI1427" i="1" s="1"/>
  <c r="AM1427" i="1" s="1"/>
  <c r="AH1427" i="1"/>
  <c r="AB1427" i="1"/>
  <c r="AC1427" i="1" s="1"/>
  <c r="AA1427" i="1"/>
  <c r="Y1427" i="1"/>
  <c r="W1427" i="1"/>
  <c r="X1427" i="1" s="1"/>
  <c r="G1427" i="1"/>
  <c r="D1427" i="1"/>
  <c r="C1427" i="1"/>
  <c r="AL1426" i="1"/>
  <c r="AK1426" i="1"/>
  <c r="AJ1426" i="1" a="1"/>
  <c r="AJ1426" i="1" s="1"/>
  <c r="AN1426" i="1" s="1"/>
  <c r="AI1426" i="1" a="1"/>
  <c r="AI1426" i="1" s="1"/>
  <c r="AM1426" i="1" s="1"/>
  <c r="AH1426" i="1"/>
  <c r="AA1426" i="1"/>
  <c r="Y1426" i="1"/>
  <c r="W1426" i="1"/>
  <c r="X1426" i="1" s="1"/>
  <c r="G1426" i="1"/>
  <c r="D1426" i="1"/>
  <c r="C1426" i="1"/>
  <c r="AL1425" i="1"/>
  <c r="AK1425" i="1"/>
  <c r="AJ1425" i="1" a="1"/>
  <c r="AJ1425" i="1" s="1"/>
  <c r="AN1425" i="1" s="1"/>
  <c r="AI1425" i="1" a="1"/>
  <c r="AI1425" i="1" s="1"/>
  <c r="AM1425" i="1" s="1"/>
  <c r="AH1425" i="1"/>
  <c r="AA1425" i="1"/>
  <c r="Y1425" i="1"/>
  <c r="W1425" i="1"/>
  <c r="X1425" i="1" s="1"/>
  <c r="G1425" i="1"/>
  <c r="D1425" i="1"/>
  <c r="C1425" i="1"/>
  <c r="AL1424" i="1"/>
  <c r="AK1424" i="1"/>
  <c r="AJ1424" i="1" a="1"/>
  <c r="AJ1424" i="1" s="1"/>
  <c r="AN1424" i="1" s="1"/>
  <c r="AI1424" i="1" a="1"/>
  <c r="AI1424" i="1" s="1"/>
  <c r="AM1424" i="1" s="1"/>
  <c r="AH1424" i="1"/>
  <c r="AA1424" i="1"/>
  <c r="Y1424" i="1"/>
  <c r="W1424" i="1"/>
  <c r="X1424" i="1" s="1"/>
  <c r="G1424" i="1"/>
  <c r="D1424" i="1"/>
  <c r="C1424" i="1"/>
  <c r="AL1423" i="1"/>
  <c r="AK1423" i="1"/>
  <c r="AJ1423" i="1" a="1"/>
  <c r="AJ1423" i="1" s="1"/>
  <c r="AN1423" i="1" s="1"/>
  <c r="AI1423" i="1" a="1"/>
  <c r="AI1423" i="1" s="1"/>
  <c r="AM1423" i="1" s="1"/>
  <c r="AH1423" i="1"/>
  <c r="AA1423" i="1"/>
  <c r="Y1423" i="1"/>
  <c r="Z1423" i="1" s="1"/>
  <c r="X1423" i="1"/>
  <c r="G1423" i="1"/>
  <c r="D1423" i="1"/>
  <c r="C1423" i="1"/>
  <c r="AL1422" i="1"/>
  <c r="AK1422" i="1"/>
  <c r="AJ1422" i="1" a="1"/>
  <c r="AJ1422" i="1" s="1"/>
  <c r="AN1422" i="1" s="1"/>
  <c r="AI1422" i="1" a="1"/>
  <c r="AI1422" i="1" s="1"/>
  <c r="AM1422" i="1" s="1"/>
  <c r="AH1422" i="1"/>
  <c r="AA1422" i="1"/>
  <c r="Y1422" i="1"/>
  <c r="Z1422" i="1" s="1"/>
  <c r="X1422" i="1"/>
  <c r="G1422" i="1"/>
  <c r="D1422" i="1"/>
  <c r="C1422" i="1"/>
  <c r="AL1421" i="1"/>
  <c r="AK1421" i="1"/>
  <c r="AJ1421" i="1" a="1"/>
  <c r="AJ1421" i="1" s="1"/>
  <c r="AN1421" i="1" s="1"/>
  <c r="AI1421" i="1" a="1"/>
  <c r="AI1421" i="1" s="1"/>
  <c r="AM1421" i="1" s="1"/>
  <c r="AH1421" i="1"/>
  <c r="AA1421" i="1"/>
  <c r="Y1421" i="1"/>
  <c r="Z1421" i="1" s="1"/>
  <c r="X1421" i="1"/>
  <c r="G1421" i="1"/>
  <c r="D1421" i="1"/>
  <c r="C1421" i="1"/>
  <c r="AL1420" i="1"/>
  <c r="AK1420" i="1"/>
  <c r="AJ1420" i="1" a="1"/>
  <c r="AJ1420" i="1" s="1"/>
  <c r="AN1420" i="1" s="1"/>
  <c r="AI1420" i="1" a="1"/>
  <c r="AI1420" i="1" s="1"/>
  <c r="AM1420" i="1" s="1"/>
  <c r="AH1420" i="1"/>
  <c r="AA1420" i="1"/>
  <c r="Y1420" i="1"/>
  <c r="Z1420" i="1" s="1"/>
  <c r="X1420" i="1"/>
  <c r="G1420" i="1"/>
  <c r="D1420" i="1"/>
  <c r="C1420" i="1"/>
  <c r="AL1419" i="1"/>
  <c r="AK1419" i="1"/>
  <c r="AJ1419" i="1" a="1"/>
  <c r="AJ1419" i="1" s="1"/>
  <c r="AN1419" i="1" s="1"/>
  <c r="AI1419" i="1" a="1"/>
  <c r="AI1419" i="1" s="1"/>
  <c r="AM1419" i="1" s="1"/>
  <c r="AH1419" i="1"/>
  <c r="AA1419" i="1"/>
  <c r="Y1419" i="1"/>
  <c r="Z1419" i="1" s="1"/>
  <c r="X1419" i="1"/>
  <c r="G1419" i="1"/>
  <c r="D1419" i="1"/>
  <c r="C1419" i="1"/>
  <c r="AL1418" i="1"/>
  <c r="AK1418" i="1"/>
  <c r="AJ1418" i="1" a="1"/>
  <c r="AJ1418" i="1" s="1"/>
  <c r="AN1418" i="1" s="1"/>
  <c r="AI1418" i="1" a="1"/>
  <c r="AI1418" i="1" s="1"/>
  <c r="AM1418" i="1" s="1"/>
  <c r="AH1418" i="1"/>
  <c r="AA1418" i="1"/>
  <c r="Y1418" i="1"/>
  <c r="Z1418" i="1" s="1"/>
  <c r="X1418" i="1"/>
  <c r="G1418" i="1"/>
  <c r="D1418" i="1"/>
  <c r="C1418" i="1"/>
  <c r="AL1417" i="1"/>
  <c r="AK1417" i="1"/>
  <c r="AJ1417" i="1" a="1"/>
  <c r="AJ1417" i="1" s="1"/>
  <c r="AN1417" i="1" s="1"/>
  <c r="AI1417" i="1" a="1"/>
  <c r="AI1417" i="1" s="1"/>
  <c r="AM1417" i="1" s="1"/>
  <c r="AH1417" i="1"/>
  <c r="AA1417" i="1"/>
  <c r="Y1417" i="1"/>
  <c r="Z1417" i="1" s="1"/>
  <c r="X1417" i="1"/>
  <c r="G1417" i="1"/>
  <c r="D1417" i="1"/>
  <c r="C1417" i="1"/>
  <c r="AL1416" i="1"/>
  <c r="AK1416" i="1"/>
  <c r="AJ1416" i="1" a="1"/>
  <c r="AJ1416" i="1" s="1"/>
  <c r="AN1416" i="1" s="1"/>
  <c r="AI1416" i="1" a="1"/>
  <c r="AI1416" i="1" s="1"/>
  <c r="AM1416" i="1" s="1"/>
  <c r="AH1416" i="1"/>
  <c r="AB1416" i="1"/>
  <c r="AC1416" i="1" s="1"/>
  <c r="AA1416" i="1"/>
  <c r="Y1416" i="1"/>
  <c r="Z1416" i="1" s="1"/>
  <c r="X1416" i="1"/>
  <c r="G1416" i="1"/>
  <c r="D1416" i="1"/>
  <c r="C1416" i="1"/>
  <c r="AL1415" i="1"/>
  <c r="AK1415" i="1"/>
  <c r="AJ1415" i="1" a="1"/>
  <c r="AJ1415" i="1" s="1"/>
  <c r="AN1415" i="1" s="1"/>
  <c r="AI1415" i="1" a="1"/>
  <c r="AI1415" i="1" s="1"/>
  <c r="AM1415" i="1" s="1"/>
  <c r="AH1415" i="1"/>
  <c r="AB1415" i="1"/>
  <c r="AC1415" i="1" s="1"/>
  <c r="AA1415" i="1"/>
  <c r="Y1415" i="1"/>
  <c r="Z1415" i="1" s="1"/>
  <c r="X1415" i="1"/>
  <c r="G1415" i="1"/>
  <c r="D1415" i="1"/>
  <c r="C1415" i="1"/>
  <c r="AL1414" i="1"/>
  <c r="AK1414" i="1"/>
  <c r="AJ1414" i="1" a="1"/>
  <c r="AJ1414" i="1" s="1"/>
  <c r="AN1414" i="1" s="1"/>
  <c r="AI1414" i="1" a="1"/>
  <c r="AI1414" i="1" s="1"/>
  <c r="AM1414" i="1" s="1"/>
  <c r="AH1414" i="1"/>
  <c r="AB1414" i="1"/>
  <c r="AC1414" i="1" s="1"/>
  <c r="AA1414" i="1"/>
  <c r="Y1414" i="1"/>
  <c r="Z1414" i="1" s="1"/>
  <c r="X1414" i="1"/>
  <c r="G1414" i="1"/>
  <c r="D1414" i="1"/>
  <c r="C1414" i="1"/>
  <c r="AL1413" i="1"/>
  <c r="AK1413" i="1"/>
  <c r="AJ1413" i="1" a="1"/>
  <c r="AJ1413" i="1" s="1"/>
  <c r="AN1413" i="1" s="1"/>
  <c r="AI1413" i="1" a="1"/>
  <c r="AI1413" i="1" s="1"/>
  <c r="AM1413" i="1" s="1"/>
  <c r="AH1413" i="1"/>
  <c r="AB1413" i="1"/>
  <c r="AC1413" i="1" s="1"/>
  <c r="AA1413" i="1"/>
  <c r="Y1413" i="1"/>
  <c r="Z1413" i="1" s="1"/>
  <c r="X1413" i="1"/>
  <c r="G1413" i="1"/>
  <c r="D1413" i="1"/>
  <c r="C1413" i="1"/>
  <c r="AL1412" i="1"/>
  <c r="AK1412" i="1"/>
  <c r="AJ1412" i="1" a="1"/>
  <c r="AJ1412" i="1" s="1"/>
  <c r="AN1412" i="1" s="1"/>
  <c r="AI1412" i="1" a="1"/>
  <c r="AI1412" i="1" s="1"/>
  <c r="AM1412" i="1" s="1"/>
  <c r="AH1412" i="1"/>
  <c r="AB1412" i="1"/>
  <c r="AC1412" i="1" s="1"/>
  <c r="AA1412" i="1"/>
  <c r="Y1412" i="1"/>
  <c r="Z1412" i="1" s="1"/>
  <c r="X1412" i="1"/>
  <c r="G1412" i="1"/>
  <c r="D1412" i="1"/>
  <c r="C1412" i="1"/>
  <c r="AL1411" i="1"/>
  <c r="AK1411" i="1"/>
  <c r="AJ1411" i="1" a="1"/>
  <c r="AJ1411" i="1" s="1"/>
  <c r="AN1411" i="1" s="1"/>
  <c r="AI1411" i="1" a="1"/>
  <c r="AI1411" i="1" s="1"/>
  <c r="AM1411" i="1" s="1"/>
  <c r="AH1411" i="1"/>
  <c r="AB1411" i="1"/>
  <c r="AC1411" i="1" s="1"/>
  <c r="AA1411" i="1"/>
  <c r="Y1411" i="1"/>
  <c r="Z1411" i="1" s="1"/>
  <c r="X1411" i="1"/>
  <c r="G1411" i="1"/>
  <c r="D1411" i="1"/>
  <c r="C1411" i="1"/>
  <c r="AL1410" i="1"/>
  <c r="AK1410" i="1"/>
  <c r="AJ1410" i="1" a="1"/>
  <c r="AJ1410" i="1" s="1"/>
  <c r="AN1410" i="1" s="1"/>
  <c r="AI1410" i="1" a="1"/>
  <c r="AI1410" i="1" s="1"/>
  <c r="AM1410" i="1" s="1"/>
  <c r="AH1410" i="1"/>
  <c r="AB1410" i="1"/>
  <c r="AC1410" i="1" s="1"/>
  <c r="AA1410" i="1"/>
  <c r="Y1410" i="1"/>
  <c r="Z1410" i="1" s="1"/>
  <c r="X1410" i="1"/>
  <c r="G1410" i="1"/>
  <c r="D1410" i="1"/>
  <c r="C1410" i="1"/>
  <c r="AL1409" i="1"/>
  <c r="AK1409" i="1"/>
  <c r="AJ1409" i="1" a="1"/>
  <c r="AJ1409" i="1" s="1"/>
  <c r="AN1409" i="1" s="1"/>
  <c r="AI1409" i="1" a="1"/>
  <c r="AI1409" i="1" s="1"/>
  <c r="AM1409" i="1" s="1"/>
  <c r="AH1409" i="1"/>
  <c r="AB1409" i="1"/>
  <c r="AC1409" i="1" s="1"/>
  <c r="AA1409" i="1"/>
  <c r="Y1409" i="1"/>
  <c r="Z1409" i="1" s="1"/>
  <c r="X1409" i="1"/>
  <c r="G1409" i="1"/>
  <c r="D1409" i="1"/>
  <c r="C1409" i="1"/>
  <c r="AL1408" i="1"/>
  <c r="AK1408" i="1"/>
  <c r="AJ1408" i="1" a="1"/>
  <c r="AJ1408" i="1" s="1"/>
  <c r="AN1408" i="1" s="1"/>
  <c r="AI1408" i="1" a="1"/>
  <c r="AI1408" i="1" s="1"/>
  <c r="AM1408" i="1" s="1"/>
  <c r="AH1408" i="1"/>
  <c r="AB1408" i="1"/>
  <c r="AC1408" i="1" s="1"/>
  <c r="AA1408" i="1"/>
  <c r="Y1408" i="1"/>
  <c r="Z1408" i="1" s="1"/>
  <c r="X1408" i="1"/>
  <c r="G1408" i="1"/>
  <c r="D1408" i="1"/>
  <c r="C1408" i="1"/>
  <c r="AL1407" i="1"/>
  <c r="AK1407" i="1"/>
  <c r="AJ1407" i="1" a="1"/>
  <c r="AJ1407" i="1" s="1"/>
  <c r="AN1407" i="1" s="1"/>
  <c r="AI1407" i="1" a="1"/>
  <c r="AI1407" i="1" s="1"/>
  <c r="AM1407" i="1" s="1"/>
  <c r="AH1407" i="1"/>
  <c r="AA1407" i="1"/>
  <c r="Y1407" i="1"/>
  <c r="Z1407" i="1" s="1"/>
  <c r="X1407" i="1"/>
  <c r="G1407" i="1"/>
  <c r="D1407" i="1"/>
  <c r="C1407" i="1"/>
  <c r="AL1406" i="1"/>
  <c r="AK1406" i="1"/>
  <c r="AJ1406" i="1" a="1"/>
  <c r="AJ1406" i="1" s="1"/>
  <c r="AN1406" i="1" s="1"/>
  <c r="AI1406" i="1" a="1"/>
  <c r="AI1406" i="1" s="1"/>
  <c r="AM1406" i="1" s="1"/>
  <c r="AH1406" i="1"/>
  <c r="AB1406" i="1"/>
  <c r="AC1406" i="1" s="1"/>
  <c r="AA1406" i="1"/>
  <c r="Y1406" i="1"/>
  <c r="W1406" i="1"/>
  <c r="X1406" i="1" s="1"/>
  <c r="G1406" i="1"/>
  <c r="D1406" i="1"/>
  <c r="C1406" i="1"/>
  <c r="AL1405" i="1"/>
  <c r="AK1405" i="1"/>
  <c r="AJ1405" i="1" a="1"/>
  <c r="AJ1405" i="1" s="1"/>
  <c r="AN1405" i="1" s="1"/>
  <c r="AI1405" i="1" a="1"/>
  <c r="AI1405" i="1" s="1"/>
  <c r="AM1405" i="1" s="1"/>
  <c r="AH1405" i="1"/>
  <c r="AB1405" i="1"/>
  <c r="AC1405" i="1" s="1"/>
  <c r="AA1405" i="1"/>
  <c r="Y1405" i="1"/>
  <c r="W1405" i="1"/>
  <c r="X1405" i="1" s="1"/>
  <c r="G1405" i="1"/>
  <c r="D1405" i="1"/>
  <c r="C1405" i="1"/>
  <c r="AL1404" i="1"/>
  <c r="AK1404" i="1"/>
  <c r="AJ1404" i="1" a="1"/>
  <c r="AJ1404" i="1" s="1"/>
  <c r="AN1404" i="1" s="1"/>
  <c r="AI1404" i="1" a="1"/>
  <c r="AI1404" i="1" s="1"/>
  <c r="AM1404" i="1" s="1"/>
  <c r="AH1404" i="1"/>
  <c r="AB1404" i="1"/>
  <c r="AC1404" i="1" s="1"/>
  <c r="AA1404" i="1"/>
  <c r="Y1404" i="1"/>
  <c r="W1404" i="1"/>
  <c r="X1404" i="1" s="1"/>
  <c r="G1404" i="1"/>
  <c r="D1404" i="1"/>
  <c r="C1404" i="1"/>
  <c r="AL1403" i="1"/>
  <c r="AK1403" i="1"/>
  <c r="AJ1403" i="1" a="1"/>
  <c r="AJ1403" i="1" s="1"/>
  <c r="AN1403" i="1" s="1"/>
  <c r="AI1403" i="1" a="1"/>
  <c r="AI1403" i="1" s="1"/>
  <c r="AM1403" i="1" s="1"/>
  <c r="AH1403" i="1"/>
  <c r="AB1403" i="1"/>
  <c r="AC1403" i="1" s="1"/>
  <c r="AA1403" i="1"/>
  <c r="Y1403" i="1"/>
  <c r="W1403" i="1"/>
  <c r="X1403" i="1" s="1"/>
  <c r="G1403" i="1"/>
  <c r="D1403" i="1"/>
  <c r="C1403" i="1"/>
  <c r="AL1402" i="1"/>
  <c r="AK1402" i="1"/>
  <c r="AJ1402" i="1" a="1"/>
  <c r="AJ1402" i="1" s="1"/>
  <c r="AN1402" i="1" s="1"/>
  <c r="AI1402" i="1" a="1"/>
  <c r="AI1402" i="1" s="1"/>
  <c r="AM1402" i="1" s="1"/>
  <c r="AH1402" i="1"/>
  <c r="AB1402" i="1"/>
  <c r="AC1402" i="1" s="1"/>
  <c r="AA1402" i="1"/>
  <c r="Y1402" i="1"/>
  <c r="W1402" i="1"/>
  <c r="X1402" i="1" s="1"/>
  <c r="G1402" i="1"/>
  <c r="D1402" i="1"/>
  <c r="C1402" i="1"/>
  <c r="AL1401" i="1"/>
  <c r="AK1401" i="1"/>
  <c r="AJ1401" i="1" a="1"/>
  <c r="AJ1401" i="1" s="1"/>
  <c r="AN1401" i="1" s="1"/>
  <c r="AI1401" i="1" a="1"/>
  <c r="AI1401" i="1" s="1"/>
  <c r="AM1401" i="1" s="1"/>
  <c r="AH1401" i="1"/>
  <c r="AB1401" i="1"/>
  <c r="AC1401" i="1" s="1"/>
  <c r="AA1401" i="1"/>
  <c r="Y1401" i="1"/>
  <c r="W1401" i="1"/>
  <c r="X1401" i="1" s="1"/>
  <c r="G1401" i="1"/>
  <c r="D1401" i="1"/>
  <c r="C1401" i="1"/>
  <c r="AL1400" i="1"/>
  <c r="AK1400" i="1"/>
  <c r="AJ1400" i="1" a="1"/>
  <c r="AJ1400" i="1" s="1"/>
  <c r="AN1400" i="1" s="1"/>
  <c r="AI1400" i="1" a="1"/>
  <c r="AI1400" i="1" s="1"/>
  <c r="AM1400" i="1" s="1"/>
  <c r="AH1400" i="1"/>
  <c r="AB1400" i="1"/>
  <c r="AC1400" i="1" s="1"/>
  <c r="AA1400" i="1"/>
  <c r="Y1400" i="1"/>
  <c r="W1400" i="1"/>
  <c r="X1400" i="1" s="1"/>
  <c r="G1400" i="1"/>
  <c r="D1400" i="1"/>
  <c r="C1400" i="1"/>
  <c r="AL1399" i="1"/>
  <c r="AK1399" i="1"/>
  <c r="AJ1399" i="1" a="1"/>
  <c r="AJ1399" i="1" s="1"/>
  <c r="AN1399" i="1" s="1"/>
  <c r="AI1399" i="1" a="1"/>
  <c r="AI1399" i="1" s="1"/>
  <c r="AM1399" i="1" s="1"/>
  <c r="AH1399" i="1"/>
  <c r="AB1399" i="1"/>
  <c r="AC1399" i="1" s="1"/>
  <c r="AA1399" i="1"/>
  <c r="Y1399" i="1"/>
  <c r="W1399" i="1"/>
  <c r="G1399" i="1"/>
  <c r="D1399" i="1"/>
  <c r="C1399" i="1"/>
  <c r="AL1398" i="1"/>
  <c r="AK1398" i="1"/>
  <c r="AJ1398" i="1" a="1"/>
  <c r="AJ1398" i="1" s="1"/>
  <c r="AN1398" i="1" s="1"/>
  <c r="AI1398" i="1" a="1"/>
  <c r="AI1398" i="1" s="1"/>
  <c r="AM1398" i="1" s="1"/>
  <c r="AH1398" i="1"/>
  <c r="AB1398" i="1"/>
  <c r="AC1398" i="1" s="1"/>
  <c r="AA1398" i="1"/>
  <c r="Y1398" i="1"/>
  <c r="W1398" i="1"/>
  <c r="X1398" i="1" s="1"/>
  <c r="G1398" i="1"/>
  <c r="D1398" i="1"/>
  <c r="C1398" i="1"/>
  <c r="AL1397" i="1"/>
  <c r="AK1397" i="1"/>
  <c r="AJ1397" i="1" a="1"/>
  <c r="AJ1397" i="1" s="1"/>
  <c r="AN1397" i="1" s="1"/>
  <c r="AI1397" i="1" a="1"/>
  <c r="AI1397" i="1" s="1"/>
  <c r="AM1397" i="1" s="1"/>
  <c r="AH1397" i="1"/>
  <c r="AB1397" i="1"/>
  <c r="AC1397" i="1" s="1"/>
  <c r="AA1397" i="1"/>
  <c r="Y1397" i="1"/>
  <c r="W1397" i="1"/>
  <c r="G1397" i="1"/>
  <c r="D1397" i="1"/>
  <c r="C1397" i="1"/>
  <c r="AL1396" i="1"/>
  <c r="AK1396" i="1"/>
  <c r="AJ1396" i="1" a="1"/>
  <c r="AJ1396" i="1" s="1"/>
  <c r="AN1396" i="1" s="1"/>
  <c r="AI1396" i="1" a="1"/>
  <c r="AI1396" i="1" s="1"/>
  <c r="AM1396" i="1" s="1"/>
  <c r="AH1396" i="1"/>
  <c r="AA1396" i="1"/>
  <c r="Y1396" i="1"/>
  <c r="Z1396" i="1" s="1"/>
  <c r="X1396" i="1"/>
  <c r="G1396" i="1"/>
  <c r="D1396" i="1"/>
  <c r="C1396" i="1"/>
  <c r="AL1395" i="1"/>
  <c r="AK1395" i="1"/>
  <c r="AJ1395" i="1" a="1"/>
  <c r="AJ1395" i="1" s="1"/>
  <c r="AN1395" i="1" s="1"/>
  <c r="AI1395" i="1" a="1"/>
  <c r="AI1395" i="1" s="1"/>
  <c r="AM1395" i="1" s="1"/>
  <c r="AH1395" i="1"/>
  <c r="AA1395" i="1"/>
  <c r="Y1395" i="1"/>
  <c r="Z1395" i="1" s="1"/>
  <c r="X1395" i="1"/>
  <c r="G1395" i="1"/>
  <c r="D1395" i="1"/>
  <c r="C1395" i="1"/>
  <c r="AL1394" i="1"/>
  <c r="AK1394" i="1"/>
  <c r="AJ1394" i="1" a="1"/>
  <c r="AJ1394" i="1" s="1"/>
  <c r="AN1394" i="1" s="1"/>
  <c r="AI1394" i="1" a="1"/>
  <c r="AI1394" i="1" s="1"/>
  <c r="AM1394" i="1" s="1"/>
  <c r="AH1394" i="1"/>
  <c r="AA1394" i="1"/>
  <c r="Y1394" i="1"/>
  <c r="Z1394" i="1" s="1"/>
  <c r="X1394" i="1"/>
  <c r="G1394" i="1"/>
  <c r="D1394" i="1"/>
  <c r="C1394" i="1"/>
  <c r="AL1393" i="1"/>
  <c r="AK1393" i="1"/>
  <c r="AJ1393" i="1" a="1"/>
  <c r="AJ1393" i="1" s="1"/>
  <c r="AN1393" i="1" s="1"/>
  <c r="AI1393" i="1" a="1"/>
  <c r="AI1393" i="1" s="1"/>
  <c r="AM1393" i="1" s="1"/>
  <c r="AH1393" i="1"/>
  <c r="AA1393" i="1"/>
  <c r="Y1393" i="1"/>
  <c r="Z1393" i="1" s="1"/>
  <c r="X1393" i="1"/>
  <c r="G1393" i="1"/>
  <c r="D1393" i="1"/>
  <c r="C1393" i="1"/>
  <c r="AL1392" i="1"/>
  <c r="AK1392" i="1"/>
  <c r="AJ1392" i="1" a="1"/>
  <c r="AJ1392" i="1" s="1"/>
  <c r="AN1392" i="1" s="1"/>
  <c r="AI1392" i="1" a="1"/>
  <c r="AI1392" i="1" s="1"/>
  <c r="AM1392" i="1" s="1"/>
  <c r="AH1392" i="1"/>
  <c r="AA1392" i="1"/>
  <c r="Y1392" i="1"/>
  <c r="Z1392" i="1" s="1"/>
  <c r="X1392" i="1"/>
  <c r="G1392" i="1"/>
  <c r="D1392" i="1"/>
  <c r="C1392" i="1"/>
  <c r="AL1391" i="1"/>
  <c r="AK1391" i="1"/>
  <c r="AJ1391" i="1" a="1"/>
  <c r="AJ1391" i="1" s="1"/>
  <c r="AN1391" i="1" s="1"/>
  <c r="AI1391" i="1" a="1"/>
  <c r="AI1391" i="1" s="1"/>
  <c r="AM1391" i="1" s="1"/>
  <c r="AH1391" i="1"/>
  <c r="AA1391" i="1"/>
  <c r="Y1391" i="1"/>
  <c r="Z1391" i="1" s="1"/>
  <c r="X1391" i="1"/>
  <c r="G1391" i="1"/>
  <c r="D1391" i="1"/>
  <c r="C1391" i="1"/>
  <c r="AL1390" i="1"/>
  <c r="AK1390" i="1"/>
  <c r="AJ1390" i="1" a="1"/>
  <c r="AJ1390" i="1" s="1"/>
  <c r="AN1390" i="1" s="1"/>
  <c r="AI1390" i="1" a="1"/>
  <c r="AI1390" i="1" s="1"/>
  <c r="AM1390" i="1" s="1"/>
  <c r="AH1390" i="1"/>
  <c r="AA1390" i="1"/>
  <c r="Y1390" i="1"/>
  <c r="W1390" i="1"/>
  <c r="X1390" i="1" s="1"/>
  <c r="G1390" i="1"/>
  <c r="D1390" i="1"/>
  <c r="C1390" i="1"/>
  <c r="AL1389" i="1"/>
  <c r="AK1389" i="1"/>
  <c r="AJ1389" i="1" a="1"/>
  <c r="AJ1389" i="1" s="1"/>
  <c r="AN1389" i="1" s="1"/>
  <c r="AI1389" i="1" a="1"/>
  <c r="AI1389" i="1" s="1"/>
  <c r="AM1389" i="1" s="1"/>
  <c r="AH1389" i="1"/>
  <c r="AA1389" i="1"/>
  <c r="Y1389" i="1"/>
  <c r="W1389" i="1"/>
  <c r="X1389" i="1" s="1"/>
  <c r="G1389" i="1"/>
  <c r="D1389" i="1"/>
  <c r="C1389" i="1"/>
  <c r="AL1388" i="1"/>
  <c r="AK1388" i="1"/>
  <c r="AJ1388" i="1" a="1"/>
  <c r="AJ1388" i="1" s="1"/>
  <c r="AN1388" i="1" s="1"/>
  <c r="AI1388" i="1" a="1"/>
  <c r="AI1388" i="1" s="1"/>
  <c r="AM1388" i="1" s="1"/>
  <c r="AH1388" i="1"/>
  <c r="AA1388" i="1"/>
  <c r="Y1388" i="1"/>
  <c r="W1388" i="1"/>
  <c r="X1388" i="1" s="1"/>
  <c r="G1388" i="1"/>
  <c r="D1388" i="1"/>
  <c r="C1388" i="1"/>
  <c r="AL1387" i="1"/>
  <c r="AK1387" i="1"/>
  <c r="AJ1387" i="1" a="1"/>
  <c r="AJ1387" i="1" s="1"/>
  <c r="AN1387" i="1" s="1"/>
  <c r="AI1387" i="1" a="1"/>
  <c r="AI1387" i="1" s="1"/>
  <c r="AM1387" i="1" s="1"/>
  <c r="AH1387" i="1"/>
  <c r="AA1387" i="1"/>
  <c r="Y1387" i="1"/>
  <c r="W1387" i="1"/>
  <c r="X1387" i="1" s="1"/>
  <c r="G1387" i="1"/>
  <c r="D1387" i="1"/>
  <c r="C1387" i="1"/>
  <c r="AL1386" i="1"/>
  <c r="AK1386" i="1"/>
  <c r="AJ1386" i="1" a="1"/>
  <c r="AJ1386" i="1" s="1"/>
  <c r="AN1386" i="1" s="1"/>
  <c r="AI1386" i="1" a="1"/>
  <c r="AI1386" i="1" s="1"/>
  <c r="AM1386" i="1" s="1"/>
  <c r="AH1386" i="1"/>
  <c r="AA1386" i="1"/>
  <c r="Y1386" i="1"/>
  <c r="W1386" i="1"/>
  <c r="X1386" i="1" s="1"/>
  <c r="G1386" i="1"/>
  <c r="D1386" i="1"/>
  <c r="C1386" i="1"/>
  <c r="AL1385" i="1"/>
  <c r="AK1385" i="1"/>
  <c r="AJ1385" i="1" a="1"/>
  <c r="AJ1385" i="1" s="1"/>
  <c r="AN1385" i="1" s="1"/>
  <c r="AI1385" i="1" a="1"/>
  <c r="AI1385" i="1" s="1"/>
  <c r="AM1385" i="1" s="1"/>
  <c r="AH1385" i="1"/>
  <c r="AA1385" i="1"/>
  <c r="Y1385" i="1"/>
  <c r="W1385" i="1"/>
  <c r="G1385" i="1"/>
  <c r="D1385" i="1"/>
  <c r="C1385" i="1"/>
  <c r="AL1384" i="1"/>
  <c r="AK1384" i="1"/>
  <c r="AJ1384" i="1" a="1"/>
  <c r="AJ1384" i="1" s="1"/>
  <c r="AN1384" i="1" s="1"/>
  <c r="AI1384" i="1" a="1"/>
  <c r="AI1384" i="1" s="1"/>
  <c r="AM1384" i="1" s="1"/>
  <c r="AH1384" i="1"/>
  <c r="AA1384" i="1"/>
  <c r="Y1384" i="1"/>
  <c r="W1384" i="1"/>
  <c r="X1384" i="1" s="1"/>
  <c r="G1384" i="1"/>
  <c r="D1384" i="1"/>
  <c r="C1384" i="1"/>
  <c r="AL1383" i="1"/>
  <c r="AK1383" i="1"/>
  <c r="AJ1383" i="1" a="1"/>
  <c r="AJ1383" i="1" s="1"/>
  <c r="AN1383" i="1" s="1"/>
  <c r="AI1383" i="1" a="1"/>
  <c r="AI1383" i="1" s="1"/>
  <c r="AM1383" i="1" s="1"/>
  <c r="AH1383" i="1"/>
  <c r="AA1383" i="1"/>
  <c r="Y1383" i="1"/>
  <c r="W1383" i="1"/>
  <c r="G1383" i="1"/>
  <c r="D1383" i="1"/>
  <c r="C1383" i="1"/>
  <c r="AL1382" i="1"/>
  <c r="AK1382" i="1"/>
  <c r="AJ1382" i="1" a="1"/>
  <c r="AJ1382" i="1" s="1"/>
  <c r="AN1382" i="1" s="1"/>
  <c r="AI1382" i="1" a="1"/>
  <c r="AI1382" i="1" s="1"/>
  <c r="AM1382" i="1" s="1"/>
  <c r="AH1382" i="1"/>
  <c r="AA1382" i="1"/>
  <c r="Y1382" i="1"/>
  <c r="W1382" i="1"/>
  <c r="G1382" i="1"/>
  <c r="D1382" i="1"/>
  <c r="C1382" i="1"/>
  <c r="AL1381" i="1"/>
  <c r="AK1381" i="1"/>
  <c r="AJ1381" i="1" a="1"/>
  <c r="AJ1381" i="1" s="1"/>
  <c r="AN1381" i="1" s="1"/>
  <c r="AI1381" i="1" a="1"/>
  <c r="AI1381" i="1" s="1"/>
  <c r="AM1381" i="1" s="1"/>
  <c r="AH1381" i="1"/>
  <c r="AA1381" i="1"/>
  <c r="Y1381" i="1"/>
  <c r="W1381" i="1"/>
  <c r="X1381" i="1" s="1"/>
  <c r="G1381" i="1"/>
  <c r="D1381" i="1"/>
  <c r="C1381" i="1"/>
  <c r="AL1380" i="1"/>
  <c r="AK1380" i="1"/>
  <c r="AJ1380" i="1" a="1"/>
  <c r="AJ1380" i="1" s="1"/>
  <c r="AN1380" i="1" s="1"/>
  <c r="AI1380" i="1" a="1"/>
  <c r="AI1380" i="1" s="1"/>
  <c r="AM1380" i="1" s="1"/>
  <c r="AH1380" i="1"/>
  <c r="AA1380" i="1"/>
  <c r="Y1380" i="1"/>
  <c r="W1380" i="1"/>
  <c r="X1380" i="1" s="1"/>
  <c r="G1380" i="1"/>
  <c r="D1380" i="1"/>
  <c r="C1380" i="1"/>
  <c r="AL1379" i="1"/>
  <c r="AK1379" i="1"/>
  <c r="AJ1379" i="1" a="1"/>
  <c r="AJ1379" i="1" s="1"/>
  <c r="AN1379" i="1" s="1"/>
  <c r="AI1379" i="1" a="1"/>
  <c r="AI1379" i="1" s="1"/>
  <c r="AM1379" i="1" s="1"/>
  <c r="AH1379" i="1"/>
  <c r="AA1379" i="1"/>
  <c r="Y1379" i="1"/>
  <c r="W1379" i="1"/>
  <c r="X1379" i="1" s="1"/>
  <c r="G1379" i="1"/>
  <c r="D1379" i="1"/>
  <c r="C1379" i="1"/>
  <c r="AL1378" i="1"/>
  <c r="AK1378" i="1"/>
  <c r="AJ1378" i="1" a="1"/>
  <c r="AJ1378" i="1" s="1"/>
  <c r="AN1378" i="1" s="1"/>
  <c r="AI1378" i="1" a="1"/>
  <c r="AI1378" i="1" s="1"/>
  <c r="AM1378" i="1" s="1"/>
  <c r="AH1378" i="1"/>
  <c r="AA1378" i="1"/>
  <c r="Y1378" i="1"/>
  <c r="W1378" i="1"/>
  <c r="X1378" i="1" s="1"/>
  <c r="G1378" i="1"/>
  <c r="D1378" i="1"/>
  <c r="C1378" i="1"/>
  <c r="AL1377" i="1"/>
  <c r="AK1377" i="1"/>
  <c r="AJ1377" i="1" a="1"/>
  <c r="AJ1377" i="1" s="1"/>
  <c r="AN1377" i="1" s="1"/>
  <c r="AI1377" i="1" a="1"/>
  <c r="AI1377" i="1" s="1"/>
  <c r="AM1377" i="1" s="1"/>
  <c r="AH1377" i="1"/>
  <c r="AA1377" i="1"/>
  <c r="Y1377" i="1"/>
  <c r="W1377" i="1"/>
  <c r="G1377" i="1"/>
  <c r="D1377" i="1"/>
  <c r="C1377" i="1"/>
  <c r="AL1376" i="1"/>
  <c r="AK1376" i="1"/>
  <c r="AJ1376" i="1" a="1"/>
  <c r="AJ1376" i="1" s="1"/>
  <c r="AN1376" i="1" s="1"/>
  <c r="AI1376" i="1" a="1"/>
  <c r="AI1376" i="1" s="1"/>
  <c r="AM1376" i="1" s="1"/>
  <c r="AH1376" i="1"/>
  <c r="AA1376" i="1"/>
  <c r="Y1376" i="1"/>
  <c r="W1376" i="1"/>
  <c r="G1376" i="1"/>
  <c r="D1376" i="1"/>
  <c r="C1376" i="1"/>
  <c r="AL1375" i="1"/>
  <c r="AK1375" i="1"/>
  <c r="AJ1375" i="1" a="1"/>
  <c r="AJ1375" i="1" s="1"/>
  <c r="AN1375" i="1" s="1"/>
  <c r="AI1375" i="1" a="1"/>
  <c r="AI1375" i="1" s="1"/>
  <c r="AM1375" i="1" s="1"/>
  <c r="AH1375" i="1"/>
  <c r="AA1375" i="1"/>
  <c r="Y1375" i="1"/>
  <c r="Z1375" i="1" s="1"/>
  <c r="X1375" i="1"/>
  <c r="G1375" i="1"/>
  <c r="D1375" i="1"/>
  <c r="C1375" i="1"/>
  <c r="AL1374" i="1"/>
  <c r="AK1374" i="1"/>
  <c r="AJ1374" i="1" a="1"/>
  <c r="AJ1374" i="1" s="1"/>
  <c r="AN1374" i="1" s="1"/>
  <c r="AI1374" i="1" a="1"/>
  <c r="AI1374" i="1" s="1"/>
  <c r="AM1374" i="1" s="1"/>
  <c r="AH1374" i="1"/>
  <c r="AA1374" i="1"/>
  <c r="Y1374" i="1"/>
  <c r="Z1374" i="1" s="1"/>
  <c r="X1374" i="1"/>
  <c r="G1374" i="1"/>
  <c r="D1374" i="1"/>
  <c r="C1374" i="1"/>
  <c r="AL1373" i="1"/>
  <c r="AK1373" i="1"/>
  <c r="AJ1373" i="1" a="1"/>
  <c r="AJ1373" i="1" s="1"/>
  <c r="AN1373" i="1" s="1"/>
  <c r="AI1373" i="1" a="1"/>
  <c r="AI1373" i="1" s="1"/>
  <c r="AM1373" i="1" s="1"/>
  <c r="AH1373" i="1"/>
  <c r="AA1373" i="1"/>
  <c r="Y1373" i="1"/>
  <c r="Z1373" i="1" s="1"/>
  <c r="X1373" i="1"/>
  <c r="G1373" i="1"/>
  <c r="D1373" i="1"/>
  <c r="C1373" i="1"/>
  <c r="AL1372" i="1"/>
  <c r="AK1372" i="1"/>
  <c r="AJ1372" i="1" a="1"/>
  <c r="AJ1372" i="1" s="1"/>
  <c r="AN1372" i="1" s="1"/>
  <c r="AI1372" i="1" a="1"/>
  <c r="AI1372" i="1" s="1"/>
  <c r="AM1372" i="1" s="1"/>
  <c r="AH1372" i="1"/>
  <c r="AA1372" i="1"/>
  <c r="Y1372" i="1"/>
  <c r="Z1372" i="1" s="1"/>
  <c r="X1372" i="1"/>
  <c r="G1372" i="1"/>
  <c r="D1372" i="1"/>
  <c r="C1372" i="1"/>
  <c r="AL1371" i="1"/>
  <c r="AK1371" i="1"/>
  <c r="AJ1371" i="1" a="1"/>
  <c r="AJ1371" i="1" s="1"/>
  <c r="AN1371" i="1" s="1"/>
  <c r="AI1371" i="1" a="1"/>
  <c r="AI1371" i="1" s="1"/>
  <c r="AM1371" i="1" s="1"/>
  <c r="AH1371" i="1"/>
  <c r="AA1371" i="1"/>
  <c r="Y1371" i="1"/>
  <c r="Z1371" i="1" s="1"/>
  <c r="X1371" i="1"/>
  <c r="G1371" i="1"/>
  <c r="D1371" i="1"/>
  <c r="C1371" i="1"/>
  <c r="AL1370" i="1"/>
  <c r="AK1370" i="1"/>
  <c r="AJ1370" i="1" a="1"/>
  <c r="AJ1370" i="1" s="1"/>
  <c r="AN1370" i="1" s="1"/>
  <c r="AI1370" i="1" a="1"/>
  <c r="AI1370" i="1" s="1"/>
  <c r="AM1370" i="1" s="1"/>
  <c r="AH1370" i="1"/>
  <c r="AA1370" i="1"/>
  <c r="Y1370" i="1"/>
  <c r="Z1370" i="1" s="1"/>
  <c r="X1370" i="1"/>
  <c r="G1370" i="1"/>
  <c r="D1370" i="1"/>
  <c r="C1370" i="1"/>
  <c r="AL1369" i="1"/>
  <c r="AK1369" i="1"/>
  <c r="AJ1369" i="1" a="1"/>
  <c r="AJ1369" i="1" s="1"/>
  <c r="AN1369" i="1" s="1"/>
  <c r="AI1369" i="1" a="1"/>
  <c r="AI1369" i="1" s="1"/>
  <c r="AM1369" i="1" s="1"/>
  <c r="AH1369" i="1"/>
  <c r="AA1369" i="1"/>
  <c r="Y1369" i="1"/>
  <c r="Z1369" i="1" s="1"/>
  <c r="X1369" i="1"/>
  <c r="G1369" i="1"/>
  <c r="D1369" i="1"/>
  <c r="C1369" i="1"/>
  <c r="AL1368" i="1"/>
  <c r="AK1368" i="1"/>
  <c r="AJ1368" i="1" a="1"/>
  <c r="AJ1368" i="1" s="1"/>
  <c r="AN1368" i="1" s="1"/>
  <c r="AI1368" i="1" a="1"/>
  <c r="AI1368" i="1" s="1"/>
  <c r="AM1368" i="1" s="1"/>
  <c r="AH1368" i="1"/>
  <c r="AA1368" i="1"/>
  <c r="Y1368" i="1"/>
  <c r="Z1368" i="1" s="1"/>
  <c r="X1368" i="1"/>
  <c r="G1368" i="1"/>
  <c r="D1368" i="1"/>
  <c r="C1368" i="1"/>
  <c r="AL1367" i="1"/>
  <c r="AK1367" i="1"/>
  <c r="AJ1367" i="1" a="1"/>
  <c r="AJ1367" i="1" s="1"/>
  <c r="AN1367" i="1" s="1"/>
  <c r="AI1367" i="1" a="1"/>
  <c r="AI1367" i="1" s="1"/>
  <c r="AM1367" i="1" s="1"/>
  <c r="AH1367" i="1"/>
  <c r="AA1367" i="1"/>
  <c r="Y1367" i="1"/>
  <c r="Z1367" i="1" s="1"/>
  <c r="X1367" i="1"/>
  <c r="G1367" i="1"/>
  <c r="D1367" i="1"/>
  <c r="C1367" i="1"/>
  <c r="AL1366" i="1"/>
  <c r="AK1366" i="1"/>
  <c r="AJ1366" i="1" a="1"/>
  <c r="AJ1366" i="1" s="1"/>
  <c r="AN1366" i="1" s="1"/>
  <c r="AI1366" i="1" a="1"/>
  <c r="AI1366" i="1" s="1"/>
  <c r="AM1366" i="1" s="1"/>
  <c r="AH1366" i="1"/>
  <c r="AC1366" i="1"/>
  <c r="AA1366" i="1"/>
  <c r="Y1366" i="1"/>
  <c r="Z1366" i="1" s="1"/>
  <c r="X1366" i="1"/>
  <c r="G1366" i="1"/>
  <c r="D1366" i="1"/>
  <c r="C1366" i="1"/>
  <c r="AL1365" i="1"/>
  <c r="AK1365" i="1"/>
  <c r="AJ1365" i="1" a="1"/>
  <c r="AJ1365" i="1" s="1"/>
  <c r="AN1365" i="1" s="1"/>
  <c r="AI1365" i="1" a="1"/>
  <c r="AI1365" i="1" s="1"/>
  <c r="AM1365" i="1" s="1"/>
  <c r="AH1365" i="1"/>
  <c r="AA1365" i="1"/>
  <c r="Y1365" i="1"/>
  <c r="W1365" i="1"/>
  <c r="G1365" i="1"/>
  <c r="D1365" i="1"/>
  <c r="C1365" i="1"/>
  <c r="AL1364" i="1"/>
  <c r="AK1364" i="1"/>
  <c r="AJ1364" i="1" a="1"/>
  <c r="AJ1364" i="1" s="1"/>
  <c r="AN1364" i="1" s="1"/>
  <c r="AI1364" i="1" a="1"/>
  <c r="AI1364" i="1" s="1"/>
  <c r="AM1364" i="1" s="1"/>
  <c r="AH1364" i="1"/>
  <c r="AA1364" i="1"/>
  <c r="Y1364" i="1"/>
  <c r="Z1364" i="1" s="1"/>
  <c r="X1364" i="1"/>
  <c r="G1364" i="1"/>
  <c r="D1364" i="1"/>
  <c r="C1364" i="1"/>
  <c r="AL1363" i="1"/>
  <c r="AK1363" i="1"/>
  <c r="AJ1363" i="1" a="1"/>
  <c r="AJ1363" i="1" s="1"/>
  <c r="AN1363" i="1" s="1"/>
  <c r="AI1363" i="1" a="1"/>
  <c r="AI1363" i="1" s="1"/>
  <c r="AM1363" i="1" s="1"/>
  <c r="AH1363" i="1"/>
  <c r="AA1363" i="1"/>
  <c r="Y1363" i="1"/>
  <c r="Z1363" i="1" s="1"/>
  <c r="X1363" i="1"/>
  <c r="G1363" i="1"/>
  <c r="D1363" i="1"/>
  <c r="C1363" i="1"/>
  <c r="AL1362" i="1"/>
  <c r="AK1362" i="1"/>
  <c r="AJ1362" i="1" a="1"/>
  <c r="AJ1362" i="1" s="1"/>
  <c r="AN1362" i="1" s="1"/>
  <c r="AI1362" i="1" a="1"/>
  <c r="AI1362" i="1" s="1"/>
  <c r="AM1362" i="1" s="1"/>
  <c r="AH1362" i="1"/>
  <c r="AA1362" i="1"/>
  <c r="Y1362" i="1"/>
  <c r="Z1362" i="1" s="1"/>
  <c r="X1362" i="1"/>
  <c r="G1362" i="1"/>
  <c r="D1362" i="1"/>
  <c r="C1362" i="1"/>
  <c r="AL1361" i="1"/>
  <c r="AK1361" i="1"/>
  <c r="AJ1361" i="1" a="1"/>
  <c r="AJ1361" i="1" s="1"/>
  <c r="AN1361" i="1" s="1"/>
  <c r="AI1361" i="1" a="1"/>
  <c r="AI1361" i="1" s="1"/>
  <c r="AM1361" i="1" s="1"/>
  <c r="AH1361" i="1"/>
  <c r="AA1361" i="1"/>
  <c r="Y1361" i="1"/>
  <c r="Z1361" i="1" s="1"/>
  <c r="X1361" i="1"/>
  <c r="G1361" i="1"/>
  <c r="D1361" i="1"/>
  <c r="C1361" i="1"/>
  <c r="AL1360" i="1"/>
  <c r="AK1360" i="1"/>
  <c r="AJ1360" i="1" a="1"/>
  <c r="AJ1360" i="1" s="1"/>
  <c r="AN1360" i="1" s="1"/>
  <c r="AI1360" i="1" a="1"/>
  <c r="AI1360" i="1" s="1"/>
  <c r="AM1360" i="1" s="1"/>
  <c r="AH1360" i="1"/>
  <c r="AC1360" i="1"/>
  <c r="AB1360" i="1" s="1"/>
  <c r="AA1360" i="1"/>
  <c r="Y1360" i="1"/>
  <c r="Z1360" i="1" s="1"/>
  <c r="X1360" i="1"/>
  <c r="G1360" i="1"/>
  <c r="D1360" i="1"/>
  <c r="C1360" i="1"/>
  <c r="AL1359" i="1"/>
  <c r="AK1359" i="1"/>
  <c r="AJ1359" i="1" a="1"/>
  <c r="AJ1359" i="1" s="1"/>
  <c r="AN1359" i="1" s="1"/>
  <c r="AI1359" i="1" a="1"/>
  <c r="AI1359" i="1" s="1"/>
  <c r="AM1359" i="1" s="1"/>
  <c r="AH1359" i="1"/>
  <c r="AC1359" i="1"/>
  <c r="AB1359" i="1" s="1"/>
  <c r="AA1359" i="1"/>
  <c r="Y1359" i="1"/>
  <c r="Z1359" i="1" s="1"/>
  <c r="X1359" i="1"/>
  <c r="G1359" i="1"/>
  <c r="D1359" i="1"/>
  <c r="C1359" i="1"/>
  <c r="AL1358" i="1"/>
  <c r="AK1358" i="1"/>
  <c r="AJ1358" i="1" a="1"/>
  <c r="AJ1358" i="1" s="1"/>
  <c r="AN1358" i="1" s="1"/>
  <c r="AI1358" i="1" a="1"/>
  <c r="AI1358" i="1" s="1"/>
  <c r="AM1358" i="1" s="1"/>
  <c r="AH1358" i="1"/>
  <c r="AC1358" i="1"/>
  <c r="AB1358" i="1" s="1"/>
  <c r="AA1358" i="1"/>
  <c r="Y1358" i="1"/>
  <c r="Z1358" i="1" s="1"/>
  <c r="X1358" i="1"/>
  <c r="G1358" i="1"/>
  <c r="D1358" i="1"/>
  <c r="C1358" i="1"/>
  <c r="AL1357" i="1"/>
  <c r="AK1357" i="1"/>
  <c r="AJ1357" i="1" a="1"/>
  <c r="AJ1357" i="1" s="1"/>
  <c r="AN1357" i="1" s="1"/>
  <c r="AI1357" i="1" a="1"/>
  <c r="AI1357" i="1" s="1"/>
  <c r="AM1357" i="1" s="1"/>
  <c r="AH1357" i="1"/>
  <c r="AC1357" i="1"/>
  <c r="AB1357" i="1" s="1"/>
  <c r="AA1357" i="1"/>
  <c r="Y1357" i="1"/>
  <c r="Z1357" i="1" s="1"/>
  <c r="X1357" i="1"/>
  <c r="G1357" i="1"/>
  <c r="D1357" i="1"/>
  <c r="C1357" i="1"/>
  <c r="AL1356" i="1"/>
  <c r="AK1356" i="1"/>
  <c r="AJ1356" i="1" a="1"/>
  <c r="AJ1356" i="1" s="1"/>
  <c r="AN1356" i="1" s="1"/>
  <c r="AI1356" i="1" a="1"/>
  <c r="AI1356" i="1" s="1"/>
  <c r="AM1356" i="1" s="1"/>
  <c r="AH1356" i="1"/>
  <c r="AC1356" i="1"/>
  <c r="AA1356" i="1"/>
  <c r="Y1356" i="1"/>
  <c r="Z1356" i="1" s="1"/>
  <c r="X1356" i="1"/>
  <c r="G1356" i="1"/>
  <c r="D1356" i="1"/>
  <c r="C1356" i="1"/>
  <c r="AL1355" i="1"/>
  <c r="AK1355" i="1"/>
  <c r="AJ1355" i="1" a="1"/>
  <c r="AJ1355" i="1" s="1"/>
  <c r="AN1355" i="1" s="1"/>
  <c r="AI1355" i="1" a="1"/>
  <c r="AI1355" i="1" s="1"/>
  <c r="AM1355" i="1" s="1"/>
  <c r="AH1355" i="1"/>
  <c r="AC1355" i="1"/>
  <c r="AA1355" i="1"/>
  <c r="Y1355" i="1"/>
  <c r="Z1355" i="1" s="1"/>
  <c r="X1355" i="1"/>
  <c r="G1355" i="1"/>
  <c r="D1355" i="1"/>
  <c r="C1355" i="1"/>
  <c r="AL1354" i="1"/>
  <c r="AK1354" i="1"/>
  <c r="AJ1354" i="1" a="1"/>
  <c r="AJ1354" i="1" s="1"/>
  <c r="AN1354" i="1" s="1"/>
  <c r="AI1354" i="1" a="1"/>
  <c r="AI1354" i="1" s="1"/>
  <c r="AM1354" i="1" s="1"/>
  <c r="AH1354" i="1"/>
  <c r="AA1354" i="1"/>
  <c r="Y1354" i="1"/>
  <c r="Z1354" i="1" s="1"/>
  <c r="X1354" i="1"/>
  <c r="G1354" i="1"/>
  <c r="D1354" i="1"/>
  <c r="C1354" i="1"/>
  <c r="AL1353" i="1"/>
  <c r="AK1353" i="1"/>
  <c r="AJ1353" i="1" a="1"/>
  <c r="AJ1353" i="1" s="1"/>
  <c r="AN1353" i="1" s="1"/>
  <c r="AI1353" i="1" a="1"/>
  <c r="AI1353" i="1" s="1"/>
  <c r="AM1353" i="1" s="1"/>
  <c r="AH1353" i="1"/>
  <c r="AC1353" i="1"/>
  <c r="AA1353" i="1"/>
  <c r="Y1353" i="1"/>
  <c r="W1353" i="1"/>
  <c r="G1353" i="1"/>
  <c r="D1353" i="1"/>
  <c r="C1353" i="1"/>
  <c r="AL1352" i="1"/>
  <c r="AK1352" i="1"/>
  <c r="AJ1352" i="1" a="1"/>
  <c r="AJ1352" i="1" s="1"/>
  <c r="AN1352" i="1" s="1"/>
  <c r="AI1352" i="1" a="1"/>
  <c r="AI1352" i="1" s="1"/>
  <c r="AM1352" i="1" s="1"/>
  <c r="AH1352" i="1"/>
  <c r="AC1352" i="1"/>
  <c r="AA1352" i="1"/>
  <c r="Y1352" i="1"/>
  <c r="Z1352" i="1" s="1"/>
  <c r="X1352" i="1"/>
  <c r="G1352" i="1"/>
  <c r="D1352" i="1"/>
  <c r="C1352" i="1"/>
  <c r="AL1351" i="1"/>
  <c r="AK1351" i="1"/>
  <c r="AJ1351" i="1" a="1"/>
  <c r="AJ1351" i="1" s="1"/>
  <c r="AN1351" i="1" s="1"/>
  <c r="AI1351" i="1" a="1"/>
  <c r="AI1351" i="1" s="1"/>
  <c r="AM1351" i="1" s="1"/>
  <c r="AH1351" i="1"/>
  <c r="AC1351" i="1"/>
  <c r="AA1351" i="1"/>
  <c r="Y1351" i="1"/>
  <c r="Z1351" i="1" s="1"/>
  <c r="X1351" i="1"/>
  <c r="G1351" i="1"/>
  <c r="D1351" i="1"/>
  <c r="C1351" i="1"/>
  <c r="AL1350" i="1"/>
  <c r="AK1350" i="1"/>
  <c r="AJ1350" i="1" a="1"/>
  <c r="AJ1350" i="1" s="1"/>
  <c r="AN1350" i="1" s="1"/>
  <c r="AI1350" i="1" a="1"/>
  <c r="AI1350" i="1" s="1"/>
  <c r="AM1350" i="1" s="1"/>
  <c r="AH1350" i="1"/>
  <c r="AC1350" i="1"/>
  <c r="AA1350" i="1"/>
  <c r="Y1350" i="1"/>
  <c r="Z1350" i="1" s="1"/>
  <c r="X1350" i="1"/>
  <c r="G1350" i="1"/>
  <c r="D1350" i="1"/>
  <c r="C1350" i="1"/>
  <c r="AL1349" i="1"/>
  <c r="AK1349" i="1"/>
  <c r="AJ1349" i="1" a="1"/>
  <c r="AJ1349" i="1" s="1"/>
  <c r="AN1349" i="1" s="1"/>
  <c r="AI1349" i="1" a="1"/>
  <c r="AI1349" i="1" s="1"/>
  <c r="AM1349" i="1" s="1"/>
  <c r="AH1349" i="1"/>
  <c r="AC1349" i="1"/>
  <c r="AA1349" i="1"/>
  <c r="Y1349" i="1"/>
  <c r="Z1349" i="1" s="1"/>
  <c r="X1349" i="1"/>
  <c r="G1349" i="1"/>
  <c r="D1349" i="1"/>
  <c r="C1349" i="1"/>
  <c r="AL1348" i="1"/>
  <c r="AK1348" i="1"/>
  <c r="AJ1348" i="1" a="1"/>
  <c r="AJ1348" i="1" s="1"/>
  <c r="AN1348" i="1" s="1"/>
  <c r="AI1348" i="1" a="1"/>
  <c r="AI1348" i="1" s="1"/>
  <c r="AM1348" i="1" s="1"/>
  <c r="AH1348" i="1"/>
  <c r="AC1348" i="1"/>
  <c r="AA1348" i="1"/>
  <c r="Y1348" i="1"/>
  <c r="Z1348" i="1" s="1"/>
  <c r="X1348" i="1"/>
  <c r="G1348" i="1"/>
  <c r="D1348" i="1"/>
  <c r="C1348" i="1"/>
  <c r="AL1347" i="1"/>
  <c r="AK1347" i="1"/>
  <c r="AJ1347" i="1" a="1"/>
  <c r="AJ1347" i="1" s="1"/>
  <c r="AN1347" i="1" s="1"/>
  <c r="AI1347" i="1" a="1"/>
  <c r="AI1347" i="1" s="1"/>
  <c r="AM1347" i="1" s="1"/>
  <c r="AH1347" i="1"/>
  <c r="AA1347" i="1"/>
  <c r="Y1347" i="1"/>
  <c r="Z1347" i="1" s="1"/>
  <c r="X1347" i="1"/>
  <c r="G1347" i="1"/>
  <c r="D1347" i="1"/>
  <c r="C1347" i="1"/>
  <c r="AL1346" i="1"/>
  <c r="AK1346" i="1"/>
  <c r="AJ1346" i="1" a="1"/>
  <c r="AJ1346" i="1" s="1"/>
  <c r="AN1346" i="1" s="1"/>
  <c r="AI1346" i="1" a="1"/>
  <c r="AI1346" i="1" s="1"/>
  <c r="AM1346" i="1" s="1"/>
  <c r="AH1346" i="1"/>
  <c r="AA1346" i="1"/>
  <c r="Y1346" i="1"/>
  <c r="Z1346" i="1" s="1"/>
  <c r="X1346" i="1"/>
  <c r="G1346" i="1"/>
  <c r="D1346" i="1"/>
  <c r="C1346" i="1"/>
  <c r="AL1345" i="1"/>
  <c r="AK1345" i="1"/>
  <c r="AJ1345" i="1" a="1"/>
  <c r="AJ1345" i="1" s="1"/>
  <c r="AN1345" i="1" s="1"/>
  <c r="AI1345" i="1" a="1"/>
  <c r="AI1345" i="1" s="1"/>
  <c r="AM1345" i="1" s="1"/>
  <c r="AH1345" i="1"/>
  <c r="AA1345" i="1"/>
  <c r="Y1345" i="1"/>
  <c r="Z1345" i="1" s="1"/>
  <c r="X1345" i="1"/>
  <c r="G1345" i="1"/>
  <c r="D1345" i="1"/>
  <c r="C1345" i="1"/>
  <c r="AL1344" i="1"/>
  <c r="AK1344" i="1"/>
  <c r="AJ1344" i="1" a="1"/>
  <c r="AJ1344" i="1" s="1"/>
  <c r="AN1344" i="1" s="1"/>
  <c r="AI1344" i="1" a="1"/>
  <c r="AI1344" i="1" s="1"/>
  <c r="AM1344" i="1" s="1"/>
  <c r="AH1344" i="1"/>
  <c r="AA1344" i="1"/>
  <c r="Y1344" i="1"/>
  <c r="Z1344" i="1" s="1"/>
  <c r="X1344" i="1"/>
  <c r="G1344" i="1"/>
  <c r="D1344" i="1"/>
  <c r="C1344" i="1"/>
  <c r="AL1343" i="1"/>
  <c r="AK1343" i="1"/>
  <c r="AJ1343" i="1" a="1"/>
  <c r="AJ1343" i="1" s="1"/>
  <c r="AN1343" i="1" s="1"/>
  <c r="AI1343" i="1" a="1"/>
  <c r="AI1343" i="1" s="1"/>
  <c r="AM1343" i="1" s="1"/>
  <c r="AH1343" i="1"/>
  <c r="AA1343" i="1"/>
  <c r="Y1343" i="1"/>
  <c r="Z1343" i="1" s="1"/>
  <c r="X1343" i="1"/>
  <c r="G1343" i="1"/>
  <c r="D1343" i="1"/>
  <c r="C1343" i="1"/>
  <c r="AL1342" i="1"/>
  <c r="AK1342" i="1"/>
  <c r="AJ1342" i="1" a="1"/>
  <c r="AJ1342" i="1" s="1"/>
  <c r="AN1342" i="1" s="1"/>
  <c r="AI1342" i="1" a="1"/>
  <c r="AI1342" i="1" s="1"/>
  <c r="AM1342" i="1" s="1"/>
  <c r="AH1342" i="1"/>
  <c r="AA1342" i="1"/>
  <c r="Y1342" i="1"/>
  <c r="Z1342" i="1" s="1"/>
  <c r="X1342" i="1"/>
  <c r="G1342" i="1"/>
  <c r="D1342" i="1"/>
  <c r="C1342" i="1"/>
  <c r="AL1341" i="1"/>
  <c r="AK1341" i="1"/>
  <c r="AJ1341" i="1" a="1"/>
  <c r="AJ1341" i="1" s="1"/>
  <c r="AN1341" i="1" s="1"/>
  <c r="AI1341" i="1" a="1"/>
  <c r="AI1341" i="1" s="1"/>
  <c r="AM1341" i="1" s="1"/>
  <c r="AH1341" i="1"/>
  <c r="AA1341" i="1"/>
  <c r="Y1341" i="1"/>
  <c r="Z1341" i="1" s="1"/>
  <c r="X1341" i="1"/>
  <c r="G1341" i="1"/>
  <c r="D1341" i="1"/>
  <c r="C1341" i="1"/>
  <c r="AL1340" i="1"/>
  <c r="AK1340" i="1"/>
  <c r="AJ1340" i="1" a="1"/>
  <c r="AJ1340" i="1" s="1"/>
  <c r="AN1340" i="1" s="1"/>
  <c r="AI1340" i="1" a="1"/>
  <c r="AI1340" i="1" s="1"/>
  <c r="AM1340" i="1" s="1"/>
  <c r="AH1340" i="1"/>
  <c r="AA1340" i="1"/>
  <c r="Y1340" i="1"/>
  <c r="Z1340" i="1" s="1"/>
  <c r="X1340" i="1"/>
  <c r="G1340" i="1"/>
  <c r="D1340" i="1"/>
  <c r="C1340" i="1"/>
  <c r="AL1339" i="1"/>
  <c r="AK1339" i="1"/>
  <c r="AJ1339" i="1" a="1"/>
  <c r="AJ1339" i="1" s="1"/>
  <c r="AN1339" i="1" s="1"/>
  <c r="AI1339" i="1" a="1"/>
  <c r="AI1339" i="1" s="1"/>
  <c r="AM1339" i="1" s="1"/>
  <c r="AH1339" i="1"/>
  <c r="AC1339" i="1"/>
  <c r="AA1339" i="1"/>
  <c r="Y1339" i="1"/>
  <c r="Z1339" i="1" s="1"/>
  <c r="X1339" i="1"/>
  <c r="G1339" i="1"/>
  <c r="D1339" i="1"/>
  <c r="C1339" i="1"/>
  <c r="AL1338" i="1"/>
  <c r="AK1338" i="1"/>
  <c r="AJ1338" i="1" a="1"/>
  <c r="AJ1338" i="1" s="1"/>
  <c r="AN1338" i="1" s="1"/>
  <c r="AI1338" i="1" a="1"/>
  <c r="AI1338" i="1" s="1"/>
  <c r="AM1338" i="1" s="1"/>
  <c r="AH1338" i="1"/>
  <c r="AC1338" i="1"/>
  <c r="AA1338" i="1"/>
  <c r="Y1338" i="1"/>
  <c r="Z1338" i="1" s="1"/>
  <c r="X1338" i="1"/>
  <c r="G1338" i="1"/>
  <c r="D1338" i="1"/>
  <c r="C1338" i="1"/>
  <c r="AL1337" i="1"/>
  <c r="AK1337" i="1"/>
  <c r="AJ1337" i="1" a="1"/>
  <c r="AJ1337" i="1" s="1"/>
  <c r="AN1337" i="1" s="1"/>
  <c r="AI1337" i="1" a="1"/>
  <c r="AI1337" i="1" s="1"/>
  <c r="AM1337" i="1" s="1"/>
  <c r="AH1337" i="1"/>
  <c r="AC1337" i="1"/>
  <c r="AA1337" i="1"/>
  <c r="Y1337" i="1"/>
  <c r="Z1337" i="1" s="1"/>
  <c r="X1337" i="1"/>
  <c r="G1337" i="1"/>
  <c r="D1337" i="1"/>
  <c r="C1337" i="1"/>
  <c r="AL1336" i="1"/>
  <c r="AK1336" i="1"/>
  <c r="AJ1336" i="1" a="1"/>
  <c r="AJ1336" i="1" s="1"/>
  <c r="AN1336" i="1" s="1"/>
  <c r="AI1336" i="1" a="1"/>
  <c r="AI1336" i="1" s="1"/>
  <c r="AM1336" i="1" s="1"/>
  <c r="AH1336" i="1"/>
  <c r="AC1336" i="1"/>
  <c r="AA1336" i="1"/>
  <c r="Y1336" i="1"/>
  <c r="Z1336" i="1" s="1"/>
  <c r="X1336" i="1"/>
  <c r="G1336" i="1"/>
  <c r="D1336" i="1"/>
  <c r="C1336" i="1"/>
  <c r="AL1335" i="1"/>
  <c r="AK1335" i="1"/>
  <c r="AJ1335" i="1" a="1"/>
  <c r="AJ1335" i="1" s="1"/>
  <c r="AN1335" i="1" s="1"/>
  <c r="AI1335" i="1" a="1"/>
  <c r="AI1335" i="1" s="1"/>
  <c r="AM1335" i="1" s="1"/>
  <c r="AH1335" i="1"/>
  <c r="AC1335" i="1"/>
  <c r="AA1335" i="1"/>
  <c r="Y1335" i="1"/>
  <c r="Z1335" i="1" s="1"/>
  <c r="X1335" i="1"/>
  <c r="G1335" i="1"/>
  <c r="D1335" i="1"/>
  <c r="C1335" i="1"/>
  <c r="AL1334" i="1"/>
  <c r="AK1334" i="1"/>
  <c r="AJ1334" i="1" a="1"/>
  <c r="AJ1334" i="1" s="1"/>
  <c r="AN1334" i="1" s="1"/>
  <c r="AI1334" i="1" a="1"/>
  <c r="AI1334" i="1" s="1"/>
  <c r="AM1334" i="1" s="1"/>
  <c r="AH1334" i="1"/>
  <c r="AC1334" i="1"/>
  <c r="AA1334" i="1"/>
  <c r="Y1334" i="1"/>
  <c r="Z1334" i="1" s="1"/>
  <c r="X1334" i="1"/>
  <c r="G1334" i="1"/>
  <c r="D1334" i="1"/>
  <c r="C1334" i="1"/>
  <c r="AL1333" i="1"/>
  <c r="AK1333" i="1"/>
  <c r="AJ1333" i="1" a="1"/>
  <c r="AJ1333" i="1" s="1"/>
  <c r="AN1333" i="1" s="1"/>
  <c r="AI1333" i="1" a="1"/>
  <c r="AI1333" i="1" s="1"/>
  <c r="AM1333" i="1" s="1"/>
  <c r="AH1333" i="1"/>
  <c r="AC1333" i="1"/>
  <c r="AA1333" i="1"/>
  <c r="Y1333" i="1"/>
  <c r="Z1333" i="1" s="1"/>
  <c r="X1333" i="1"/>
  <c r="G1333" i="1"/>
  <c r="D1333" i="1"/>
  <c r="C1333" i="1"/>
  <c r="AL1332" i="1"/>
  <c r="AK1332" i="1"/>
  <c r="AJ1332" i="1" a="1"/>
  <c r="AJ1332" i="1" s="1"/>
  <c r="AN1332" i="1" s="1"/>
  <c r="AI1332" i="1" a="1"/>
  <c r="AI1332" i="1" s="1"/>
  <c r="AM1332" i="1" s="1"/>
  <c r="AH1332" i="1"/>
  <c r="AC1332" i="1"/>
  <c r="AA1332" i="1"/>
  <c r="Y1332" i="1"/>
  <c r="Z1332" i="1" s="1"/>
  <c r="X1332" i="1"/>
  <c r="G1332" i="1"/>
  <c r="D1332" i="1"/>
  <c r="C1332" i="1"/>
  <c r="AL1331" i="1"/>
  <c r="AK1331" i="1"/>
  <c r="AJ1331" i="1" a="1"/>
  <c r="AJ1331" i="1" s="1"/>
  <c r="AN1331" i="1" s="1"/>
  <c r="AI1331" i="1" a="1"/>
  <c r="AI1331" i="1" s="1"/>
  <c r="AM1331" i="1" s="1"/>
  <c r="AH1331" i="1"/>
  <c r="AC1331" i="1"/>
  <c r="AA1331" i="1"/>
  <c r="Y1331" i="1"/>
  <c r="Z1331" i="1" s="1"/>
  <c r="X1331" i="1"/>
  <c r="G1331" i="1"/>
  <c r="D1331" i="1"/>
  <c r="C1331" i="1"/>
  <c r="AL1330" i="1"/>
  <c r="AK1330" i="1"/>
  <c r="AJ1330" i="1" a="1"/>
  <c r="AJ1330" i="1" s="1"/>
  <c r="AN1330" i="1" s="1"/>
  <c r="AI1330" i="1" a="1"/>
  <c r="AI1330" i="1" s="1"/>
  <c r="AM1330" i="1" s="1"/>
  <c r="AH1330" i="1"/>
  <c r="AC1330" i="1"/>
  <c r="AA1330" i="1"/>
  <c r="Y1330" i="1"/>
  <c r="Z1330" i="1" s="1"/>
  <c r="X1330" i="1"/>
  <c r="G1330" i="1"/>
  <c r="D1330" i="1"/>
  <c r="C1330" i="1"/>
  <c r="AL1329" i="1"/>
  <c r="AK1329" i="1"/>
  <c r="AJ1329" i="1" a="1"/>
  <c r="AJ1329" i="1" s="1"/>
  <c r="AN1329" i="1" s="1"/>
  <c r="AI1329" i="1" a="1"/>
  <c r="AI1329" i="1" s="1"/>
  <c r="AM1329" i="1" s="1"/>
  <c r="AH1329" i="1"/>
  <c r="AC1329" i="1"/>
  <c r="AA1329" i="1"/>
  <c r="Y1329" i="1"/>
  <c r="Z1329" i="1" s="1"/>
  <c r="X1329" i="1"/>
  <c r="G1329" i="1"/>
  <c r="D1329" i="1"/>
  <c r="C1329" i="1"/>
  <c r="AL1328" i="1"/>
  <c r="AK1328" i="1"/>
  <c r="AJ1328" i="1" a="1"/>
  <c r="AJ1328" i="1" s="1"/>
  <c r="AN1328" i="1" s="1"/>
  <c r="AI1328" i="1" a="1"/>
  <c r="AI1328" i="1" s="1"/>
  <c r="AM1328" i="1" s="1"/>
  <c r="AH1328" i="1"/>
  <c r="AC1328" i="1"/>
  <c r="AA1328" i="1"/>
  <c r="Y1328" i="1"/>
  <c r="Z1328" i="1" s="1"/>
  <c r="X1328" i="1"/>
  <c r="G1328" i="1"/>
  <c r="D1328" i="1"/>
  <c r="C1328" i="1"/>
  <c r="AL1327" i="1"/>
  <c r="AK1327" i="1"/>
  <c r="AJ1327" i="1" a="1"/>
  <c r="AJ1327" i="1" s="1"/>
  <c r="AN1327" i="1" s="1"/>
  <c r="AI1327" i="1" a="1"/>
  <c r="AI1327" i="1" s="1"/>
  <c r="AM1327" i="1" s="1"/>
  <c r="AH1327" i="1"/>
  <c r="AC1327" i="1"/>
  <c r="AA1327" i="1"/>
  <c r="Y1327" i="1"/>
  <c r="Z1327" i="1" s="1"/>
  <c r="X1327" i="1"/>
  <c r="G1327" i="1"/>
  <c r="D1327" i="1"/>
  <c r="C1327" i="1"/>
  <c r="AL1326" i="1"/>
  <c r="AK1326" i="1"/>
  <c r="AJ1326" i="1" a="1"/>
  <c r="AJ1326" i="1" s="1"/>
  <c r="AN1326" i="1" s="1"/>
  <c r="AI1326" i="1" a="1"/>
  <c r="AI1326" i="1" s="1"/>
  <c r="AM1326" i="1" s="1"/>
  <c r="AH1326" i="1"/>
  <c r="AC1326" i="1"/>
  <c r="AA1326" i="1"/>
  <c r="Y1326" i="1"/>
  <c r="Z1326" i="1" s="1"/>
  <c r="X1326" i="1"/>
  <c r="G1326" i="1"/>
  <c r="D1326" i="1"/>
  <c r="C1326" i="1"/>
  <c r="AL1325" i="1"/>
  <c r="AK1325" i="1"/>
  <c r="AJ1325" i="1" a="1"/>
  <c r="AJ1325" i="1" s="1"/>
  <c r="AN1325" i="1" s="1"/>
  <c r="AI1325" i="1" a="1"/>
  <c r="AI1325" i="1" s="1"/>
  <c r="AM1325" i="1" s="1"/>
  <c r="AH1325" i="1"/>
  <c r="AC1325" i="1"/>
  <c r="AA1325" i="1"/>
  <c r="Y1325" i="1"/>
  <c r="Z1325" i="1" s="1"/>
  <c r="X1325" i="1"/>
  <c r="G1325" i="1"/>
  <c r="D1325" i="1"/>
  <c r="C1325" i="1"/>
  <c r="AL1324" i="1"/>
  <c r="AK1324" i="1"/>
  <c r="AJ1324" i="1" a="1"/>
  <c r="AJ1324" i="1" s="1"/>
  <c r="AN1324" i="1" s="1"/>
  <c r="AI1324" i="1" a="1"/>
  <c r="AI1324" i="1" s="1"/>
  <c r="AM1324" i="1" s="1"/>
  <c r="AH1324" i="1"/>
  <c r="AC1324" i="1"/>
  <c r="AA1324" i="1"/>
  <c r="Y1324" i="1"/>
  <c r="Z1324" i="1" s="1"/>
  <c r="X1324" i="1"/>
  <c r="G1324" i="1"/>
  <c r="D1324" i="1"/>
  <c r="C1324" i="1"/>
  <c r="AL1323" i="1"/>
  <c r="AK1323" i="1"/>
  <c r="AJ1323" i="1" a="1"/>
  <c r="AJ1323" i="1" s="1"/>
  <c r="AN1323" i="1" s="1"/>
  <c r="AI1323" i="1" a="1"/>
  <c r="AI1323" i="1" s="1"/>
  <c r="AM1323" i="1" s="1"/>
  <c r="AH1323" i="1"/>
  <c r="AC1323" i="1"/>
  <c r="AA1323" i="1"/>
  <c r="Y1323" i="1"/>
  <c r="Z1323" i="1" s="1"/>
  <c r="X1323" i="1"/>
  <c r="G1323" i="1"/>
  <c r="D1323" i="1"/>
  <c r="C1323" i="1"/>
  <c r="AL1322" i="1"/>
  <c r="AK1322" i="1"/>
  <c r="AJ1322" i="1" a="1"/>
  <c r="AJ1322" i="1" s="1"/>
  <c r="AN1322" i="1" s="1"/>
  <c r="AI1322" i="1" a="1"/>
  <c r="AI1322" i="1" s="1"/>
  <c r="AM1322" i="1" s="1"/>
  <c r="AH1322" i="1"/>
  <c r="AC1322" i="1"/>
  <c r="AA1322" i="1"/>
  <c r="Y1322" i="1"/>
  <c r="Z1322" i="1" s="1"/>
  <c r="X1322" i="1"/>
  <c r="G1322" i="1"/>
  <c r="D1322" i="1"/>
  <c r="C1322" i="1"/>
  <c r="AL1321" i="1"/>
  <c r="AK1321" i="1"/>
  <c r="AJ1321" i="1" a="1"/>
  <c r="AJ1321" i="1" s="1"/>
  <c r="AN1321" i="1" s="1"/>
  <c r="AI1321" i="1" a="1"/>
  <c r="AI1321" i="1" s="1"/>
  <c r="AM1321" i="1" s="1"/>
  <c r="AH1321" i="1"/>
  <c r="AC1321" i="1"/>
  <c r="AA1321" i="1"/>
  <c r="Y1321" i="1"/>
  <c r="Z1321" i="1" s="1"/>
  <c r="X1321" i="1"/>
  <c r="G1321" i="1"/>
  <c r="D1321" i="1"/>
  <c r="C1321" i="1"/>
  <c r="AL1320" i="1"/>
  <c r="AK1320" i="1"/>
  <c r="AJ1320" i="1" a="1"/>
  <c r="AJ1320" i="1" s="1"/>
  <c r="AN1320" i="1" s="1"/>
  <c r="AI1320" i="1" a="1"/>
  <c r="AI1320" i="1" s="1"/>
  <c r="AM1320" i="1" s="1"/>
  <c r="AH1320" i="1"/>
  <c r="AA1320" i="1"/>
  <c r="Y1320" i="1"/>
  <c r="W1320" i="1"/>
  <c r="X1320" i="1" s="1"/>
  <c r="G1320" i="1"/>
  <c r="D1320" i="1"/>
  <c r="C1320" i="1"/>
  <c r="AL1319" i="1"/>
  <c r="AK1319" i="1"/>
  <c r="AJ1319" i="1" a="1"/>
  <c r="AJ1319" i="1" s="1"/>
  <c r="AN1319" i="1" s="1"/>
  <c r="AI1319" i="1" a="1"/>
  <c r="AI1319" i="1" s="1"/>
  <c r="AM1319" i="1" s="1"/>
  <c r="AH1319" i="1"/>
  <c r="AA1319" i="1"/>
  <c r="Y1319" i="1"/>
  <c r="W1319" i="1"/>
  <c r="X1319" i="1" s="1"/>
  <c r="G1319" i="1"/>
  <c r="D1319" i="1"/>
  <c r="C1319" i="1"/>
  <c r="AL1318" i="1"/>
  <c r="AK1318" i="1"/>
  <c r="AJ1318" i="1" a="1"/>
  <c r="AJ1318" i="1" s="1"/>
  <c r="AN1318" i="1" s="1"/>
  <c r="AI1318" i="1" a="1"/>
  <c r="AI1318" i="1" s="1"/>
  <c r="AM1318" i="1" s="1"/>
  <c r="AH1318" i="1"/>
  <c r="AA1318" i="1"/>
  <c r="Y1318" i="1"/>
  <c r="W1318" i="1"/>
  <c r="G1318" i="1"/>
  <c r="D1318" i="1"/>
  <c r="C1318" i="1"/>
  <c r="AL1317" i="1"/>
  <c r="AK1317" i="1"/>
  <c r="AJ1317" i="1" a="1"/>
  <c r="AJ1317" i="1" s="1"/>
  <c r="AN1317" i="1" s="1"/>
  <c r="AI1317" i="1" a="1"/>
  <c r="AI1317" i="1" s="1"/>
  <c r="AM1317" i="1" s="1"/>
  <c r="AH1317" i="1"/>
  <c r="AA1317" i="1"/>
  <c r="Y1317" i="1"/>
  <c r="W1317" i="1"/>
  <c r="G1317" i="1"/>
  <c r="D1317" i="1"/>
  <c r="C1317" i="1"/>
  <c r="AL1316" i="1"/>
  <c r="AK1316" i="1"/>
  <c r="AJ1316" i="1" a="1"/>
  <c r="AJ1316" i="1" s="1"/>
  <c r="AN1316" i="1" s="1"/>
  <c r="AI1316" i="1" a="1"/>
  <c r="AI1316" i="1" s="1"/>
  <c r="AM1316" i="1" s="1"/>
  <c r="AH1316" i="1"/>
  <c r="AA1316" i="1"/>
  <c r="Y1316" i="1"/>
  <c r="W1316" i="1"/>
  <c r="G1316" i="1"/>
  <c r="D1316" i="1"/>
  <c r="C1316" i="1"/>
  <c r="AL1315" i="1"/>
  <c r="AK1315" i="1"/>
  <c r="AJ1315" i="1" a="1"/>
  <c r="AJ1315" i="1" s="1"/>
  <c r="AN1315" i="1" s="1"/>
  <c r="AI1315" i="1" a="1"/>
  <c r="AI1315" i="1" s="1"/>
  <c r="AM1315" i="1" s="1"/>
  <c r="AH1315" i="1"/>
  <c r="AA1315" i="1"/>
  <c r="Y1315" i="1"/>
  <c r="W1315" i="1"/>
  <c r="G1315" i="1"/>
  <c r="D1315" i="1"/>
  <c r="C1315" i="1"/>
  <c r="AL1314" i="1"/>
  <c r="AK1314" i="1"/>
  <c r="AJ1314" i="1" a="1"/>
  <c r="AJ1314" i="1" s="1"/>
  <c r="AN1314" i="1" s="1"/>
  <c r="AI1314" i="1" a="1"/>
  <c r="AI1314" i="1" s="1"/>
  <c r="AM1314" i="1" s="1"/>
  <c r="AH1314" i="1"/>
  <c r="AA1314" i="1"/>
  <c r="Y1314" i="1"/>
  <c r="W1314" i="1"/>
  <c r="X1314" i="1" s="1"/>
  <c r="G1314" i="1"/>
  <c r="D1314" i="1"/>
  <c r="C1314" i="1"/>
  <c r="AL1313" i="1"/>
  <c r="AK1313" i="1"/>
  <c r="AJ1313" i="1" a="1"/>
  <c r="AJ1313" i="1" s="1"/>
  <c r="AN1313" i="1" s="1"/>
  <c r="AI1313" i="1" a="1"/>
  <c r="AI1313" i="1" s="1"/>
  <c r="AM1313" i="1" s="1"/>
  <c r="AH1313" i="1"/>
  <c r="AA1313" i="1"/>
  <c r="Y1313" i="1"/>
  <c r="W1313" i="1"/>
  <c r="G1313" i="1"/>
  <c r="D1313" i="1"/>
  <c r="C1313" i="1"/>
  <c r="AL1312" i="1"/>
  <c r="AK1312" i="1"/>
  <c r="AJ1312" i="1" a="1"/>
  <c r="AJ1312" i="1" s="1"/>
  <c r="AN1312" i="1" s="1"/>
  <c r="AI1312" i="1" a="1"/>
  <c r="AI1312" i="1" s="1"/>
  <c r="AM1312" i="1" s="1"/>
  <c r="AH1312" i="1"/>
  <c r="AA1312" i="1"/>
  <c r="Y1312" i="1"/>
  <c r="W1312" i="1"/>
  <c r="X1312" i="1" s="1"/>
  <c r="G1312" i="1"/>
  <c r="D1312" i="1"/>
  <c r="C1312" i="1"/>
  <c r="AL1311" i="1"/>
  <c r="AK1311" i="1"/>
  <c r="AJ1311" i="1" a="1"/>
  <c r="AJ1311" i="1" s="1"/>
  <c r="AN1311" i="1" s="1"/>
  <c r="AI1311" i="1" a="1"/>
  <c r="AI1311" i="1" s="1"/>
  <c r="AM1311" i="1" s="1"/>
  <c r="AH1311" i="1"/>
  <c r="AB1311" i="1"/>
  <c r="AC1311" i="1" s="1"/>
  <c r="AA1311" i="1"/>
  <c r="Y1311" i="1"/>
  <c r="W1311" i="1"/>
  <c r="G1311" i="1"/>
  <c r="D1311" i="1"/>
  <c r="C1311" i="1"/>
  <c r="AL1310" i="1"/>
  <c r="AK1310" i="1"/>
  <c r="AJ1310" i="1" a="1"/>
  <c r="AJ1310" i="1" s="1"/>
  <c r="AN1310" i="1" s="1"/>
  <c r="AI1310" i="1" a="1"/>
  <c r="AI1310" i="1" s="1"/>
  <c r="AM1310" i="1" s="1"/>
  <c r="AH1310" i="1"/>
  <c r="AC1310" i="1"/>
  <c r="AA1310" i="1"/>
  <c r="Y1310" i="1"/>
  <c r="Z1310" i="1" s="1"/>
  <c r="X1310" i="1"/>
  <c r="G1310" i="1"/>
  <c r="D1310" i="1"/>
  <c r="C1310" i="1"/>
  <c r="AL1309" i="1"/>
  <c r="AK1309" i="1"/>
  <c r="AJ1309" i="1" a="1"/>
  <c r="AJ1309" i="1" s="1"/>
  <c r="AN1309" i="1" s="1"/>
  <c r="AI1309" i="1" a="1"/>
  <c r="AI1309" i="1" s="1"/>
  <c r="AM1309" i="1" s="1"/>
  <c r="AH1309" i="1"/>
  <c r="AC1309" i="1"/>
  <c r="AA1309" i="1"/>
  <c r="Y1309" i="1"/>
  <c r="Z1309" i="1" s="1"/>
  <c r="X1309" i="1"/>
  <c r="G1309" i="1"/>
  <c r="D1309" i="1"/>
  <c r="C1309" i="1"/>
  <c r="AL1308" i="1"/>
  <c r="AK1308" i="1"/>
  <c r="AJ1308" i="1" a="1"/>
  <c r="AJ1308" i="1" s="1"/>
  <c r="AN1308" i="1" s="1"/>
  <c r="AI1308" i="1" a="1"/>
  <c r="AI1308" i="1" s="1"/>
  <c r="AM1308" i="1" s="1"/>
  <c r="AH1308" i="1"/>
  <c r="AC1308" i="1"/>
  <c r="AA1308" i="1"/>
  <c r="Y1308" i="1"/>
  <c r="Z1308" i="1" s="1"/>
  <c r="X1308" i="1"/>
  <c r="G1308" i="1"/>
  <c r="D1308" i="1"/>
  <c r="C1308" i="1"/>
  <c r="AL1307" i="1"/>
  <c r="AK1307" i="1"/>
  <c r="AJ1307" i="1" a="1"/>
  <c r="AJ1307" i="1" s="1"/>
  <c r="AN1307" i="1" s="1"/>
  <c r="AI1307" i="1" a="1"/>
  <c r="AI1307" i="1" s="1"/>
  <c r="AM1307" i="1" s="1"/>
  <c r="AH1307" i="1"/>
  <c r="AC1307" i="1"/>
  <c r="AA1307" i="1"/>
  <c r="Y1307" i="1"/>
  <c r="Z1307" i="1" s="1"/>
  <c r="X1307" i="1"/>
  <c r="G1307" i="1"/>
  <c r="D1307" i="1"/>
  <c r="C1307" i="1"/>
  <c r="AL1306" i="1"/>
  <c r="AK1306" i="1"/>
  <c r="AJ1306" i="1" a="1"/>
  <c r="AJ1306" i="1" s="1"/>
  <c r="AN1306" i="1" s="1"/>
  <c r="AI1306" i="1" a="1"/>
  <c r="AI1306" i="1" s="1"/>
  <c r="AM1306" i="1" s="1"/>
  <c r="AH1306" i="1"/>
  <c r="AC1306" i="1"/>
  <c r="AA1306" i="1"/>
  <c r="Y1306" i="1"/>
  <c r="Z1306" i="1" s="1"/>
  <c r="X1306" i="1"/>
  <c r="G1306" i="1"/>
  <c r="D1306" i="1"/>
  <c r="C1306" i="1"/>
  <c r="AL1305" i="1"/>
  <c r="AK1305" i="1"/>
  <c r="AJ1305" i="1" a="1"/>
  <c r="AJ1305" i="1" s="1"/>
  <c r="AN1305" i="1" s="1"/>
  <c r="AI1305" i="1" a="1"/>
  <c r="AI1305" i="1" s="1"/>
  <c r="AM1305" i="1" s="1"/>
  <c r="AH1305" i="1"/>
  <c r="AC1305" i="1"/>
  <c r="AA1305" i="1"/>
  <c r="Y1305" i="1"/>
  <c r="Z1305" i="1" s="1"/>
  <c r="X1305" i="1"/>
  <c r="G1305" i="1"/>
  <c r="D1305" i="1"/>
  <c r="C1305" i="1"/>
  <c r="AL1304" i="1"/>
  <c r="AK1304" i="1"/>
  <c r="AJ1304" i="1" a="1"/>
  <c r="AJ1304" i="1" s="1"/>
  <c r="AN1304" i="1" s="1"/>
  <c r="AI1304" i="1" a="1"/>
  <c r="AI1304" i="1" s="1"/>
  <c r="AM1304" i="1" s="1"/>
  <c r="AH1304" i="1"/>
  <c r="AC1304" i="1"/>
  <c r="AA1304" i="1"/>
  <c r="Y1304" i="1"/>
  <c r="Z1304" i="1" s="1"/>
  <c r="X1304" i="1"/>
  <c r="G1304" i="1"/>
  <c r="D1304" i="1"/>
  <c r="C1304" i="1"/>
  <c r="AL1303" i="1"/>
  <c r="AK1303" i="1"/>
  <c r="AJ1303" i="1" a="1"/>
  <c r="AJ1303" i="1" s="1"/>
  <c r="AN1303" i="1" s="1"/>
  <c r="AI1303" i="1" a="1"/>
  <c r="AI1303" i="1" s="1"/>
  <c r="AM1303" i="1" s="1"/>
  <c r="AH1303" i="1"/>
  <c r="AC1303" i="1"/>
  <c r="AA1303" i="1"/>
  <c r="Y1303" i="1"/>
  <c r="Z1303" i="1" s="1"/>
  <c r="X1303" i="1"/>
  <c r="G1303" i="1"/>
  <c r="D1303" i="1"/>
  <c r="C1303" i="1"/>
  <c r="AL1302" i="1"/>
  <c r="AK1302" i="1"/>
  <c r="AJ1302" i="1" a="1"/>
  <c r="AJ1302" i="1" s="1"/>
  <c r="AN1302" i="1" s="1"/>
  <c r="AI1302" i="1" a="1"/>
  <c r="AI1302" i="1" s="1"/>
  <c r="AM1302" i="1" s="1"/>
  <c r="AH1302" i="1"/>
  <c r="AC1302" i="1"/>
  <c r="AA1302" i="1"/>
  <c r="Y1302" i="1"/>
  <c r="Z1302" i="1" s="1"/>
  <c r="X1302" i="1"/>
  <c r="G1302" i="1"/>
  <c r="D1302" i="1"/>
  <c r="C1302" i="1"/>
  <c r="AL1301" i="1"/>
  <c r="AK1301" i="1"/>
  <c r="AJ1301" i="1" a="1"/>
  <c r="AJ1301" i="1" s="1"/>
  <c r="AN1301" i="1" s="1"/>
  <c r="AI1301" i="1" a="1"/>
  <c r="AI1301" i="1" s="1"/>
  <c r="AM1301" i="1" s="1"/>
  <c r="AH1301" i="1"/>
  <c r="AC1301" i="1"/>
  <c r="AA1301" i="1"/>
  <c r="Y1301" i="1"/>
  <c r="Z1301" i="1" s="1"/>
  <c r="X1301" i="1"/>
  <c r="G1301" i="1"/>
  <c r="D1301" i="1"/>
  <c r="C1301" i="1"/>
  <c r="AL1300" i="1"/>
  <c r="AK1300" i="1"/>
  <c r="AJ1300" i="1" a="1"/>
  <c r="AJ1300" i="1" s="1"/>
  <c r="AN1300" i="1" s="1"/>
  <c r="AI1300" i="1" a="1"/>
  <c r="AI1300" i="1" s="1"/>
  <c r="AM1300" i="1" s="1"/>
  <c r="AH1300" i="1"/>
  <c r="AC1300" i="1"/>
  <c r="AA1300" i="1"/>
  <c r="Y1300" i="1"/>
  <c r="Z1300" i="1" s="1"/>
  <c r="X1300" i="1"/>
  <c r="G1300" i="1"/>
  <c r="D1300" i="1"/>
  <c r="C1300" i="1"/>
  <c r="AL1299" i="1"/>
  <c r="AK1299" i="1"/>
  <c r="AJ1299" i="1" a="1"/>
  <c r="AJ1299" i="1" s="1"/>
  <c r="AN1299" i="1" s="1"/>
  <c r="AI1299" i="1" a="1"/>
  <c r="AI1299" i="1" s="1"/>
  <c r="AM1299" i="1" s="1"/>
  <c r="AH1299" i="1"/>
  <c r="AC1299" i="1"/>
  <c r="AA1299" i="1"/>
  <c r="Y1299" i="1"/>
  <c r="Z1299" i="1" s="1"/>
  <c r="X1299" i="1"/>
  <c r="G1299" i="1"/>
  <c r="D1299" i="1"/>
  <c r="C1299" i="1"/>
  <c r="AL1298" i="1"/>
  <c r="AK1298" i="1"/>
  <c r="AJ1298" i="1" a="1"/>
  <c r="AJ1298" i="1" s="1"/>
  <c r="AN1298" i="1" s="1"/>
  <c r="AI1298" i="1" a="1"/>
  <c r="AI1298" i="1" s="1"/>
  <c r="AM1298" i="1" s="1"/>
  <c r="AH1298" i="1"/>
  <c r="AC1298" i="1"/>
  <c r="AA1298" i="1"/>
  <c r="Y1298" i="1"/>
  <c r="Z1298" i="1" s="1"/>
  <c r="X1298" i="1"/>
  <c r="G1298" i="1"/>
  <c r="D1298" i="1"/>
  <c r="C1298" i="1"/>
  <c r="AL1297" i="1"/>
  <c r="AK1297" i="1"/>
  <c r="AJ1297" i="1" a="1"/>
  <c r="AJ1297" i="1" s="1"/>
  <c r="AN1297" i="1" s="1"/>
  <c r="AI1297" i="1" a="1"/>
  <c r="AI1297" i="1" s="1"/>
  <c r="AM1297" i="1" s="1"/>
  <c r="AH1297" i="1"/>
  <c r="AC1297" i="1"/>
  <c r="AA1297" i="1"/>
  <c r="Y1297" i="1"/>
  <c r="Z1297" i="1" s="1"/>
  <c r="X1297" i="1"/>
  <c r="G1297" i="1"/>
  <c r="D1297" i="1"/>
  <c r="C1297" i="1"/>
  <c r="AL1296" i="1"/>
  <c r="AK1296" i="1"/>
  <c r="AJ1296" i="1" a="1"/>
  <c r="AJ1296" i="1" s="1"/>
  <c r="AN1296" i="1" s="1"/>
  <c r="AI1296" i="1" a="1"/>
  <c r="AI1296" i="1" s="1"/>
  <c r="AM1296" i="1" s="1"/>
  <c r="AH1296" i="1"/>
  <c r="AC1296" i="1"/>
  <c r="AA1296" i="1"/>
  <c r="Y1296" i="1"/>
  <c r="Z1296" i="1" s="1"/>
  <c r="X1296" i="1"/>
  <c r="G1296" i="1"/>
  <c r="D1296" i="1"/>
  <c r="C1296" i="1"/>
  <c r="AL1295" i="1"/>
  <c r="AK1295" i="1"/>
  <c r="AJ1295" i="1" a="1"/>
  <c r="AJ1295" i="1" s="1"/>
  <c r="AN1295" i="1" s="1"/>
  <c r="AI1295" i="1" a="1"/>
  <c r="AI1295" i="1" s="1"/>
  <c r="AM1295" i="1" s="1"/>
  <c r="AH1295" i="1"/>
  <c r="AC1295" i="1"/>
  <c r="AA1295" i="1"/>
  <c r="Y1295" i="1"/>
  <c r="Z1295" i="1" s="1"/>
  <c r="X1295" i="1"/>
  <c r="G1295" i="1"/>
  <c r="D1295" i="1"/>
  <c r="C1295" i="1"/>
  <c r="AL1294" i="1"/>
  <c r="AK1294" i="1"/>
  <c r="AJ1294" i="1" a="1"/>
  <c r="AJ1294" i="1" s="1"/>
  <c r="AN1294" i="1" s="1"/>
  <c r="AI1294" i="1" a="1"/>
  <c r="AI1294" i="1" s="1"/>
  <c r="AM1294" i="1" s="1"/>
  <c r="AH1294" i="1"/>
  <c r="AC1294" i="1"/>
  <c r="AA1294" i="1"/>
  <c r="Y1294" i="1"/>
  <c r="Z1294" i="1" s="1"/>
  <c r="X1294" i="1"/>
  <c r="G1294" i="1"/>
  <c r="D1294" i="1"/>
  <c r="C1294" i="1"/>
  <c r="AL1293" i="1"/>
  <c r="AK1293" i="1"/>
  <c r="AJ1293" i="1" a="1"/>
  <c r="AJ1293" i="1" s="1"/>
  <c r="AN1293" i="1" s="1"/>
  <c r="AI1293" i="1" a="1"/>
  <c r="AI1293" i="1" s="1"/>
  <c r="AM1293" i="1" s="1"/>
  <c r="AH1293" i="1"/>
  <c r="AC1293" i="1"/>
  <c r="AA1293" i="1"/>
  <c r="Y1293" i="1"/>
  <c r="Z1293" i="1" s="1"/>
  <c r="X1293" i="1"/>
  <c r="G1293" i="1"/>
  <c r="D1293" i="1"/>
  <c r="C1293" i="1"/>
  <c r="AL1292" i="1"/>
  <c r="AK1292" i="1"/>
  <c r="AJ1292" i="1" a="1"/>
  <c r="AJ1292" i="1" s="1"/>
  <c r="AN1292" i="1" s="1"/>
  <c r="AI1292" i="1" a="1"/>
  <c r="AI1292" i="1" s="1"/>
  <c r="AM1292" i="1" s="1"/>
  <c r="AH1292" i="1"/>
  <c r="AC1292" i="1"/>
  <c r="AA1292" i="1"/>
  <c r="Y1292" i="1"/>
  <c r="Z1292" i="1" s="1"/>
  <c r="X1292" i="1"/>
  <c r="G1292" i="1"/>
  <c r="D1292" i="1"/>
  <c r="C1292" i="1"/>
  <c r="AL1291" i="1"/>
  <c r="AK1291" i="1"/>
  <c r="AJ1291" i="1" a="1"/>
  <c r="AJ1291" i="1" s="1"/>
  <c r="AN1291" i="1" s="1"/>
  <c r="AI1291" i="1" a="1"/>
  <c r="AI1291" i="1" s="1"/>
  <c r="AM1291" i="1" s="1"/>
  <c r="AH1291" i="1"/>
  <c r="AC1291" i="1"/>
  <c r="AA1291" i="1"/>
  <c r="Y1291" i="1"/>
  <c r="Z1291" i="1" s="1"/>
  <c r="X1291" i="1"/>
  <c r="G1291" i="1"/>
  <c r="D1291" i="1"/>
  <c r="C1291" i="1"/>
  <c r="AL1290" i="1"/>
  <c r="AK1290" i="1"/>
  <c r="AJ1290" i="1" a="1"/>
  <c r="AJ1290" i="1" s="1"/>
  <c r="AN1290" i="1" s="1"/>
  <c r="AI1290" i="1" a="1"/>
  <c r="AI1290" i="1" s="1"/>
  <c r="AM1290" i="1" s="1"/>
  <c r="AH1290" i="1"/>
  <c r="AC1290" i="1"/>
  <c r="AA1290" i="1"/>
  <c r="Y1290" i="1"/>
  <c r="Z1290" i="1" s="1"/>
  <c r="X1290" i="1"/>
  <c r="G1290" i="1"/>
  <c r="D1290" i="1"/>
  <c r="C1290" i="1"/>
  <c r="AL1289" i="1"/>
  <c r="AK1289" i="1"/>
  <c r="AJ1289" i="1" a="1"/>
  <c r="AJ1289" i="1" s="1"/>
  <c r="AN1289" i="1" s="1"/>
  <c r="AI1289" i="1" a="1"/>
  <c r="AI1289" i="1" s="1"/>
  <c r="AM1289" i="1" s="1"/>
  <c r="AH1289" i="1"/>
  <c r="AC1289" i="1"/>
  <c r="AA1289" i="1"/>
  <c r="Y1289" i="1"/>
  <c r="W1289" i="1"/>
  <c r="X1289" i="1" s="1"/>
  <c r="G1289" i="1"/>
  <c r="D1289" i="1"/>
  <c r="C1289" i="1"/>
  <c r="AL1288" i="1"/>
  <c r="AK1288" i="1"/>
  <c r="AJ1288" i="1" a="1"/>
  <c r="AJ1288" i="1" s="1"/>
  <c r="AN1288" i="1" s="1"/>
  <c r="AI1288" i="1" a="1"/>
  <c r="AI1288" i="1" s="1"/>
  <c r="AM1288" i="1" s="1"/>
  <c r="AH1288" i="1"/>
  <c r="AC1288" i="1"/>
  <c r="AA1288" i="1"/>
  <c r="Y1288" i="1"/>
  <c r="W1288" i="1"/>
  <c r="X1288" i="1" s="1"/>
  <c r="G1288" i="1"/>
  <c r="D1288" i="1"/>
  <c r="C1288" i="1"/>
  <c r="AL1287" i="1"/>
  <c r="AK1287" i="1"/>
  <c r="AJ1287" i="1" a="1"/>
  <c r="AJ1287" i="1" s="1"/>
  <c r="AN1287" i="1" s="1"/>
  <c r="AI1287" i="1" a="1"/>
  <c r="AI1287" i="1" s="1"/>
  <c r="AM1287" i="1" s="1"/>
  <c r="AH1287" i="1"/>
  <c r="AC1287" i="1"/>
  <c r="AA1287" i="1"/>
  <c r="Y1287" i="1"/>
  <c r="W1287" i="1"/>
  <c r="X1287" i="1" s="1"/>
  <c r="G1287" i="1"/>
  <c r="D1287" i="1"/>
  <c r="C1287" i="1"/>
  <c r="AL1286" i="1"/>
  <c r="AK1286" i="1"/>
  <c r="AJ1286" i="1" a="1"/>
  <c r="AJ1286" i="1" s="1"/>
  <c r="AN1286" i="1" s="1"/>
  <c r="AI1286" i="1" a="1"/>
  <c r="AI1286" i="1" s="1"/>
  <c r="AM1286" i="1" s="1"/>
  <c r="AH1286" i="1"/>
  <c r="AC1286" i="1"/>
  <c r="AA1286" i="1"/>
  <c r="Y1286" i="1"/>
  <c r="W1286" i="1"/>
  <c r="X1286" i="1" s="1"/>
  <c r="G1286" i="1"/>
  <c r="D1286" i="1"/>
  <c r="C1286" i="1"/>
  <c r="AL1285" i="1"/>
  <c r="AK1285" i="1"/>
  <c r="AJ1285" i="1" a="1"/>
  <c r="AJ1285" i="1" s="1"/>
  <c r="AN1285" i="1" s="1"/>
  <c r="AI1285" i="1" a="1"/>
  <c r="AI1285" i="1" s="1"/>
  <c r="AM1285" i="1" s="1"/>
  <c r="AH1285" i="1"/>
  <c r="AC1285" i="1"/>
  <c r="AA1285" i="1"/>
  <c r="Y1285" i="1"/>
  <c r="W1285" i="1"/>
  <c r="X1285" i="1" s="1"/>
  <c r="G1285" i="1"/>
  <c r="D1285" i="1"/>
  <c r="C1285" i="1"/>
  <c r="AL1284" i="1"/>
  <c r="AK1284" i="1"/>
  <c r="AJ1284" i="1" a="1"/>
  <c r="AJ1284" i="1" s="1"/>
  <c r="AN1284" i="1" s="1"/>
  <c r="AI1284" i="1" a="1"/>
  <c r="AI1284" i="1" s="1"/>
  <c r="AM1284" i="1" s="1"/>
  <c r="AH1284" i="1"/>
  <c r="AA1284" i="1"/>
  <c r="Y1284" i="1"/>
  <c r="W1284" i="1"/>
  <c r="G1284" i="1"/>
  <c r="D1284" i="1"/>
  <c r="C1284" i="1"/>
  <c r="AL1283" i="1"/>
  <c r="AK1283" i="1"/>
  <c r="AJ1283" i="1" a="1"/>
  <c r="AJ1283" i="1" s="1"/>
  <c r="AN1283" i="1" s="1"/>
  <c r="AI1283" i="1" a="1"/>
  <c r="AI1283" i="1" s="1"/>
  <c r="AM1283" i="1" s="1"/>
  <c r="AH1283" i="1"/>
  <c r="AC1283" i="1"/>
  <c r="AA1283" i="1"/>
  <c r="Y1283" i="1"/>
  <c r="Z1283" i="1" s="1"/>
  <c r="X1283" i="1"/>
  <c r="G1283" i="1"/>
  <c r="D1283" i="1"/>
  <c r="C1283" i="1"/>
  <c r="AL1282" i="1"/>
  <c r="AK1282" i="1"/>
  <c r="AJ1282" i="1" a="1"/>
  <c r="AJ1282" i="1" s="1"/>
  <c r="AN1282" i="1" s="1"/>
  <c r="AI1282" i="1" a="1"/>
  <c r="AI1282" i="1" s="1"/>
  <c r="AM1282" i="1" s="1"/>
  <c r="AH1282" i="1"/>
  <c r="AA1282" i="1"/>
  <c r="Y1282" i="1"/>
  <c r="Z1282" i="1" s="1"/>
  <c r="X1282" i="1"/>
  <c r="G1282" i="1"/>
  <c r="D1282" i="1"/>
  <c r="C1282" i="1"/>
  <c r="AL1281" i="1"/>
  <c r="AK1281" i="1"/>
  <c r="AJ1281" i="1" a="1"/>
  <c r="AJ1281" i="1" s="1"/>
  <c r="AN1281" i="1" s="1"/>
  <c r="AI1281" i="1" a="1"/>
  <c r="AI1281" i="1" s="1"/>
  <c r="AM1281" i="1" s="1"/>
  <c r="AH1281" i="1"/>
  <c r="AC1281" i="1"/>
  <c r="AA1281" i="1"/>
  <c r="Y1281" i="1"/>
  <c r="Z1281" i="1" s="1"/>
  <c r="X1281" i="1"/>
  <c r="G1281" i="1"/>
  <c r="D1281" i="1"/>
  <c r="C1281" i="1"/>
  <c r="AL1280" i="1"/>
  <c r="AK1280" i="1"/>
  <c r="AJ1280" i="1" a="1"/>
  <c r="AJ1280" i="1" s="1"/>
  <c r="AN1280" i="1" s="1"/>
  <c r="AI1280" i="1" a="1"/>
  <c r="AI1280" i="1" s="1"/>
  <c r="AM1280" i="1" s="1"/>
  <c r="AH1280" i="1"/>
  <c r="AC1280" i="1"/>
  <c r="AA1280" i="1"/>
  <c r="Y1280" i="1"/>
  <c r="Z1280" i="1" s="1"/>
  <c r="X1280" i="1"/>
  <c r="G1280" i="1"/>
  <c r="D1280" i="1"/>
  <c r="C1280" i="1"/>
  <c r="AL1279" i="1"/>
  <c r="AK1279" i="1"/>
  <c r="AJ1279" i="1" a="1"/>
  <c r="AJ1279" i="1" s="1"/>
  <c r="AN1279" i="1" s="1"/>
  <c r="AI1279" i="1" a="1"/>
  <c r="AI1279" i="1" s="1"/>
  <c r="AM1279" i="1" s="1"/>
  <c r="AH1279" i="1"/>
  <c r="AA1279" i="1"/>
  <c r="Y1279" i="1"/>
  <c r="Z1279" i="1" s="1"/>
  <c r="X1279" i="1"/>
  <c r="G1279" i="1"/>
  <c r="D1279" i="1"/>
  <c r="C1279" i="1"/>
  <c r="AL1278" i="1"/>
  <c r="AK1278" i="1"/>
  <c r="AJ1278" i="1" a="1"/>
  <c r="AJ1278" i="1" s="1"/>
  <c r="AN1278" i="1" s="1"/>
  <c r="AI1278" i="1" a="1"/>
  <c r="AI1278" i="1" s="1"/>
  <c r="AM1278" i="1" s="1"/>
  <c r="AH1278" i="1"/>
  <c r="AC1278" i="1"/>
  <c r="AA1278" i="1"/>
  <c r="Y1278" i="1"/>
  <c r="Z1278" i="1" s="1"/>
  <c r="X1278" i="1"/>
  <c r="G1278" i="1"/>
  <c r="D1278" i="1"/>
  <c r="C1278" i="1"/>
  <c r="AL1277" i="1"/>
  <c r="AK1277" i="1"/>
  <c r="AJ1277" i="1" a="1"/>
  <c r="AJ1277" i="1" s="1"/>
  <c r="AN1277" i="1" s="1"/>
  <c r="AI1277" i="1" a="1"/>
  <c r="AI1277" i="1" s="1"/>
  <c r="AM1277" i="1" s="1"/>
  <c r="AH1277" i="1"/>
  <c r="AC1277" i="1"/>
  <c r="AA1277" i="1"/>
  <c r="Y1277" i="1"/>
  <c r="Z1277" i="1" s="1"/>
  <c r="X1277" i="1"/>
  <c r="G1277" i="1"/>
  <c r="D1277" i="1"/>
  <c r="C1277" i="1"/>
  <c r="AL1276" i="1"/>
  <c r="AK1276" i="1"/>
  <c r="AJ1276" i="1" a="1"/>
  <c r="AJ1276" i="1" s="1"/>
  <c r="AN1276" i="1" s="1"/>
  <c r="AI1276" i="1" a="1"/>
  <c r="AI1276" i="1" s="1"/>
  <c r="AM1276" i="1" s="1"/>
  <c r="AH1276" i="1"/>
  <c r="AC1276" i="1"/>
  <c r="AA1276" i="1"/>
  <c r="Y1276" i="1"/>
  <c r="Z1276" i="1" s="1"/>
  <c r="X1276" i="1"/>
  <c r="G1276" i="1"/>
  <c r="D1276" i="1"/>
  <c r="C1276" i="1"/>
  <c r="AL1275" i="1"/>
  <c r="AK1275" i="1"/>
  <c r="AJ1275" i="1" a="1"/>
  <c r="AJ1275" i="1" s="1"/>
  <c r="AN1275" i="1" s="1"/>
  <c r="AI1275" i="1" a="1"/>
  <c r="AI1275" i="1" s="1"/>
  <c r="AM1275" i="1" s="1"/>
  <c r="AH1275" i="1"/>
  <c r="AA1275" i="1"/>
  <c r="Y1275" i="1"/>
  <c r="W1275" i="1"/>
  <c r="X1275" i="1" s="1"/>
  <c r="G1275" i="1"/>
  <c r="D1275" i="1"/>
  <c r="C1275" i="1"/>
  <c r="AL1274" i="1"/>
  <c r="AK1274" i="1"/>
  <c r="AJ1274" i="1" a="1"/>
  <c r="AJ1274" i="1" s="1"/>
  <c r="AN1274" i="1" s="1"/>
  <c r="AI1274" i="1" a="1"/>
  <c r="AI1274" i="1" s="1"/>
  <c r="AM1274" i="1" s="1"/>
  <c r="AH1274" i="1"/>
  <c r="AA1274" i="1"/>
  <c r="Y1274" i="1"/>
  <c r="W1274" i="1"/>
  <c r="X1274" i="1" s="1"/>
  <c r="G1274" i="1"/>
  <c r="D1274" i="1"/>
  <c r="C1274" i="1"/>
  <c r="AL1273" i="1"/>
  <c r="AK1273" i="1"/>
  <c r="AJ1273" i="1" a="1"/>
  <c r="AJ1273" i="1" s="1"/>
  <c r="AN1273" i="1" s="1"/>
  <c r="AI1273" i="1" a="1"/>
  <c r="AI1273" i="1" s="1"/>
  <c r="AM1273" i="1" s="1"/>
  <c r="AH1273" i="1"/>
  <c r="AA1273" i="1"/>
  <c r="Y1273" i="1"/>
  <c r="W1273" i="1"/>
  <c r="X1273" i="1" s="1"/>
  <c r="G1273" i="1"/>
  <c r="D1273" i="1"/>
  <c r="C1273" i="1"/>
  <c r="AL1272" i="1"/>
  <c r="AK1272" i="1"/>
  <c r="AJ1272" i="1" a="1"/>
  <c r="AJ1272" i="1" s="1"/>
  <c r="AN1272" i="1" s="1"/>
  <c r="AI1272" i="1" a="1"/>
  <c r="AI1272" i="1" s="1"/>
  <c r="AM1272" i="1" s="1"/>
  <c r="AH1272" i="1"/>
  <c r="AA1272" i="1"/>
  <c r="Y1272" i="1"/>
  <c r="W1272" i="1"/>
  <c r="X1272" i="1" s="1"/>
  <c r="G1272" i="1"/>
  <c r="D1272" i="1"/>
  <c r="C1272" i="1"/>
  <c r="AL1271" i="1"/>
  <c r="AK1271" i="1"/>
  <c r="AJ1271" i="1" a="1"/>
  <c r="AJ1271" i="1" s="1"/>
  <c r="AN1271" i="1" s="1"/>
  <c r="AI1271" i="1" a="1"/>
  <c r="AI1271" i="1" s="1"/>
  <c r="AM1271" i="1" s="1"/>
  <c r="AH1271" i="1"/>
  <c r="AC1271" i="1"/>
  <c r="AA1271" i="1"/>
  <c r="Y1271" i="1"/>
  <c r="Z1271" i="1" s="1"/>
  <c r="X1271" i="1"/>
  <c r="G1271" i="1"/>
  <c r="D1271" i="1"/>
  <c r="C1271" i="1"/>
  <c r="AL1270" i="1"/>
  <c r="AK1270" i="1"/>
  <c r="AJ1270" i="1" a="1"/>
  <c r="AJ1270" i="1" s="1"/>
  <c r="AN1270" i="1" s="1"/>
  <c r="AI1270" i="1" a="1"/>
  <c r="AI1270" i="1" s="1"/>
  <c r="AM1270" i="1" s="1"/>
  <c r="AH1270" i="1"/>
  <c r="AA1270" i="1"/>
  <c r="Y1270" i="1"/>
  <c r="Z1270" i="1" s="1"/>
  <c r="X1270" i="1"/>
  <c r="G1270" i="1"/>
  <c r="D1270" i="1"/>
  <c r="C1270" i="1"/>
  <c r="AL1269" i="1"/>
  <c r="AK1269" i="1"/>
  <c r="AJ1269" i="1" a="1"/>
  <c r="AJ1269" i="1" s="1"/>
  <c r="AN1269" i="1" s="1"/>
  <c r="AI1269" i="1" a="1"/>
  <c r="AI1269" i="1" s="1"/>
  <c r="AM1269" i="1" s="1"/>
  <c r="AH1269" i="1"/>
  <c r="AA1269" i="1"/>
  <c r="Y1269" i="1"/>
  <c r="Z1269" i="1" s="1"/>
  <c r="X1269" i="1"/>
  <c r="G1269" i="1"/>
  <c r="D1269" i="1"/>
  <c r="C1269" i="1"/>
  <c r="AL1268" i="1"/>
  <c r="AK1268" i="1"/>
  <c r="AJ1268" i="1" a="1"/>
  <c r="AJ1268" i="1" s="1"/>
  <c r="AN1268" i="1" s="1"/>
  <c r="AI1268" i="1" a="1"/>
  <c r="AI1268" i="1" s="1"/>
  <c r="AM1268" i="1" s="1"/>
  <c r="AH1268" i="1"/>
  <c r="AA1268" i="1"/>
  <c r="Y1268" i="1"/>
  <c r="Z1268" i="1" s="1"/>
  <c r="X1268" i="1"/>
  <c r="G1268" i="1"/>
  <c r="D1268" i="1"/>
  <c r="C1268" i="1"/>
  <c r="AL1267" i="1"/>
  <c r="AK1267" i="1"/>
  <c r="AJ1267" i="1" a="1"/>
  <c r="AJ1267" i="1" s="1"/>
  <c r="AN1267" i="1" s="1"/>
  <c r="AI1267" i="1" a="1"/>
  <c r="AI1267" i="1" s="1"/>
  <c r="AM1267" i="1" s="1"/>
  <c r="AH1267" i="1"/>
  <c r="AA1267" i="1"/>
  <c r="Y1267" i="1"/>
  <c r="Z1267" i="1" s="1"/>
  <c r="X1267" i="1"/>
  <c r="G1267" i="1"/>
  <c r="D1267" i="1"/>
  <c r="C1267" i="1"/>
  <c r="AL1266" i="1"/>
  <c r="AK1266" i="1"/>
  <c r="AJ1266" i="1" a="1"/>
  <c r="AJ1266" i="1" s="1"/>
  <c r="AN1266" i="1" s="1"/>
  <c r="AI1266" i="1" a="1"/>
  <c r="AI1266" i="1" s="1"/>
  <c r="AM1266" i="1" s="1"/>
  <c r="AH1266" i="1"/>
  <c r="AA1266" i="1"/>
  <c r="Y1266" i="1"/>
  <c r="Z1266" i="1" s="1"/>
  <c r="X1266" i="1"/>
  <c r="G1266" i="1"/>
  <c r="D1266" i="1"/>
  <c r="C1266" i="1"/>
  <c r="AL1265" i="1"/>
  <c r="AK1265" i="1"/>
  <c r="AJ1265" i="1" a="1"/>
  <c r="AJ1265" i="1" s="1"/>
  <c r="AN1265" i="1" s="1"/>
  <c r="AI1265" i="1" a="1"/>
  <c r="AI1265" i="1" s="1"/>
  <c r="AM1265" i="1" s="1"/>
  <c r="AH1265" i="1"/>
  <c r="AA1265" i="1"/>
  <c r="Y1265" i="1"/>
  <c r="Z1265" i="1" s="1"/>
  <c r="X1265" i="1"/>
  <c r="G1265" i="1"/>
  <c r="D1265" i="1"/>
  <c r="C1265" i="1"/>
  <c r="AL1264" i="1"/>
  <c r="AK1264" i="1"/>
  <c r="AJ1264" i="1" a="1"/>
  <c r="AJ1264" i="1" s="1"/>
  <c r="AN1264" i="1" s="1"/>
  <c r="AI1264" i="1" a="1"/>
  <c r="AI1264" i="1" s="1"/>
  <c r="AM1264" i="1" s="1"/>
  <c r="AH1264" i="1"/>
  <c r="AA1264" i="1"/>
  <c r="Y1264" i="1"/>
  <c r="Z1264" i="1" s="1"/>
  <c r="X1264" i="1"/>
  <c r="G1264" i="1"/>
  <c r="D1264" i="1"/>
  <c r="C1264" i="1"/>
  <c r="AL1263" i="1"/>
  <c r="AK1263" i="1"/>
  <c r="AJ1263" i="1" a="1"/>
  <c r="AJ1263" i="1" s="1"/>
  <c r="AN1263" i="1" s="1"/>
  <c r="AI1263" i="1" a="1"/>
  <c r="AI1263" i="1" s="1"/>
  <c r="AM1263" i="1" s="1"/>
  <c r="AH1263" i="1"/>
  <c r="AA1263" i="1"/>
  <c r="Y1263" i="1"/>
  <c r="Z1263" i="1" s="1"/>
  <c r="X1263" i="1"/>
  <c r="G1263" i="1"/>
  <c r="D1263" i="1"/>
  <c r="C1263" i="1"/>
  <c r="AL1262" i="1"/>
  <c r="AK1262" i="1"/>
  <c r="AJ1262" i="1" a="1"/>
  <c r="AJ1262" i="1" s="1"/>
  <c r="AN1262" i="1" s="1"/>
  <c r="AI1262" i="1" a="1"/>
  <c r="AI1262" i="1" s="1"/>
  <c r="AM1262" i="1" s="1"/>
  <c r="AH1262" i="1"/>
  <c r="AA1262" i="1"/>
  <c r="Y1262" i="1"/>
  <c r="Z1262" i="1" s="1"/>
  <c r="X1262" i="1"/>
  <c r="G1262" i="1"/>
  <c r="D1262" i="1"/>
  <c r="C1262" i="1"/>
  <c r="AL1261" i="1"/>
  <c r="AK1261" i="1"/>
  <c r="AJ1261" i="1" a="1"/>
  <c r="AJ1261" i="1" s="1"/>
  <c r="AN1261" i="1" s="1"/>
  <c r="AI1261" i="1" a="1"/>
  <c r="AI1261" i="1" s="1"/>
  <c r="AM1261" i="1" s="1"/>
  <c r="AH1261" i="1"/>
  <c r="AA1261" i="1"/>
  <c r="Y1261" i="1"/>
  <c r="Z1261" i="1" s="1"/>
  <c r="X1261" i="1"/>
  <c r="G1261" i="1"/>
  <c r="D1261" i="1"/>
  <c r="C1261" i="1"/>
  <c r="AL1260" i="1"/>
  <c r="AK1260" i="1"/>
  <c r="AJ1260" i="1" a="1"/>
  <c r="AJ1260" i="1" s="1"/>
  <c r="AN1260" i="1" s="1"/>
  <c r="AI1260" i="1" a="1"/>
  <c r="AI1260" i="1" s="1"/>
  <c r="AM1260" i="1" s="1"/>
  <c r="AH1260" i="1"/>
  <c r="AA1260" i="1"/>
  <c r="Y1260" i="1"/>
  <c r="Z1260" i="1" s="1"/>
  <c r="X1260" i="1"/>
  <c r="G1260" i="1"/>
  <c r="D1260" i="1"/>
  <c r="C1260" i="1"/>
  <c r="AL1259" i="1"/>
  <c r="AK1259" i="1"/>
  <c r="AJ1259" i="1" a="1"/>
  <c r="AJ1259" i="1" s="1"/>
  <c r="AN1259" i="1" s="1"/>
  <c r="AI1259" i="1" a="1"/>
  <c r="AI1259" i="1" s="1"/>
  <c r="AM1259" i="1" s="1"/>
  <c r="AH1259" i="1"/>
  <c r="AA1259" i="1"/>
  <c r="Y1259" i="1"/>
  <c r="Z1259" i="1" s="1"/>
  <c r="X1259" i="1"/>
  <c r="G1259" i="1"/>
  <c r="D1259" i="1"/>
  <c r="C1259" i="1"/>
  <c r="AL1258" i="1"/>
  <c r="AK1258" i="1"/>
  <c r="AJ1258" i="1" a="1"/>
  <c r="AJ1258" i="1" s="1"/>
  <c r="AN1258" i="1" s="1"/>
  <c r="AI1258" i="1" a="1"/>
  <c r="AI1258" i="1" s="1"/>
  <c r="AM1258" i="1" s="1"/>
  <c r="AH1258" i="1"/>
  <c r="AA1258" i="1"/>
  <c r="Y1258" i="1"/>
  <c r="Z1258" i="1" s="1"/>
  <c r="X1258" i="1"/>
  <c r="G1258" i="1"/>
  <c r="D1258" i="1"/>
  <c r="C1258" i="1"/>
  <c r="AL1257" i="1"/>
  <c r="AK1257" i="1"/>
  <c r="AJ1257" i="1" a="1"/>
  <c r="AJ1257" i="1" s="1"/>
  <c r="AN1257" i="1" s="1"/>
  <c r="AI1257" i="1" a="1"/>
  <c r="AI1257" i="1" s="1"/>
  <c r="AM1257" i="1" s="1"/>
  <c r="AH1257" i="1"/>
  <c r="AA1257" i="1"/>
  <c r="Y1257" i="1"/>
  <c r="Z1257" i="1" s="1"/>
  <c r="X1257" i="1"/>
  <c r="G1257" i="1"/>
  <c r="D1257" i="1"/>
  <c r="C1257" i="1"/>
  <c r="AL1256" i="1"/>
  <c r="AK1256" i="1"/>
  <c r="AJ1256" i="1" a="1"/>
  <c r="AJ1256" i="1" s="1"/>
  <c r="AN1256" i="1" s="1"/>
  <c r="AI1256" i="1" a="1"/>
  <c r="AI1256" i="1" s="1"/>
  <c r="AM1256" i="1" s="1"/>
  <c r="AH1256" i="1"/>
  <c r="AA1256" i="1"/>
  <c r="Y1256" i="1"/>
  <c r="Z1256" i="1" s="1"/>
  <c r="X1256" i="1"/>
  <c r="G1256" i="1"/>
  <c r="D1256" i="1"/>
  <c r="C1256" i="1"/>
  <c r="AL1255" i="1"/>
  <c r="AK1255" i="1"/>
  <c r="AJ1255" i="1" a="1"/>
  <c r="AJ1255" i="1" s="1"/>
  <c r="AN1255" i="1" s="1"/>
  <c r="AI1255" i="1" a="1"/>
  <c r="AI1255" i="1" s="1"/>
  <c r="AM1255" i="1" s="1"/>
  <c r="AH1255" i="1"/>
  <c r="AA1255" i="1"/>
  <c r="Y1255" i="1"/>
  <c r="Z1255" i="1" s="1"/>
  <c r="X1255" i="1"/>
  <c r="G1255" i="1"/>
  <c r="D1255" i="1"/>
  <c r="C1255" i="1"/>
  <c r="AL1254" i="1"/>
  <c r="AK1254" i="1"/>
  <c r="AJ1254" i="1" a="1"/>
  <c r="AJ1254" i="1" s="1"/>
  <c r="AN1254" i="1" s="1"/>
  <c r="AI1254" i="1" a="1"/>
  <c r="AI1254" i="1" s="1"/>
  <c r="AM1254" i="1" s="1"/>
  <c r="AH1254" i="1"/>
  <c r="AA1254" i="1"/>
  <c r="Y1254" i="1"/>
  <c r="Z1254" i="1" s="1"/>
  <c r="X1254" i="1"/>
  <c r="G1254" i="1"/>
  <c r="D1254" i="1"/>
  <c r="C1254" i="1"/>
  <c r="AL1253" i="1"/>
  <c r="AK1253" i="1"/>
  <c r="AJ1253" i="1" a="1"/>
  <c r="AJ1253" i="1" s="1"/>
  <c r="AN1253" i="1" s="1"/>
  <c r="AI1253" i="1" a="1"/>
  <c r="AI1253" i="1" s="1"/>
  <c r="AM1253" i="1" s="1"/>
  <c r="AH1253" i="1"/>
  <c r="AC1253" i="1"/>
  <c r="AA1253" i="1"/>
  <c r="Y1253" i="1"/>
  <c r="Z1253" i="1" s="1"/>
  <c r="X1253" i="1"/>
  <c r="G1253" i="1"/>
  <c r="D1253" i="1"/>
  <c r="C1253" i="1"/>
  <c r="AL1252" i="1"/>
  <c r="AK1252" i="1"/>
  <c r="AJ1252" i="1" a="1"/>
  <c r="AJ1252" i="1" s="1"/>
  <c r="AN1252" i="1" s="1"/>
  <c r="AI1252" i="1" a="1"/>
  <c r="AI1252" i="1" s="1"/>
  <c r="AM1252" i="1" s="1"/>
  <c r="AH1252" i="1"/>
  <c r="AA1252" i="1"/>
  <c r="Y1252" i="1"/>
  <c r="Z1252" i="1" s="1"/>
  <c r="X1252" i="1"/>
  <c r="G1252" i="1"/>
  <c r="D1252" i="1"/>
  <c r="C1252" i="1"/>
  <c r="AL1251" i="1"/>
  <c r="AK1251" i="1"/>
  <c r="AJ1251" i="1" a="1"/>
  <c r="AJ1251" i="1" s="1"/>
  <c r="AN1251" i="1" s="1"/>
  <c r="AI1251" i="1" a="1"/>
  <c r="AI1251" i="1" s="1"/>
  <c r="AM1251" i="1" s="1"/>
  <c r="AH1251" i="1"/>
  <c r="AA1251" i="1"/>
  <c r="Y1251" i="1"/>
  <c r="Z1251" i="1" s="1"/>
  <c r="X1251" i="1"/>
  <c r="G1251" i="1"/>
  <c r="D1251" i="1"/>
  <c r="C1251" i="1"/>
  <c r="AL1250" i="1"/>
  <c r="AK1250" i="1"/>
  <c r="AJ1250" i="1" a="1"/>
  <c r="AJ1250" i="1" s="1"/>
  <c r="AN1250" i="1" s="1"/>
  <c r="AI1250" i="1" a="1"/>
  <c r="AI1250" i="1" s="1"/>
  <c r="AM1250" i="1" s="1"/>
  <c r="AH1250" i="1"/>
  <c r="AA1250" i="1"/>
  <c r="Y1250" i="1"/>
  <c r="Z1250" i="1" s="1"/>
  <c r="X1250" i="1"/>
  <c r="G1250" i="1"/>
  <c r="D1250" i="1"/>
  <c r="C1250" i="1"/>
  <c r="AL1249" i="1"/>
  <c r="AK1249" i="1"/>
  <c r="AJ1249" i="1" a="1"/>
  <c r="AJ1249" i="1" s="1"/>
  <c r="AN1249" i="1" s="1"/>
  <c r="AI1249" i="1" a="1"/>
  <c r="AI1249" i="1" s="1"/>
  <c r="AM1249" i="1" s="1"/>
  <c r="AH1249" i="1"/>
  <c r="AA1249" i="1"/>
  <c r="Y1249" i="1"/>
  <c r="Z1249" i="1" s="1"/>
  <c r="X1249" i="1"/>
  <c r="G1249" i="1"/>
  <c r="D1249" i="1"/>
  <c r="C1249" i="1"/>
  <c r="AL1248" i="1"/>
  <c r="AK1248" i="1"/>
  <c r="AJ1248" i="1" a="1"/>
  <c r="AJ1248" i="1" s="1"/>
  <c r="AN1248" i="1" s="1"/>
  <c r="AI1248" i="1" a="1"/>
  <c r="AI1248" i="1" s="1"/>
  <c r="AM1248" i="1" s="1"/>
  <c r="AH1248" i="1"/>
  <c r="AA1248" i="1"/>
  <c r="Y1248" i="1"/>
  <c r="Z1248" i="1" s="1"/>
  <c r="X1248" i="1"/>
  <c r="G1248" i="1"/>
  <c r="D1248" i="1"/>
  <c r="C1248" i="1"/>
  <c r="AL1247" i="1"/>
  <c r="AK1247" i="1"/>
  <c r="AJ1247" i="1" a="1"/>
  <c r="AJ1247" i="1" s="1"/>
  <c r="AN1247" i="1" s="1"/>
  <c r="AI1247" i="1" a="1"/>
  <c r="AI1247" i="1" s="1"/>
  <c r="AM1247" i="1" s="1"/>
  <c r="AH1247" i="1"/>
  <c r="AA1247" i="1"/>
  <c r="Y1247" i="1"/>
  <c r="Z1247" i="1" s="1"/>
  <c r="X1247" i="1"/>
  <c r="G1247" i="1"/>
  <c r="D1247" i="1"/>
  <c r="C1247" i="1"/>
  <c r="AL1246" i="1"/>
  <c r="AK1246" i="1"/>
  <c r="AJ1246" i="1" a="1"/>
  <c r="AJ1246" i="1" s="1"/>
  <c r="AN1246" i="1" s="1"/>
  <c r="AI1246" i="1" a="1"/>
  <c r="AI1246" i="1" s="1"/>
  <c r="AM1246" i="1" s="1"/>
  <c r="AH1246" i="1"/>
  <c r="AB1246" i="1"/>
  <c r="AC1246" i="1" s="1"/>
  <c r="AA1246" i="1"/>
  <c r="Y1246" i="1"/>
  <c r="Z1246" i="1" s="1"/>
  <c r="X1246" i="1"/>
  <c r="G1246" i="1"/>
  <c r="D1246" i="1"/>
  <c r="C1246" i="1"/>
  <c r="AL1245" i="1"/>
  <c r="AK1245" i="1"/>
  <c r="AJ1245" i="1" a="1"/>
  <c r="AJ1245" i="1" s="1"/>
  <c r="AN1245" i="1" s="1"/>
  <c r="AI1245" i="1" a="1"/>
  <c r="AI1245" i="1" s="1"/>
  <c r="AM1245" i="1" s="1"/>
  <c r="AH1245" i="1"/>
  <c r="AA1245" i="1"/>
  <c r="Y1245" i="1"/>
  <c r="Z1245" i="1" s="1"/>
  <c r="X1245" i="1"/>
  <c r="G1245" i="1"/>
  <c r="D1245" i="1"/>
  <c r="C1245" i="1"/>
  <c r="AL1244" i="1"/>
  <c r="AK1244" i="1"/>
  <c r="AJ1244" i="1" a="1"/>
  <c r="AJ1244" i="1" s="1"/>
  <c r="AN1244" i="1" s="1"/>
  <c r="AI1244" i="1" a="1"/>
  <c r="AI1244" i="1" s="1"/>
  <c r="AM1244" i="1" s="1"/>
  <c r="AH1244" i="1"/>
  <c r="AA1244" i="1"/>
  <c r="Y1244" i="1"/>
  <c r="Z1244" i="1" s="1"/>
  <c r="X1244" i="1"/>
  <c r="G1244" i="1"/>
  <c r="D1244" i="1"/>
  <c r="C1244" i="1"/>
  <c r="AL1243" i="1"/>
  <c r="AK1243" i="1"/>
  <c r="AJ1243" i="1" a="1"/>
  <c r="AJ1243" i="1" s="1"/>
  <c r="AN1243" i="1" s="1"/>
  <c r="AI1243" i="1" a="1"/>
  <c r="AI1243" i="1" s="1"/>
  <c r="AM1243" i="1" s="1"/>
  <c r="AH1243" i="1"/>
  <c r="AA1243" i="1"/>
  <c r="Y1243" i="1"/>
  <c r="Z1243" i="1" s="1"/>
  <c r="X1243" i="1"/>
  <c r="G1243" i="1"/>
  <c r="D1243" i="1"/>
  <c r="C1243" i="1"/>
  <c r="AL1242" i="1"/>
  <c r="AK1242" i="1"/>
  <c r="AJ1242" i="1" a="1"/>
  <c r="AJ1242" i="1" s="1"/>
  <c r="AN1242" i="1" s="1"/>
  <c r="AI1242" i="1" a="1"/>
  <c r="AI1242" i="1" s="1"/>
  <c r="AM1242" i="1" s="1"/>
  <c r="AH1242" i="1"/>
  <c r="AA1242" i="1"/>
  <c r="Y1242" i="1"/>
  <c r="Z1242" i="1" s="1"/>
  <c r="X1242" i="1"/>
  <c r="G1242" i="1"/>
  <c r="D1242" i="1"/>
  <c r="C1242" i="1"/>
  <c r="AL1241" i="1"/>
  <c r="AK1241" i="1"/>
  <c r="AJ1241" i="1" a="1"/>
  <c r="AJ1241" i="1" s="1"/>
  <c r="AN1241" i="1" s="1"/>
  <c r="AI1241" i="1" a="1"/>
  <c r="AI1241" i="1" s="1"/>
  <c r="AM1241" i="1" s="1"/>
  <c r="AH1241" i="1"/>
  <c r="AA1241" i="1"/>
  <c r="Y1241" i="1"/>
  <c r="Z1241" i="1" s="1"/>
  <c r="X1241" i="1"/>
  <c r="G1241" i="1"/>
  <c r="D1241" i="1"/>
  <c r="C1241" i="1"/>
  <c r="AL1240" i="1"/>
  <c r="AK1240" i="1"/>
  <c r="AJ1240" i="1" a="1"/>
  <c r="AJ1240" i="1" s="1"/>
  <c r="AN1240" i="1" s="1"/>
  <c r="AI1240" i="1" a="1"/>
  <c r="AI1240" i="1" s="1"/>
  <c r="AM1240" i="1" s="1"/>
  <c r="AH1240" i="1"/>
  <c r="AA1240" i="1"/>
  <c r="Y1240" i="1"/>
  <c r="Z1240" i="1" s="1"/>
  <c r="X1240" i="1"/>
  <c r="G1240" i="1"/>
  <c r="D1240" i="1"/>
  <c r="C1240" i="1"/>
  <c r="AL1239" i="1"/>
  <c r="AK1239" i="1"/>
  <c r="AJ1239" i="1" a="1"/>
  <c r="AJ1239" i="1" s="1"/>
  <c r="AN1239" i="1" s="1"/>
  <c r="AI1239" i="1" a="1"/>
  <c r="AI1239" i="1" s="1"/>
  <c r="AM1239" i="1" s="1"/>
  <c r="AH1239" i="1"/>
  <c r="AC1239" i="1"/>
  <c r="AA1239" i="1"/>
  <c r="Y1239" i="1"/>
  <c r="Z1239" i="1" s="1"/>
  <c r="X1239" i="1"/>
  <c r="G1239" i="1"/>
  <c r="D1239" i="1"/>
  <c r="C1239" i="1"/>
  <c r="AL1238" i="1"/>
  <c r="AK1238" i="1"/>
  <c r="AJ1238" i="1" a="1"/>
  <c r="AJ1238" i="1" s="1"/>
  <c r="AN1238" i="1" s="1"/>
  <c r="AI1238" i="1" a="1"/>
  <c r="AI1238" i="1" s="1"/>
  <c r="AM1238" i="1" s="1"/>
  <c r="AH1238" i="1"/>
  <c r="AC1238" i="1"/>
  <c r="AA1238" i="1"/>
  <c r="Y1238" i="1"/>
  <c r="Z1238" i="1" s="1"/>
  <c r="X1238" i="1"/>
  <c r="G1238" i="1"/>
  <c r="D1238" i="1"/>
  <c r="C1238" i="1"/>
  <c r="AL1237" i="1"/>
  <c r="AK1237" i="1"/>
  <c r="AJ1237" i="1" a="1"/>
  <c r="AJ1237" i="1" s="1"/>
  <c r="AN1237" i="1" s="1"/>
  <c r="AI1237" i="1" a="1"/>
  <c r="AI1237" i="1" s="1"/>
  <c r="AM1237" i="1" s="1"/>
  <c r="AH1237" i="1"/>
  <c r="AC1237" i="1"/>
  <c r="AA1237" i="1"/>
  <c r="Y1237" i="1"/>
  <c r="Z1237" i="1" s="1"/>
  <c r="X1237" i="1"/>
  <c r="G1237" i="1"/>
  <c r="D1237" i="1"/>
  <c r="C1237" i="1"/>
  <c r="AL1236" i="1"/>
  <c r="AK1236" i="1"/>
  <c r="AJ1236" i="1" a="1"/>
  <c r="AJ1236" i="1" s="1"/>
  <c r="AN1236" i="1" s="1"/>
  <c r="AI1236" i="1" a="1"/>
  <c r="AI1236" i="1" s="1"/>
  <c r="AM1236" i="1" s="1"/>
  <c r="AH1236" i="1"/>
  <c r="AA1236" i="1"/>
  <c r="Y1236" i="1"/>
  <c r="Z1236" i="1" s="1"/>
  <c r="X1236" i="1"/>
  <c r="G1236" i="1"/>
  <c r="D1236" i="1"/>
  <c r="C1236" i="1"/>
  <c r="AL1235" i="1"/>
  <c r="AK1235" i="1"/>
  <c r="AJ1235" i="1" a="1"/>
  <c r="AJ1235" i="1" s="1"/>
  <c r="AN1235" i="1" s="1"/>
  <c r="AI1235" i="1" a="1"/>
  <c r="AI1235" i="1" s="1"/>
  <c r="AM1235" i="1" s="1"/>
  <c r="AH1235" i="1"/>
  <c r="AA1235" i="1"/>
  <c r="Y1235" i="1"/>
  <c r="Z1235" i="1" s="1"/>
  <c r="X1235" i="1"/>
  <c r="G1235" i="1"/>
  <c r="D1235" i="1"/>
  <c r="C1235" i="1"/>
  <c r="AL1234" i="1"/>
  <c r="AK1234" i="1"/>
  <c r="AJ1234" i="1" a="1"/>
  <c r="AJ1234" i="1" s="1"/>
  <c r="AN1234" i="1" s="1"/>
  <c r="AI1234" i="1" a="1"/>
  <c r="AI1234" i="1" s="1"/>
  <c r="AM1234" i="1" s="1"/>
  <c r="AH1234" i="1"/>
  <c r="AB1234" i="1"/>
  <c r="AC1234" i="1" s="1"/>
  <c r="AA1234" i="1"/>
  <c r="Y1234" i="1"/>
  <c r="W1234" i="1"/>
  <c r="X1234" i="1" s="1"/>
  <c r="G1234" i="1"/>
  <c r="D1234" i="1"/>
  <c r="C1234" i="1"/>
  <c r="AL1233" i="1"/>
  <c r="AK1233" i="1"/>
  <c r="AJ1233" i="1" a="1"/>
  <c r="AJ1233" i="1" s="1"/>
  <c r="AN1233" i="1" s="1"/>
  <c r="AI1233" i="1" a="1"/>
  <c r="AI1233" i="1" s="1"/>
  <c r="AM1233" i="1" s="1"/>
  <c r="AH1233" i="1"/>
  <c r="AC1233" i="1"/>
  <c r="AA1233" i="1"/>
  <c r="Y1233" i="1"/>
  <c r="Z1233" i="1" s="1"/>
  <c r="X1233" i="1"/>
  <c r="G1233" i="1"/>
  <c r="D1233" i="1"/>
  <c r="C1233" i="1"/>
  <c r="AL1232" i="1"/>
  <c r="AK1232" i="1"/>
  <c r="AJ1232" i="1" a="1"/>
  <c r="AJ1232" i="1" s="1"/>
  <c r="AN1232" i="1" s="1"/>
  <c r="AI1232" i="1" a="1"/>
  <c r="AI1232" i="1" s="1"/>
  <c r="AM1232" i="1" s="1"/>
  <c r="AH1232" i="1"/>
  <c r="AB1232" i="1"/>
  <c r="AC1232" i="1" s="1"/>
  <c r="AA1232" i="1"/>
  <c r="Y1232" i="1"/>
  <c r="Z1232" i="1" s="1"/>
  <c r="X1232" i="1"/>
  <c r="G1232" i="1"/>
  <c r="D1232" i="1"/>
  <c r="C1232" i="1"/>
  <c r="AL1231" i="1"/>
  <c r="AK1231" i="1"/>
  <c r="AJ1231" i="1" a="1"/>
  <c r="AJ1231" i="1" s="1"/>
  <c r="AN1231" i="1" s="1"/>
  <c r="AI1231" i="1" a="1"/>
  <c r="AI1231" i="1" s="1"/>
  <c r="AM1231" i="1" s="1"/>
  <c r="AH1231" i="1"/>
  <c r="AC1231" i="1"/>
  <c r="AA1231" i="1"/>
  <c r="Y1231" i="1"/>
  <c r="Z1231" i="1" s="1"/>
  <c r="X1231" i="1"/>
  <c r="G1231" i="1"/>
  <c r="D1231" i="1"/>
  <c r="C1231" i="1"/>
  <c r="AL1230" i="1"/>
  <c r="AK1230" i="1"/>
  <c r="AJ1230" i="1" a="1"/>
  <c r="AJ1230" i="1" s="1"/>
  <c r="AN1230" i="1" s="1"/>
  <c r="AI1230" i="1" a="1"/>
  <c r="AI1230" i="1" s="1"/>
  <c r="AM1230" i="1" s="1"/>
  <c r="AH1230" i="1"/>
  <c r="AA1230" i="1"/>
  <c r="Y1230" i="1"/>
  <c r="Z1230" i="1" s="1"/>
  <c r="X1230" i="1"/>
  <c r="G1230" i="1"/>
  <c r="D1230" i="1"/>
  <c r="C1230" i="1"/>
  <c r="AL1229" i="1"/>
  <c r="AK1229" i="1"/>
  <c r="AJ1229" i="1" a="1"/>
  <c r="AJ1229" i="1" s="1"/>
  <c r="AN1229" i="1" s="1"/>
  <c r="AI1229" i="1" a="1"/>
  <c r="AI1229" i="1" s="1"/>
  <c r="AM1229" i="1" s="1"/>
  <c r="AH1229" i="1"/>
  <c r="AA1229" i="1"/>
  <c r="Y1229" i="1"/>
  <c r="Z1229" i="1" s="1"/>
  <c r="X1229" i="1"/>
  <c r="G1229" i="1"/>
  <c r="D1229" i="1"/>
  <c r="C1229" i="1"/>
  <c r="AL1228" i="1"/>
  <c r="AK1228" i="1"/>
  <c r="AJ1228" i="1" a="1"/>
  <c r="AJ1228" i="1" s="1"/>
  <c r="AN1228" i="1" s="1"/>
  <c r="AI1228" i="1" a="1"/>
  <c r="AI1228" i="1" s="1"/>
  <c r="AM1228" i="1" s="1"/>
  <c r="AH1228" i="1"/>
  <c r="AA1228" i="1"/>
  <c r="Y1228" i="1"/>
  <c r="Z1228" i="1" s="1"/>
  <c r="X1228" i="1"/>
  <c r="G1228" i="1"/>
  <c r="D1228" i="1"/>
  <c r="C1228" i="1"/>
  <c r="AL1227" i="1"/>
  <c r="AK1227" i="1"/>
  <c r="AJ1227" i="1" a="1"/>
  <c r="AJ1227" i="1" s="1"/>
  <c r="AN1227" i="1" s="1"/>
  <c r="AI1227" i="1" a="1"/>
  <c r="AI1227" i="1" s="1"/>
  <c r="AM1227" i="1" s="1"/>
  <c r="AH1227" i="1"/>
  <c r="AA1227" i="1"/>
  <c r="Y1227" i="1"/>
  <c r="Z1227" i="1" s="1"/>
  <c r="X1227" i="1"/>
  <c r="G1227" i="1"/>
  <c r="D1227" i="1"/>
  <c r="C1227" i="1"/>
  <c r="AL1226" i="1"/>
  <c r="AK1226" i="1"/>
  <c r="AJ1226" i="1" a="1"/>
  <c r="AJ1226" i="1" s="1"/>
  <c r="AN1226" i="1" s="1"/>
  <c r="AI1226" i="1" a="1"/>
  <c r="AI1226" i="1" s="1"/>
  <c r="AM1226" i="1" s="1"/>
  <c r="AH1226" i="1"/>
  <c r="AA1226" i="1"/>
  <c r="Y1226" i="1"/>
  <c r="Z1226" i="1" s="1"/>
  <c r="X1226" i="1"/>
  <c r="G1226" i="1"/>
  <c r="D1226" i="1"/>
  <c r="C1226" i="1"/>
  <c r="AL1225" i="1"/>
  <c r="AK1225" i="1"/>
  <c r="AJ1225" i="1" a="1"/>
  <c r="AJ1225" i="1" s="1"/>
  <c r="AN1225" i="1" s="1"/>
  <c r="AI1225" i="1" a="1"/>
  <c r="AI1225" i="1" s="1"/>
  <c r="AM1225" i="1" s="1"/>
  <c r="AH1225" i="1"/>
  <c r="AA1225" i="1"/>
  <c r="Y1225" i="1"/>
  <c r="Z1225" i="1" s="1"/>
  <c r="X1225" i="1"/>
  <c r="G1225" i="1"/>
  <c r="D1225" i="1"/>
  <c r="C1225" i="1"/>
  <c r="AL1224" i="1"/>
  <c r="AK1224" i="1"/>
  <c r="AJ1224" i="1" a="1"/>
  <c r="AJ1224" i="1" s="1"/>
  <c r="AN1224" i="1" s="1"/>
  <c r="AI1224" i="1" a="1"/>
  <c r="AI1224" i="1" s="1"/>
  <c r="AM1224" i="1" s="1"/>
  <c r="AH1224" i="1"/>
  <c r="AA1224" i="1"/>
  <c r="Y1224" i="1"/>
  <c r="Z1224" i="1" s="1"/>
  <c r="X1224" i="1"/>
  <c r="G1224" i="1"/>
  <c r="D1224" i="1"/>
  <c r="C1224" i="1"/>
  <c r="AL1223" i="1"/>
  <c r="AK1223" i="1"/>
  <c r="AJ1223" i="1" a="1"/>
  <c r="AJ1223" i="1" s="1"/>
  <c r="AN1223" i="1" s="1"/>
  <c r="AI1223" i="1" a="1"/>
  <c r="AI1223" i="1" s="1"/>
  <c r="AM1223" i="1" s="1"/>
  <c r="AH1223" i="1"/>
  <c r="AA1223" i="1"/>
  <c r="Y1223" i="1"/>
  <c r="Z1223" i="1" s="1"/>
  <c r="X1223" i="1"/>
  <c r="G1223" i="1"/>
  <c r="D1223" i="1"/>
  <c r="C1223" i="1"/>
  <c r="AL1222" i="1"/>
  <c r="AK1222" i="1"/>
  <c r="AJ1222" i="1" a="1"/>
  <c r="AJ1222" i="1" s="1"/>
  <c r="AN1222" i="1" s="1"/>
  <c r="AI1222" i="1" a="1"/>
  <c r="AI1222" i="1" s="1"/>
  <c r="AM1222" i="1" s="1"/>
  <c r="AH1222" i="1"/>
  <c r="AA1222" i="1"/>
  <c r="Y1222" i="1"/>
  <c r="Z1222" i="1" s="1"/>
  <c r="X1222" i="1"/>
  <c r="G1222" i="1"/>
  <c r="D1222" i="1"/>
  <c r="C1222" i="1"/>
  <c r="AL1221" i="1"/>
  <c r="AK1221" i="1"/>
  <c r="AJ1221" i="1" a="1"/>
  <c r="AJ1221" i="1" s="1"/>
  <c r="AN1221" i="1" s="1"/>
  <c r="AI1221" i="1" a="1"/>
  <c r="AI1221" i="1" s="1"/>
  <c r="AM1221" i="1" s="1"/>
  <c r="AH1221" i="1"/>
  <c r="AA1221" i="1"/>
  <c r="Y1221" i="1"/>
  <c r="Z1221" i="1" s="1"/>
  <c r="X1221" i="1"/>
  <c r="G1221" i="1"/>
  <c r="D1221" i="1"/>
  <c r="C1221" i="1"/>
  <c r="AL1220" i="1"/>
  <c r="AK1220" i="1"/>
  <c r="AJ1220" i="1" a="1"/>
  <c r="AJ1220" i="1" s="1"/>
  <c r="AN1220" i="1" s="1"/>
  <c r="AI1220" i="1" a="1"/>
  <c r="AI1220" i="1" s="1"/>
  <c r="AM1220" i="1" s="1"/>
  <c r="AH1220" i="1"/>
  <c r="AA1220" i="1"/>
  <c r="Y1220" i="1"/>
  <c r="Z1220" i="1" s="1"/>
  <c r="X1220" i="1"/>
  <c r="G1220" i="1"/>
  <c r="D1220" i="1"/>
  <c r="C1220" i="1"/>
  <c r="AL1219" i="1"/>
  <c r="AK1219" i="1"/>
  <c r="AJ1219" i="1" a="1"/>
  <c r="AJ1219" i="1" s="1"/>
  <c r="AN1219" i="1" s="1"/>
  <c r="AI1219" i="1" a="1"/>
  <c r="AI1219" i="1" s="1"/>
  <c r="AM1219" i="1" s="1"/>
  <c r="AH1219" i="1"/>
  <c r="AA1219" i="1"/>
  <c r="Y1219" i="1"/>
  <c r="Z1219" i="1" s="1"/>
  <c r="X1219" i="1"/>
  <c r="G1219" i="1"/>
  <c r="D1219" i="1"/>
  <c r="C1219" i="1"/>
  <c r="AL1218" i="1"/>
  <c r="AK1218" i="1"/>
  <c r="AJ1218" i="1" a="1"/>
  <c r="AJ1218" i="1" s="1"/>
  <c r="AN1218" i="1" s="1"/>
  <c r="AI1218" i="1" a="1"/>
  <c r="AI1218" i="1" s="1"/>
  <c r="AM1218" i="1" s="1"/>
  <c r="AH1218" i="1"/>
  <c r="AA1218" i="1"/>
  <c r="Y1218" i="1"/>
  <c r="Z1218" i="1" s="1"/>
  <c r="X1218" i="1"/>
  <c r="G1218" i="1"/>
  <c r="D1218" i="1"/>
  <c r="C1218" i="1"/>
  <c r="AL1217" i="1"/>
  <c r="AK1217" i="1"/>
  <c r="AJ1217" i="1" a="1"/>
  <c r="AJ1217" i="1" s="1"/>
  <c r="AN1217" i="1" s="1"/>
  <c r="AI1217" i="1" a="1"/>
  <c r="AI1217" i="1" s="1"/>
  <c r="AM1217" i="1" s="1"/>
  <c r="AH1217" i="1"/>
  <c r="AA1217" i="1"/>
  <c r="Y1217" i="1"/>
  <c r="Z1217" i="1" s="1"/>
  <c r="X1217" i="1"/>
  <c r="G1217" i="1"/>
  <c r="D1217" i="1"/>
  <c r="C1217" i="1"/>
  <c r="AL1216" i="1"/>
  <c r="AK1216" i="1"/>
  <c r="AJ1216" i="1" a="1"/>
  <c r="AJ1216" i="1" s="1"/>
  <c r="AN1216" i="1" s="1"/>
  <c r="AI1216" i="1" a="1"/>
  <c r="AI1216" i="1" s="1"/>
  <c r="AM1216" i="1" s="1"/>
  <c r="AH1216" i="1"/>
  <c r="AA1216" i="1"/>
  <c r="Y1216" i="1"/>
  <c r="Z1216" i="1" s="1"/>
  <c r="X1216" i="1"/>
  <c r="G1216" i="1"/>
  <c r="D1216" i="1"/>
  <c r="C1216" i="1"/>
  <c r="AL1215" i="1"/>
  <c r="AK1215" i="1"/>
  <c r="AJ1215" i="1" a="1"/>
  <c r="AJ1215" i="1" s="1"/>
  <c r="AN1215" i="1" s="1"/>
  <c r="AI1215" i="1" a="1"/>
  <c r="AI1215" i="1" s="1"/>
  <c r="AM1215" i="1" s="1"/>
  <c r="AH1215" i="1"/>
  <c r="AA1215" i="1"/>
  <c r="Y1215" i="1"/>
  <c r="Z1215" i="1" s="1"/>
  <c r="X1215" i="1"/>
  <c r="G1215" i="1"/>
  <c r="D1215" i="1"/>
  <c r="C1215" i="1"/>
  <c r="AL1214" i="1"/>
  <c r="AK1214" i="1"/>
  <c r="AJ1214" i="1" a="1"/>
  <c r="AJ1214" i="1" s="1"/>
  <c r="AN1214" i="1" s="1"/>
  <c r="AI1214" i="1" a="1"/>
  <c r="AI1214" i="1" s="1"/>
  <c r="AM1214" i="1" s="1"/>
  <c r="AH1214" i="1"/>
  <c r="AA1214" i="1"/>
  <c r="Y1214" i="1"/>
  <c r="Z1214" i="1" s="1"/>
  <c r="X1214" i="1"/>
  <c r="G1214" i="1"/>
  <c r="D1214" i="1"/>
  <c r="C1214" i="1"/>
  <c r="AL1213" i="1"/>
  <c r="AK1213" i="1"/>
  <c r="AJ1213" i="1" a="1"/>
  <c r="AJ1213" i="1" s="1"/>
  <c r="AN1213" i="1" s="1"/>
  <c r="AI1213" i="1" a="1"/>
  <c r="AI1213" i="1" s="1"/>
  <c r="AM1213" i="1" s="1"/>
  <c r="AH1213" i="1"/>
  <c r="AA1213" i="1"/>
  <c r="Y1213" i="1"/>
  <c r="Z1213" i="1" s="1"/>
  <c r="X1213" i="1"/>
  <c r="G1213" i="1"/>
  <c r="D1213" i="1"/>
  <c r="C1213" i="1"/>
  <c r="AL1212" i="1"/>
  <c r="AK1212" i="1"/>
  <c r="AJ1212" i="1" a="1"/>
  <c r="AJ1212" i="1" s="1"/>
  <c r="AN1212" i="1" s="1"/>
  <c r="AI1212" i="1" a="1"/>
  <c r="AI1212" i="1" s="1"/>
  <c r="AM1212" i="1" s="1"/>
  <c r="AH1212" i="1"/>
  <c r="AA1212" i="1"/>
  <c r="Y1212" i="1"/>
  <c r="Z1212" i="1" s="1"/>
  <c r="X1212" i="1"/>
  <c r="G1212" i="1"/>
  <c r="D1212" i="1"/>
  <c r="C1212" i="1"/>
  <c r="AL1211" i="1"/>
  <c r="AK1211" i="1"/>
  <c r="AJ1211" i="1" a="1"/>
  <c r="AJ1211" i="1" s="1"/>
  <c r="AN1211" i="1" s="1"/>
  <c r="AI1211" i="1" a="1"/>
  <c r="AI1211" i="1" s="1"/>
  <c r="AM1211" i="1" s="1"/>
  <c r="AH1211" i="1"/>
  <c r="AA1211" i="1"/>
  <c r="Y1211" i="1"/>
  <c r="Z1211" i="1" s="1"/>
  <c r="X1211" i="1"/>
  <c r="G1211" i="1"/>
  <c r="D1211" i="1"/>
  <c r="C1211" i="1"/>
  <c r="AL1210" i="1"/>
  <c r="AK1210" i="1"/>
  <c r="AJ1210" i="1" a="1"/>
  <c r="AJ1210" i="1" s="1"/>
  <c r="AN1210" i="1" s="1"/>
  <c r="AI1210" i="1" a="1"/>
  <c r="AI1210" i="1" s="1"/>
  <c r="AM1210" i="1" s="1"/>
  <c r="AH1210" i="1"/>
  <c r="AA1210" i="1"/>
  <c r="Y1210" i="1"/>
  <c r="Z1210" i="1" s="1"/>
  <c r="X1210" i="1"/>
  <c r="G1210" i="1"/>
  <c r="D1210" i="1"/>
  <c r="C1210" i="1"/>
  <c r="AL1209" i="1"/>
  <c r="AK1209" i="1"/>
  <c r="AJ1209" i="1" a="1"/>
  <c r="AJ1209" i="1" s="1"/>
  <c r="AN1209" i="1" s="1"/>
  <c r="AI1209" i="1" a="1"/>
  <c r="AI1209" i="1" s="1"/>
  <c r="AM1209" i="1" s="1"/>
  <c r="AH1209" i="1"/>
  <c r="AA1209" i="1"/>
  <c r="Y1209" i="1"/>
  <c r="Z1209" i="1" s="1"/>
  <c r="X1209" i="1"/>
  <c r="G1209" i="1"/>
  <c r="D1209" i="1"/>
  <c r="C1209" i="1"/>
  <c r="AL1208" i="1"/>
  <c r="AK1208" i="1"/>
  <c r="AJ1208" i="1" a="1"/>
  <c r="AJ1208" i="1" s="1"/>
  <c r="AN1208" i="1" s="1"/>
  <c r="AI1208" i="1" a="1"/>
  <c r="AI1208" i="1" s="1"/>
  <c r="AM1208" i="1" s="1"/>
  <c r="AH1208" i="1"/>
  <c r="AA1208" i="1"/>
  <c r="Y1208" i="1"/>
  <c r="Z1208" i="1" s="1"/>
  <c r="X1208" i="1"/>
  <c r="G1208" i="1"/>
  <c r="D1208" i="1"/>
  <c r="C1208" i="1"/>
  <c r="AL1207" i="1"/>
  <c r="AK1207" i="1"/>
  <c r="AJ1207" i="1" a="1"/>
  <c r="AJ1207" i="1" s="1"/>
  <c r="AN1207" i="1" s="1"/>
  <c r="AI1207" i="1" a="1"/>
  <c r="AI1207" i="1" s="1"/>
  <c r="AM1207" i="1" s="1"/>
  <c r="AH1207" i="1"/>
  <c r="AA1207" i="1"/>
  <c r="Y1207" i="1"/>
  <c r="Z1207" i="1" s="1"/>
  <c r="X1207" i="1"/>
  <c r="G1207" i="1"/>
  <c r="D1207" i="1"/>
  <c r="C1207" i="1"/>
  <c r="AL1206" i="1"/>
  <c r="AK1206" i="1"/>
  <c r="AJ1206" i="1" a="1"/>
  <c r="AJ1206" i="1" s="1"/>
  <c r="AN1206" i="1" s="1"/>
  <c r="AI1206" i="1" a="1"/>
  <c r="AI1206" i="1" s="1"/>
  <c r="AM1206" i="1" s="1"/>
  <c r="AH1206" i="1"/>
  <c r="AA1206" i="1"/>
  <c r="Y1206" i="1"/>
  <c r="Z1206" i="1" s="1"/>
  <c r="G1206" i="1"/>
  <c r="D1206" i="1"/>
  <c r="C1206" i="1"/>
  <c r="AL1205" i="1"/>
  <c r="AK1205" i="1"/>
  <c r="AJ1205" i="1" a="1"/>
  <c r="AJ1205" i="1" s="1"/>
  <c r="AN1205" i="1" s="1"/>
  <c r="AI1205" i="1" a="1"/>
  <c r="AI1205" i="1" s="1"/>
  <c r="AM1205" i="1" s="1"/>
  <c r="AH1205" i="1"/>
  <c r="AA1205" i="1"/>
  <c r="Y1205" i="1"/>
  <c r="Z1205" i="1" s="1"/>
  <c r="G1205" i="1"/>
  <c r="D1205" i="1"/>
  <c r="C1205" i="1"/>
  <c r="AL1204" i="1"/>
  <c r="AK1204" i="1"/>
  <c r="AJ1204" i="1" a="1"/>
  <c r="AJ1204" i="1" s="1"/>
  <c r="AN1204" i="1" s="1"/>
  <c r="AI1204" i="1" a="1"/>
  <c r="AI1204" i="1" s="1"/>
  <c r="AM1204" i="1" s="1"/>
  <c r="AH1204" i="1"/>
  <c r="AA1204" i="1"/>
  <c r="Y1204" i="1"/>
  <c r="Z1204" i="1" s="1"/>
  <c r="G1204" i="1"/>
  <c r="D1204" i="1"/>
  <c r="C1204" i="1"/>
  <c r="AL1203" i="1"/>
  <c r="AK1203" i="1"/>
  <c r="AJ1203" i="1" a="1"/>
  <c r="AJ1203" i="1" s="1"/>
  <c r="AN1203" i="1" s="1"/>
  <c r="AI1203" i="1" a="1"/>
  <c r="AI1203" i="1" s="1"/>
  <c r="AM1203" i="1" s="1"/>
  <c r="AH1203" i="1"/>
  <c r="AA1203" i="1"/>
  <c r="Y1203" i="1"/>
  <c r="Z1203" i="1" s="1"/>
  <c r="G1203" i="1"/>
  <c r="D1203" i="1"/>
  <c r="C1203" i="1"/>
  <c r="AL1202" i="1"/>
  <c r="AK1202" i="1"/>
  <c r="AJ1202" i="1" a="1"/>
  <c r="AJ1202" i="1" s="1"/>
  <c r="AN1202" i="1" s="1"/>
  <c r="AI1202" i="1" a="1"/>
  <c r="AI1202" i="1" s="1"/>
  <c r="AM1202" i="1" s="1"/>
  <c r="AH1202" i="1"/>
  <c r="AA1202" i="1"/>
  <c r="Y1202" i="1"/>
  <c r="Z1202" i="1" s="1"/>
  <c r="G1202" i="1"/>
  <c r="D1202" i="1"/>
  <c r="C1202" i="1"/>
  <c r="AL1201" i="1"/>
  <c r="AK1201" i="1"/>
  <c r="AJ1201" i="1" a="1"/>
  <c r="AJ1201" i="1" s="1"/>
  <c r="AN1201" i="1" s="1"/>
  <c r="AI1201" i="1" a="1"/>
  <c r="AI1201" i="1" s="1"/>
  <c r="AM1201" i="1" s="1"/>
  <c r="AH1201" i="1"/>
  <c r="AA1201" i="1"/>
  <c r="Y1201" i="1"/>
  <c r="Z1201" i="1" s="1"/>
  <c r="G1201" i="1"/>
  <c r="D1201" i="1"/>
  <c r="C1201" i="1"/>
  <c r="AL1200" i="1"/>
  <c r="AK1200" i="1"/>
  <c r="AJ1200" i="1" a="1"/>
  <c r="AJ1200" i="1" s="1"/>
  <c r="AN1200" i="1" s="1"/>
  <c r="AI1200" i="1" a="1"/>
  <c r="AI1200" i="1" s="1"/>
  <c r="AM1200" i="1" s="1"/>
  <c r="AH1200" i="1"/>
  <c r="AA1200" i="1"/>
  <c r="Y1200" i="1"/>
  <c r="Z1200" i="1" s="1"/>
  <c r="G1200" i="1"/>
  <c r="D1200" i="1"/>
  <c r="C1200" i="1"/>
  <c r="AL1199" i="1"/>
  <c r="AK1199" i="1"/>
  <c r="AJ1199" i="1" a="1"/>
  <c r="AJ1199" i="1" s="1"/>
  <c r="AN1199" i="1" s="1"/>
  <c r="AI1199" i="1" a="1"/>
  <c r="AI1199" i="1" s="1"/>
  <c r="AM1199" i="1" s="1"/>
  <c r="AH1199" i="1"/>
  <c r="AA1199" i="1"/>
  <c r="Y1199" i="1"/>
  <c r="Z1199" i="1" s="1"/>
  <c r="G1199" i="1"/>
  <c r="D1199" i="1"/>
  <c r="C1199" i="1"/>
  <c r="AL1198" i="1"/>
  <c r="AK1198" i="1"/>
  <c r="AJ1198" i="1" a="1"/>
  <c r="AJ1198" i="1" s="1"/>
  <c r="AN1198" i="1" s="1"/>
  <c r="AI1198" i="1" a="1"/>
  <c r="AI1198" i="1" s="1"/>
  <c r="AM1198" i="1" s="1"/>
  <c r="AH1198" i="1"/>
  <c r="AA1198" i="1"/>
  <c r="Y1198" i="1"/>
  <c r="Z1198" i="1" s="1"/>
  <c r="G1198" i="1"/>
  <c r="D1198" i="1"/>
  <c r="C1198" i="1"/>
  <c r="AL1197" i="1"/>
  <c r="AK1197" i="1"/>
  <c r="AJ1197" i="1" a="1"/>
  <c r="AJ1197" i="1" s="1"/>
  <c r="AN1197" i="1" s="1"/>
  <c r="AI1197" i="1" a="1"/>
  <c r="AI1197" i="1" s="1"/>
  <c r="AM1197" i="1" s="1"/>
  <c r="AH1197" i="1"/>
  <c r="AA1197" i="1"/>
  <c r="Y1197" i="1"/>
  <c r="Z1197" i="1" s="1"/>
  <c r="G1197" i="1"/>
  <c r="D1197" i="1"/>
  <c r="C1197" i="1"/>
  <c r="AL1196" i="1"/>
  <c r="AK1196" i="1"/>
  <c r="AJ1196" i="1" a="1"/>
  <c r="AJ1196" i="1" s="1"/>
  <c r="AN1196" i="1" s="1"/>
  <c r="AI1196" i="1" a="1"/>
  <c r="AI1196" i="1" s="1"/>
  <c r="AM1196" i="1" s="1"/>
  <c r="AH1196" i="1"/>
  <c r="AA1196" i="1"/>
  <c r="Y1196" i="1"/>
  <c r="Z1196" i="1" s="1"/>
  <c r="G1196" i="1"/>
  <c r="D1196" i="1"/>
  <c r="C1196" i="1"/>
  <c r="AL1195" i="1"/>
  <c r="AK1195" i="1"/>
  <c r="AJ1195" i="1" a="1"/>
  <c r="AJ1195" i="1" s="1"/>
  <c r="AN1195" i="1" s="1"/>
  <c r="AI1195" i="1" a="1"/>
  <c r="AI1195" i="1" s="1"/>
  <c r="AM1195" i="1" s="1"/>
  <c r="AH1195" i="1"/>
  <c r="AA1195" i="1"/>
  <c r="Y1195" i="1"/>
  <c r="Z1195" i="1" s="1"/>
  <c r="G1195" i="1"/>
  <c r="D1195" i="1"/>
  <c r="C1195" i="1"/>
  <c r="AL1194" i="1"/>
  <c r="AK1194" i="1"/>
  <c r="AJ1194" i="1" a="1"/>
  <c r="AJ1194" i="1" s="1"/>
  <c r="AN1194" i="1" s="1"/>
  <c r="AI1194" i="1" a="1"/>
  <c r="AI1194" i="1" s="1"/>
  <c r="AM1194" i="1" s="1"/>
  <c r="AH1194" i="1"/>
  <c r="AA1194" i="1"/>
  <c r="Y1194" i="1"/>
  <c r="Z1194" i="1" s="1"/>
  <c r="G1194" i="1"/>
  <c r="D1194" i="1"/>
  <c r="C1194" i="1"/>
  <c r="AL1193" i="1"/>
  <c r="AK1193" i="1"/>
  <c r="AJ1193" i="1" a="1"/>
  <c r="AJ1193" i="1" s="1"/>
  <c r="AN1193" i="1" s="1"/>
  <c r="AI1193" i="1" a="1"/>
  <c r="AI1193" i="1" s="1"/>
  <c r="AM1193" i="1" s="1"/>
  <c r="AH1193" i="1"/>
  <c r="AA1193" i="1"/>
  <c r="Y1193" i="1"/>
  <c r="Z1193" i="1" s="1"/>
  <c r="G1193" i="1"/>
  <c r="D1193" i="1"/>
  <c r="C1193" i="1"/>
  <c r="AL1192" i="1"/>
  <c r="AK1192" i="1"/>
  <c r="AJ1192" i="1" a="1"/>
  <c r="AJ1192" i="1" s="1"/>
  <c r="AN1192" i="1" s="1"/>
  <c r="AI1192" i="1" a="1"/>
  <c r="AI1192" i="1" s="1"/>
  <c r="AM1192" i="1" s="1"/>
  <c r="AH1192" i="1"/>
  <c r="AA1192" i="1"/>
  <c r="Y1192" i="1"/>
  <c r="Z1192" i="1" s="1"/>
  <c r="G1192" i="1"/>
  <c r="D1192" i="1"/>
  <c r="C1192" i="1"/>
  <c r="AL1191" i="1"/>
  <c r="AK1191" i="1"/>
  <c r="AJ1191" i="1" a="1"/>
  <c r="AJ1191" i="1" s="1"/>
  <c r="AN1191" i="1" s="1"/>
  <c r="AI1191" i="1" a="1"/>
  <c r="AI1191" i="1" s="1"/>
  <c r="AM1191" i="1" s="1"/>
  <c r="AH1191" i="1"/>
  <c r="AA1191" i="1"/>
  <c r="Y1191" i="1"/>
  <c r="Z1191" i="1" s="1"/>
  <c r="G1191" i="1"/>
  <c r="D1191" i="1"/>
  <c r="C1191" i="1"/>
  <c r="AL1190" i="1"/>
  <c r="AK1190" i="1"/>
  <c r="AJ1190" i="1" a="1"/>
  <c r="AJ1190" i="1" s="1"/>
  <c r="AN1190" i="1" s="1"/>
  <c r="AI1190" i="1" a="1"/>
  <c r="AI1190" i="1" s="1"/>
  <c r="AM1190" i="1" s="1"/>
  <c r="AH1190" i="1"/>
  <c r="AA1190" i="1"/>
  <c r="Y1190" i="1"/>
  <c r="Z1190" i="1" s="1"/>
  <c r="G1190" i="1"/>
  <c r="D1190" i="1"/>
  <c r="C1190" i="1"/>
  <c r="AL1189" i="1"/>
  <c r="AK1189" i="1"/>
  <c r="AJ1189" i="1" a="1"/>
  <c r="AJ1189" i="1" s="1"/>
  <c r="AN1189" i="1" s="1"/>
  <c r="AI1189" i="1" a="1"/>
  <c r="AI1189" i="1" s="1"/>
  <c r="AM1189" i="1" s="1"/>
  <c r="AH1189" i="1"/>
  <c r="AA1189" i="1"/>
  <c r="Y1189" i="1"/>
  <c r="Z1189" i="1" s="1"/>
  <c r="G1189" i="1"/>
  <c r="D1189" i="1"/>
  <c r="C1189" i="1"/>
  <c r="AL1188" i="1"/>
  <c r="AK1188" i="1"/>
  <c r="AJ1188" i="1" a="1"/>
  <c r="AJ1188" i="1" s="1"/>
  <c r="AN1188" i="1" s="1"/>
  <c r="AI1188" i="1" a="1"/>
  <c r="AI1188" i="1" s="1"/>
  <c r="AM1188" i="1" s="1"/>
  <c r="AH1188" i="1"/>
  <c r="AA1188" i="1"/>
  <c r="Y1188" i="1"/>
  <c r="Z1188" i="1" s="1"/>
  <c r="G1188" i="1"/>
  <c r="D1188" i="1"/>
  <c r="C1188" i="1"/>
  <c r="AL1187" i="1"/>
  <c r="AK1187" i="1"/>
  <c r="AJ1187" i="1" a="1"/>
  <c r="AJ1187" i="1" s="1"/>
  <c r="AN1187" i="1" s="1"/>
  <c r="AI1187" i="1" a="1"/>
  <c r="AI1187" i="1" s="1"/>
  <c r="AM1187" i="1" s="1"/>
  <c r="AH1187" i="1"/>
  <c r="AA1187" i="1"/>
  <c r="Y1187" i="1"/>
  <c r="Z1187" i="1" s="1"/>
  <c r="G1187" i="1"/>
  <c r="D1187" i="1"/>
  <c r="C1187" i="1"/>
  <c r="AL1186" i="1"/>
  <c r="AK1186" i="1"/>
  <c r="AJ1186" i="1" a="1"/>
  <c r="AJ1186" i="1" s="1"/>
  <c r="AN1186" i="1" s="1"/>
  <c r="AI1186" i="1" a="1"/>
  <c r="AI1186" i="1" s="1"/>
  <c r="AM1186" i="1" s="1"/>
  <c r="AH1186" i="1"/>
  <c r="AA1186" i="1"/>
  <c r="Y1186" i="1"/>
  <c r="Z1186" i="1" s="1"/>
  <c r="G1186" i="1"/>
  <c r="D1186" i="1"/>
  <c r="C1186" i="1"/>
  <c r="AL1185" i="1"/>
  <c r="AK1185" i="1"/>
  <c r="AJ1185" i="1" a="1"/>
  <c r="AJ1185" i="1" s="1"/>
  <c r="AN1185" i="1" s="1"/>
  <c r="AI1185" i="1" a="1"/>
  <c r="AI1185" i="1" s="1"/>
  <c r="AM1185" i="1" s="1"/>
  <c r="AH1185" i="1"/>
  <c r="AA1185" i="1"/>
  <c r="Y1185" i="1"/>
  <c r="Z1185" i="1" s="1"/>
  <c r="G1185" i="1"/>
  <c r="D1185" i="1"/>
  <c r="C1185" i="1"/>
  <c r="AL1184" i="1"/>
  <c r="AK1184" i="1"/>
  <c r="AJ1184" i="1" a="1"/>
  <c r="AJ1184" i="1" s="1"/>
  <c r="AN1184" i="1" s="1"/>
  <c r="AI1184" i="1" a="1"/>
  <c r="AI1184" i="1" s="1"/>
  <c r="AM1184" i="1" s="1"/>
  <c r="AH1184" i="1"/>
  <c r="AA1184" i="1"/>
  <c r="Y1184" i="1"/>
  <c r="Z1184" i="1" s="1"/>
  <c r="G1184" i="1"/>
  <c r="D1184" i="1"/>
  <c r="C1184" i="1"/>
  <c r="AL1183" i="1"/>
  <c r="AK1183" i="1"/>
  <c r="AJ1183" i="1" a="1"/>
  <c r="AJ1183" i="1" s="1"/>
  <c r="AN1183" i="1" s="1"/>
  <c r="AI1183" i="1" a="1"/>
  <c r="AI1183" i="1" s="1"/>
  <c r="AM1183" i="1" s="1"/>
  <c r="AH1183" i="1"/>
  <c r="AA1183" i="1"/>
  <c r="Y1183" i="1"/>
  <c r="Z1183" i="1" s="1"/>
  <c r="G1183" i="1"/>
  <c r="D1183" i="1"/>
  <c r="C1183" i="1"/>
  <c r="AL1182" i="1"/>
  <c r="AK1182" i="1"/>
  <c r="AJ1182" i="1" a="1"/>
  <c r="AJ1182" i="1" s="1"/>
  <c r="AN1182" i="1" s="1"/>
  <c r="AI1182" i="1" a="1"/>
  <c r="AI1182" i="1" s="1"/>
  <c r="AM1182" i="1" s="1"/>
  <c r="AH1182" i="1"/>
  <c r="AA1182" i="1"/>
  <c r="Y1182" i="1"/>
  <c r="Z1182" i="1" s="1"/>
  <c r="G1182" i="1"/>
  <c r="D1182" i="1"/>
  <c r="C1182" i="1"/>
  <c r="AL1181" i="1"/>
  <c r="AK1181" i="1"/>
  <c r="AJ1181" i="1" a="1"/>
  <c r="AJ1181" i="1" s="1"/>
  <c r="AN1181" i="1" s="1"/>
  <c r="AI1181" i="1" a="1"/>
  <c r="AI1181" i="1" s="1"/>
  <c r="AM1181" i="1" s="1"/>
  <c r="AH1181" i="1"/>
  <c r="AA1181" i="1"/>
  <c r="Y1181" i="1"/>
  <c r="Z1181" i="1" s="1"/>
  <c r="G1181" i="1"/>
  <c r="D1181" i="1"/>
  <c r="C1181" i="1"/>
  <c r="AL1180" i="1"/>
  <c r="AK1180" i="1"/>
  <c r="AJ1180" i="1" a="1"/>
  <c r="AJ1180" i="1" s="1"/>
  <c r="AN1180" i="1" s="1"/>
  <c r="AI1180" i="1" a="1"/>
  <c r="AI1180" i="1" s="1"/>
  <c r="AM1180" i="1" s="1"/>
  <c r="AH1180" i="1"/>
  <c r="AA1180" i="1"/>
  <c r="Y1180" i="1"/>
  <c r="Z1180" i="1" s="1"/>
  <c r="G1180" i="1"/>
  <c r="D1180" i="1"/>
  <c r="C1180" i="1"/>
  <c r="AL1179" i="1"/>
  <c r="AK1179" i="1"/>
  <c r="AJ1179" i="1" a="1"/>
  <c r="AJ1179" i="1" s="1"/>
  <c r="AN1179" i="1" s="1"/>
  <c r="AI1179" i="1" a="1"/>
  <c r="AI1179" i="1" s="1"/>
  <c r="AM1179" i="1" s="1"/>
  <c r="AH1179" i="1"/>
  <c r="AA1179" i="1"/>
  <c r="Y1179" i="1"/>
  <c r="Z1179" i="1" s="1"/>
  <c r="G1179" i="1"/>
  <c r="D1179" i="1"/>
  <c r="C1179" i="1"/>
  <c r="AL1178" i="1"/>
  <c r="AK1178" i="1"/>
  <c r="AJ1178" i="1" a="1"/>
  <c r="AJ1178" i="1" s="1"/>
  <c r="AN1178" i="1" s="1"/>
  <c r="AI1178" i="1" a="1"/>
  <c r="AI1178" i="1" s="1"/>
  <c r="AM1178" i="1" s="1"/>
  <c r="AH1178" i="1"/>
  <c r="AA1178" i="1"/>
  <c r="Y1178" i="1"/>
  <c r="Z1178" i="1" s="1"/>
  <c r="G1178" i="1"/>
  <c r="D1178" i="1"/>
  <c r="C1178" i="1"/>
  <c r="AL1177" i="1"/>
  <c r="AK1177" i="1"/>
  <c r="AJ1177" i="1" a="1"/>
  <c r="AJ1177" i="1" s="1"/>
  <c r="AN1177" i="1" s="1"/>
  <c r="AI1177" i="1" a="1"/>
  <c r="AI1177" i="1" s="1"/>
  <c r="AM1177" i="1" s="1"/>
  <c r="AH1177" i="1"/>
  <c r="AA1177" i="1"/>
  <c r="Y1177" i="1"/>
  <c r="Z1177" i="1" s="1"/>
  <c r="G1177" i="1"/>
  <c r="D1177" i="1"/>
  <c r="C1177" i="1"/>
  <c r="AL1176" i="1"/>
  <c r="AK1176" i="1"/>
  <c r="AJ1176" i="1" a="1"/>
  <c r="AJ1176" i="1" s="1"/>
  <c r="AN1176" i="1" s="1"/>
  <c r="AI1176" i="1" a="1"/>
  <c r="AI1176" i="1" s="1"/>
  <c r="AM1176" i="1" s="1"/>
  <c r="AH1176" i="1"/>
  <c r="AA1176" i="1"/>
  <c r="Y1176" i="1"/>
  <c r="Z1176" i="1" s="1"/>
  <c r="G1176" i="1"/>
  <c r="D1176" i="1"/>
  <c r="C1176" i="1"/>
  <c r="AL1175" i="1"/>
  <c r="AK1175" i="1"/>
  <c r="AJ1175" i="1" a="1"/>
  <c r="AJ1175" i="1" s="1"/>
  <c r="AN1175" i="1" s="1"/>
  <c r="AI1175" i="1" a="1"/>
  <c r="AI1175" i="1" s="1"/>
  <c r="AM1175" i="1" s="1"/>
  <c r="AH1175" i="1"/>
  <c r="AA1175" i="1"/>
  <c r="Y1175" i="1"/>
  <c r="Z1175" i="1" s="1"/>
  <c r="G1175" i="1"/>
  <c r="D1175" i="1"/>
  <c r="C1175" i="1"/>
  <c r="AL1174" i="1"/>
  <c r="AK1174" i="1"/>
  <c r="AJ1174" i="1" a="1"/>
  <c r="AJ1174" i="1" s="1"/>
  <c r="AN1174" i="1" s="1"/>
  <c r="AI1174" i="1" a="1"/>
  <c r="AI1174" i="1" s="1"/>
  <c r="AM1174" i="1" s="1"/>
  <c r="AH1174" i="1"/>
  <c r="AA1174" i="1"/>
  <c r="Y1174" i="1"/>
  <c r="Z1174" i="1" s="1"/>
  <c r="G1174" i="1"/>
  <c r="D1174" i="1"/>
  <c r="C1174" i="1"/>
  <c r="AL1173" i="1"/>
  <c r="AK1173" i="1"/>
  <c r="AJ1173" i="1" a="1"/>
  <c r="AJ1173" i="1" s="1"/>
  <c r="AN1173" i="1" s="1"/>
  <c r="AI1173" i="1" a="1"/>
  <c r="AI1173" i="1" s="1"/>
  <c r="AM1173" i="1" s="1"/>
  <c r="AH1173" i="1"/>
  <c r="AA1173" i="1"/>
  <c r="Y1173" i="1"/>
  <c r="Z1173" i="1" s="1"/>
  <c r="G1173" i="1"/>
  <c r="D1173" i="1"/>
  <c r="C1173" i="1"/>
  <c r="AL1172" i="1"/>
  <c r="AK1172" i="1"/>
  <c r="AJ1172" i="1" a="1"/>
  <c r="AJ1172" i="1" s="1"/>
  <c r="AN1172" i="1" s="1"/>
  <c r="AI1172" i="1" a="1"/>
  <c r="AI1172" i="1" s="1"/>
  <c r="AM1172" i="1" s="1"/>
  <c r="AH1172" i="1"/>
  <c r="AA1172" i="1"/>
  <c r="Y1172" i="1"/>
  <c r="Z1172" i="1" s="1"/>
  <c r="G1172" i="1"/>
  <c r="D1172" i="1"/>
  <c r="C1172" i="1"/>
  <c r="AL1171" i="1"/>
  <c r="AK1171" i="1"/>
  <c r="AJ1171" i="1" a="1"/>
  <c r="AJ1171" i="1" s="1"/>
  <c r="AN1171" i="1" s="1"/>
  <c r="AI1171" i="1" a="1"/>
  <c r="AI1171" i="1" s="1"/>
  <c r="AM1171" i="1" s="1"/>
  <c r="AH1171" i="1"/>
  <c r="AA1171" i="1"/>
  <c r="Y1171" i="1"/>
  <c r="Z1171" i="1" s="1"/>
  <c r="G1171" i="1"/>
  <c r="D1171" i="1"/>
  <c r="C1171" i="1"/>
  <c r="AL1170" i="1"/>
  <c r="AK1170" i="1"/>
  <c r="AJ1170" i="1" a="1"/>
  <c r="AJ1170" i="1" s="1"/>
  <c r="AN1170" i="1" s="1"/>
  <c r="AI1170" i="1" a="1"/>
  <c r="AI1170" i="1" s="1"/>
  <c r="AM1170" i="1" s="1"/>
  <c r="AH1170" i="1"/>
  <c r="AA1170" i="1"/>
  <c r="Y1170" i="1"/>
  <c r="Z1170" i="1" s="1"/>
  <c r="G1170" i="1"/>
  <c r="D1170" i="1"/>
  <c r="C1170" i="1"/>
  <c r="AL1169" i="1"/>
  <c r="AK1169" i="1"/>
  <c r="AJ1169" i="1" a="1"/>
  <c r="AJ1169" i="1" s="1"/>
  <c r="AN1169" i="1" s="1"/>
  <c r="AI1169" i="1" a="1"/>
  <c r="AI1169" i="1" s="1"/>
  <c r="AM1169" i="1" s="1"/>
  <c r="AH1169" i="1"/>
  <c r="AA1169" i="1"/>
  <c r="Y1169" i="1"/>
  <c r="Z1169" i="1" s="1"/>
  <c r="G1169" i="1"/>
  <c r="D1169" i="1"/>
  <c r="C1169" i="1"/>
  <c r="AL1168" i="1"/>
  <c r="AK1168" i="1"/>
  <c r="AJ1168" i="1" a="1"/>
  <c r="AJ1168" i="1" s="1"/>
  <c r="AN1168" i="1" s="1"/>
  <c r="AI1168" i="1" a="1"/>
  <c r="AI1168" i="1" s="1"/>
  <c r="AM1168" i="1" s="1"/>
  <c r="AH1168" i="1"/>
  <c r="AA1168" i="1"/>
  <c r="Y1168" i="1"/>
  <c r="Z1168" i="1" s="1"/>
  <c r="G1168" i="1"/>
  <c r="D1168" i="1"/>
  <c r="C1168" i="1"/>
  <c r="AL1167" i="1"/>
  <c r="AK1167" i="1"/>
  <c r="AJ1167" i="1" a="1"/>
  <c r="AJ1167" i="1" s="1"/>
  <c r="AN1167" i="1" s="1"/>
  <c r="AI1167" i="1" a="1"/>
  <c r="AI1167" i="1" s="1"/>
  <c r="AM1167" i="1" s="1"/>
  <c r="AH1167" i="1"/>
  <c r="AA1167" i="1"/>
  <c r="Y1167" i="1"/>
  <c r="Z1167" i="1" s="1"/>
  <c r="G1167" i="1"/>
  <c r="D1167" i="1"/>
  <c r="C1167" i="1"/>
  <c r="AL1166" i="1"/>
  <c r="AK1166" i="1"/>
  <c r="AJ1166" i="1" a="1"/>
  <c r="AJ1166" i="1" s="1"/>
  <c r="AN1166" i="1" s="1"/>
  <c r="AI1166" i="1" a="1"/>
  <c r="AI1166" i="1" s="1"/>
  <c r="AM1166" i="1" s="1"/>
  <c r="AH1166" i="1"/>
  <c r="AA1166" i="1"/>
  <c r="Y1166" i="1"/>
  <c r="Z1166" i="1" s="1"/>
  <c r="G1166" i="1"/>
  <c r="D1166" i="1"/>
  <c r="C1166" i="1"/>
  <c r="AL1165" i="1"/>
  <c r="AK1165" i="1"/>
  <c r="AJ1165" i="1" a="1"/>
  <c r="AJ1165" i="1" s="1"/>
  <c r="AN1165" i="1" s="1"/>
  <c r="AI1165" i="1" a="1"/>
  <c r="AI1165" i="1" s="1"/>
  <c r="AM1165" i="1" s="1"/>
  <c r="AH1165" i="1"/>
  <c r="AA1165" i="1"/>
  <c r="Y1165" i="1"/>
  <c r="Z1165" i="1" s="1"/>
  <c r="G1165" i="1"/>
  <c r="D1165" i="1"/>
  <c r="C1165" i="1"/>
  <c r="AL1164" i="1"/>
  <c r="AK1164" i="1"/>
  <c r="AJ1164" i="1" a="1"/>
  <c r="AJ1164" i="1" s="1"/>
  <c r="AN1164" i="1" s="1"/>
  <c r="AI1164" i="1" a="1"/>
  <c r="AI1164" i="1" s="1"/>
  <c r="AM1164" i="1" s="1"/>
  <c r="AH1164" i="1"/>
  <c r="AA1164" i="1"/>
  <c r="Y1164" i="1"/>
  <c r="Z1164" i="1" s="1"/>
  <c r="G1164" i="1"/>
  <c r="D1164" i="1"/>
  <c r="C1164" i="1"/>
  <c r="AL1163" i="1"/>
  <c r="AK1163" i="1"/>
  <c r="AJ1163" i="1" a="1"/>
  <c r="AJ1163" i="1" s="1"/>
  <c r="AN1163" i="1" s="1"/>
  <c r="AI1163" i="1" a="1"/>
  <c r="AI1163" i="1" s="1"/>
  <c r="AM1163" i="1" s="1"/>
  <c r="AH1163" i="1"/>
  <c r="AA1163" i="1"/>
  <c r="Y1163" i="1"/>
  <c r="Z1163" i="1" s="1"/>
  <c r="G1163" i="1"/>
  <c r="D1163" i="1"/>
  <c r="C1163" i="1"/>
  <c r="AL1162" i="1"/>
  <c r="AK1162" i="1"/>
  <c r="AJ1162" i="1" a="1"/>
  <c r="AJ1162" i="1" s="1"/>
  <c r="AN1162" i="1" s="1"/>
  <c r="AI1162" i="1" a="1"/>
  <c r="AI1162" i="1" s="1"/>
  <c r="AM1162" i="1" s="1"/>
  <c r="AH1162" i="1"/>
  <c r="AA1162" i="1"/>
  <c r="Y1162" i="1"/>
  <c r="Z1162" i="1" s="1"/>
  <c r="G1162" i="1"/>
  <c r="D1162" i="1"/>
  <c r="C1162" i="1"/>
  <c r="AL1161" i="1"/>
  <c r="AK1161" i="1"/>
  <c r="AJ1161" i="1" a="1"/>
  <c r="AJ1161" i="1" s="1"/>
  <c r="AN1161" i="1" s="1"/>
  <c r="AI1161" i="1" a="1"/>
  <c r="AI1161" i="1" s="1"/>
  <c r="AM1161" i="1" s="1"/>
  <c r="AH1161" i="1"/>
  <c r="AA1161" i="1"/>
  <c r="Y1161" i="1"/>
  <c r="Z1161" i="1" s="1"/>
  <c r="G1161" i="1"/>
  <c r="D1161" i="1"/>
  <c r="C1161" i="1"/>
  <c r="AL1160" i="1"/>
  <c r="AK1160" i="1"/>
  <c r="AJ1160" i="1" a="1"/>
  <c r="AJ1160" i="1" s="1"/>
  <c r="AN1160" i="1" s="1"/>
  <c r="AI1160" i="1" a="1"/>
  <c r="AI1160" i="1" s="1"/>
  <c r="AM1160" i="1" s="1"/>
  <c r="AH1160" i="1"/>
  <c r="AA1160" i="1"/>
  <c r="Y1160" i="1"/>
  <c r="Z1160" i="1" s="1"/>
  <c r="G1160" i="1"/>
  <c r="D1160" i="1"/>
  <c r="C1160" i="1"/>
  <c r="AL1159" i="1"/>
  <c r="AK1159" i="1"/>
  <c r="AJ1159" i="1" a="1"/>
  <c r="AJ1159" i="1" s="1"/>
  <c r="AN1159" i="1" s="1"/>
  <c r="AI1159" i="1" a="1"/>
  <c r="AI1159" i="1" s="1"/>
  <c r="AM1159" i="1" s="1"/>
  <c r="AH1159" i="1"/>
  <c r="AA1159" i="1"/>
  <c r="Y1159" i="1"/>
  <c r="Z1159" i="1" s="1"/>
  <c r="G1159" i="1"/>
  <c r="D1159" i="1"/>
  <c r="C1159" i="1"/>
  <c r="AL1158" i="1"/>
  <c r="AK1158" i="1"/>
  <c r="AJ1158" i="1" a="1"/>
  <c r="AJ1158" i="1" s="1"/>
  <c r="AN1158" i="1" s="1"/>
  <c r="AI1158" i="1" a="1"/>
  <c r="AI1158" i="1" s="1"/>
  <c r="AM1158" i="1" s="1"/>
  <c r="AH1158" i="1"/>
  <c r="AA1158" i="1"/>
  <c r="Y1158" i="1"/>
  <c r="Z1158" i="1" s="1"/>
  <c r="G1158" i="1"/>
  <c r="D1158" i="1"/>
  <c r="C1158" i="1"/>
  <c r="AL1157" i="1"/>
  <c r="AK1157" i="1"/>
  <c r="AJ1157" i="1" a="1"/>
  <c r="AJ1157" i="1" s="1"/>
  <c r="AN1157" i="1" s="1"/>
  <c r="AI1157" i="1" a="1"/>
  <c r="AI1157" i="1" s="1"/>
  <c r="AM1157" i="1" s="1"/>
  <c r="AH1157" i="1"/>
  <c r="AA1157" i="1"/>
  <c r="Y1157" i="1"/>
  <c r="Z1157" i="1" s="1"/>
  <c r="G1157" i="1"/>
  <c r="D1157" i="1"/>
  <c r="C1157" i="1"/>
  <c r="AL1156" i="1"/>
  <c r="AK1156" i="1"/>
  <c r="AJ1156" i="1" a="1"/>
  <c r="AJ1156" i="1" s="1"/>
  <c r="AN1156" i="1" s="1"/>
  <c r="AI1156" i="1" a="1"/>
  <c r="AI1156" i="1" s="1"/>
  <c r="AM1156" i="1" s="1"/>
  <c r="AH1156" i="1"/>
  <c r="AA1156" i="1"/>
  <c r="Y1156" i="1"/>
  <c r="Z1156" i="1" s="1"/>
  <c r="G1156" i="1"/>
  <c r="D1156" i="1"/>
  <c r="C1156" i="1"/>
  <c r="AL1155" i="1"/>
  <c r="AK1155" i="1"/>
  <c r="AJ1155" i="1" a="1"/>
  <c r="AJ1155" i="1" s="1"/>
  <c r="AN1155" i="1" s="1"/>
  <c r="AI1155" i="1" a="1"/>
  <c r="AI1155" i="1" s="1"/>
  <c r="AM1155" i="1" s="1"/>
  <c r="AH1155" i="1"/>
  <c r="AA1155" i="1"/>
  <c r="Y1155" i="1"/>
  <c r="Z1155" i="1" s="1"/>
  <c r="G1155" i="1"/>
  <c r="D1155" i="1"/>
  <c r="C1155" i="1"/>
  <c r="AL1154" i="1"/>
  <c r="AK1154" i="1"/>
  <c r="AJ1154" i="1" a="1"/>
  <c r="AJ1154" i="1" s="1"/>
  <c r="AN1154" i="1" s="1"/>
  <c r="AI1154" i="1" a="1"/>
  <c r="AI1154" i="1" s="1"/>
  <c r="AM1154" i="1" s="1"/>
  <c r="AH1154" i="1"/>
  <c r="AA1154" i="1"/>
  <c r="Y1154" i="1"/>
  <c r="Z1154" i="1" s="1"/>
  <c r="G1154" i="1"/>
  <c r="D1154" i="1"/>
  <c r="C1154" i="1"/>
  <c r="AL1153" i="1"/>
  <c r="AK1153" i="1"/>
  <c r="AJ1153" i="1" a="1"/>
  <c r="AJ1153" i="1" s="1"/>
  <c r="AN1153" i="1" s="1"/>
  <c r="AI1153" i="1" a="1"/>
  <c r="AI1153" i="1" s="1"/>
  <c r="AM1153" i="1" s="1"/>
  <c r="AH1153" i="1"/>
  <c r="AA1153" i="1"/>
  <c r="Y1153" i="1"/>
  <c r="Z1153" i="1" s="1"/>
  <c r="G1153" i="1"/>
  <c r="D1153" i="1"/>
  <c r="C1153" i="1"/>
  <c r="AL1152" i="1"/>
  <c r="AK1152" i="1"/>
  <c r="AJ1152" i="1" a="1"/>
  <c r="AJ1152" i="1" s="1"/>
  <c r="AN1152" i="1" s="1"/>
  <c r="AI1152" i="1" a="1"/>
  <c r="AI1152" i="1" s="1"/>
  <c r="AM1152" i="1" s="1"/>
  <c r="AH1152" i="1"/>
  <c r="AA1152" i="1"/>
  <c r="Y1152" i="1"/>
  <c r="Z1152" i="1" s="1"/>
  <c r="G1152" i="1"/>
  <c r="D1152" i="1"/>
  <c r="C1152" i="1"/>
  <c r="AL1151" i="1"/>
  <c r="AK1151" i="1"/>
  <c r="AJ1151" i="1" a="1"/>
  <c r="AJ1151" i="1" s="1"/>
  <c r="AN1151" i="1" s="1"/>
  <c r="AI1151" i="1" a="1"/>
  <c r="AI1151" i="1" s="1"/>
  <c r="AM1151" i="1" s="1"/>
  <c r="AH1151" i="1"/>
  <c r="AA1151" i="1"/>
  <c r="Y1151" i="1"/>
  <c r="Z1151" i="1" s="1"/>
  <c r="G1151" i="1"/>
  <c r="D1151" i="1"/>
  <c r="C1151" i="1"/>
  <c r="AL1150" i="1"/>
  <c r="AK1150" i="1"/>
  <c r="AJ1150" i="1" a="1"/>
  <c r="AJ1150" i="1" s="1"/>
  <c r="AN1150" i="1" s="1"/>
  <c r="AI1150" i="1" a="1"/>
  <c r="AI1150" i="1" s="1"/>
  <c r="AM1150" i="1" s="1"/>
  <c r="AH1150" i="1"/>
  <c r="AA1150" i="1"/>
  <c r="Y1150" i="1"/>
  <c r="Z1150" i="1" s="1"/>
  <c r="G1150" i="1"/>
  <c r="D1150" i="1"/>
  <c r="C1150" i="1"/>
  <c r="AL1149" i="1"/>
  <c r="AK1149" i="1"/>
  <c r="AJ1149" i="1" a="1"/>
  <c r="AJ1149" i="1" s="1"/>
  <c r="AN1149" i="1" s="1"/>
  <c r="AI1149" i="1" a="1"/>
  <c r="AI1149" i="1" s="1"/>
  <c r="AM1149" i="1" s="1"/>
  <c r="AH1149" i="1"/>
  <c r="AA1149" i="1"/>
  <c r="Y1149" i="1"/>
  <c r="Z1149" i="1" s="1"/>
  <c r="G1149" i="1"/>
  <c r="D1149" i="1"/>
  <c r="C1149" i="1"/>
  <c r="AL1148" i="1"/>
  <c r="AK1148" i="1"/>
  <c r="AJ1148" i="1" a="1"/>
  <c r="AJ1148" i="1" s="1"/>
  <c r="AN1148" i="1" s="1"/>
  <c r="AI1148" i="1" a="1"/>
  <c r="AI1148" i="1" s="1"/>
  <c r="AM1148" i="1" s="1"/>
  <c r="AH1148" i="1"/>
  <c r="AA1148" i="1"/>
  <c r="Y1148" i="1"/>
  <c r="Z1148" i="1" s="1"/>
  <c r="G1148" i="1"/>
  <c r="D1148" i="1"/>
  <c r="C1148" i="1"/>
  <c r="AL1147" i="1"/>
  <c r="AK1147" i="1"/>
  <c r="AJ1147" i="1" a="1"/>
  <c r="AJ1147" i="1" s="1"/>
  <c r="AN1147" i="1" s="1"/>
  <c r="AI1147" i="1" a="1"/>
  <c r="AI1147" i="1" s="1"/>
  <c r="AM1147" i="1" s="1"/>
  <c r="AH1147" i="1"/>
  <c r="AA1147" i="1"/>
  <c r="Y1147" i="1"/>
  <c r="Z1147" i="1" s="1"/>
  <c r="G1147" i="1"/>
  <c r="D1147" i="1"/>
  <c r="C1147" i="1"/>
  <c r="AL1146" i="1"/>
  <c r="AK1146" i="1"/>
  <c r="AJ1146" i="1" a="1"/>
  <c r="AJ1146" i="1" s="1"/>
  <c r="AN1146" i="1" s="1"/>
  <c r="AI1146" i="1" a="1"/>
  <c r="AI1146" i="1" s="1"/>
  <c r="AM1146" i="1" s="1"/>
  <c r="AH1146" i="1"/>
  <c r="AA1146" i="1"/>
  <c r="Y1146" i="1"/>
  <c r="Z1146" i="1" s="1"/>
  <c r="G1146" i="1"/>
  <c r="D1146" i="1"/>
  <c r="C1146" i="1"/>
  <c r="AL1145" i="1"/>
  <c r="AK1145" i="1"/>
  <c r="AJ1145" i="1" a="1"/>
  <c r="AJ1145" i="1" s="1"/>
  <c r="AN1145" i="1" s="1"/>
  <c r="AI1145" i="1" a="1"/>
  <c r="AI1145" i="1" s="1"/>
  <c r="AM1145" i="1" s="1"/>
  <c r="AH1145" i="1"/>
  <c r="AA1145" i="1"/>
  <c r="Y1145" i="1"/>
  <c r="Z1145" i="1" s="1"/>
  <c r="G1145" i="1"/>
  <c r="D1145" i="1"/>
  <c r="C1145" i="1"/>
  <c r="AL1144" i="1"/>
  <c r="AK1144" i="1"/>
  <c r="AJ1144" i="1" a="1"/>
  <c r="AJ1144" i="1" s="1"/>
  <c r="AN1144" i="1" s="1"/>
  <c r="AI1144" i="1" a="1"/>
  <c r="AI1144" i="1" s="1"/>
  <c r="AM1144" i="1" s="1"/>
  <c r="AH1144" i="1"/>
  <c r="AA1144" i="1"/>
  <c r="Y1144" i="1"/>
  <c r="Z1144" i="1" s="1"/>
  <c r="G1144" i="1"/>
  <c r="D1144" i="1"/>
  <c r="C1144" i="1"/>
  <c r="AL1143" i="1"/>
  <c r="AK1143" i="1"/>
  <c r="AJ1143" i="1" a="1"/>
  <c r="AJ1143" i="1" s="1"/>
  <c r="AN1143" i="1" s="1"/>
  <c r="AI1143" i="1" a="1"/>
  <c r="AI1143" i="1" s="1"/>
  <c r="AM1143" i="1" s="1"/>
  <c r="AH1143" i="1"/>
  <c r="AA1143" i="1"/>
  <c r="Y1143" i="1"/>
  <c r="Z1143" i="1" s="1"/>
  <c r="G1143" i="1"/>
  <c r="D1143" i="1"/>
  <c r="C1143" i="1"/>
  <c r="AL1142" i="1"/>
  <c r="AK1142" i="1"/>
  <c r="AJ1142" i="1" a="1"/>
  <c r="AJ1142" i="1" s="1"/>
  <c r="AN1142" i="1" s="1"/>
  <c r="AI1142" i="1" a="1"/>
  <c r="AI1142" i="1" s="1"/>
  <c r="AM1142" i="1" s="1"/>
  <c r="AH1142" i="1"/>
  <c r="AA1142" i="1"/>
  <c r="Y1142" i="1"/>
  <c r="Z1142" i="1" s="1"/>
  <c r="G1142" i="1"/>
  <c r="D1142" i="1"/>
  <c r="C1142" i="1"/>
  <c r="AL1141" i="1"/>
  <c r="AK1141" i="1"/>
  <c r="AJ1141" i="1" a="1"/>
  <c r="AJ1141" i="1" s="1"/>
  <c r="AN1141" i="1" s="1"/>
  <c r="AI1141" i="1" a="1"/>
  <c r="AI1141" i="1" s="1"/>
  <c r="AM1141" i="1" s="1"/>
  <c r="AH1141" i="1"/>
  <c r="AA1141" i="1"/>
  <c r="Y1141" i="1"/>
  <c r="Z1141" i="1" s="1"/>
  <c r="G1141" i="1"/>
  <c r="D1141" i="1"/>
  <c r="C1141" i="1"/>
  <c r="AL1140" i="1"/>
  <c r="AK1140" i="1"/>
  <c r="AJ1140" i="1" a="1"/>
  <c r="AJ1140" i="1" s="1"/>
  <c r="AN1140" i="1" s="1"/>
  <c r="AI1140" i="1" a="1"/>
  <c r="AI1140" i="1" s="1"/>
  <c r="AM1140" i="1" s="1"/>
  <c r="AH1140" i="1"/>
  <c r="AA1140" i="1"/>
  <c r="Y1140" i="1"/>
  <c r="Z1140" i="1" s="1"/>
  <c r="G1140" i="1"/>
  <c r="D1140" i="1"/>
  <c r="C1140" i="1"/>
  <c r="AL1139" i="1"/>
  <c r="AK1139" i="1"/>
  <c r="AJ1139" i="1" a="1"/>
  <c r="AJ1139" i="1" s="1"/>
  <c r="AN1139" i="1" s="1"/>
  <c r="AI1139" i="1" a="1"/>
  <c r="AI1139" i="1" s="1"/>
  <c r="AM1139" i="1" s="1"/>
  <c r="AH1139" i="1"/>
  <c r="AA1139" i="1"/>
  <c r="Y1139" i="1"/>
  <c r="Z1139" i="1" s="1"/>
  <c r="G1139" i="1"/>
  <c r="D1139" i="1"/>
  <c r="C1139" i="1"/>
  <c r="AL1138" i="1"/>
  <c r="AK1138" i="1"/>
  <c r="AJ1138" i="1" a="1"/>
  <c r="AJ1138" i="1" s="1"/>
  <c r="AN1138" i="1" s="1"/>
  <c r="AI1138" i="1" a="1"/>
  <c r="AI1138" i="1" s="1"/>
  <c r="AM1138" i="1" s="1"/>
  <c r="AH1138" i="1"/>
  <c r="AA1138" i="1"/>
  <c r="Y1138" i="1"/>
  <c r="Z1138" i="1" s="1"/>
  <c r="G1138" i="1"/>
  <c r="D1138" i="1"/>
  <c r="C1138" i="1"/>
  <c r="AL1137" i="1"/>
  <c r="AK1137" i="1"/>
  <c r="AJ1137" i="1" a="1"/>
  <c r="AJ1137" i="1" s="1"/>
  <c r="AN1137" i="1" s="1"/>
  <c r="AI1137" i="1" a="1"/>
  <c r="AI1137" i="1" s="1"/>
  <c r="AM1137" i="1" s="1"/>
  <c r="AH1137" i="1"/>
  <c r="AA1137" i="1"/>
  <c r="Y1137" i="1"/>
  <c r="Z1137" i="1" s="1"/>
  <c r="G1137" i="1"/>
  <c r="D1137" i="1"/>
  <c r="C1137" i="1"/>
  <c r="AL1136" i="1"/>
  <c r="AK1136" i="1"/>
  <c r="AJ1136" i="1" a="1"/>
  <c r="AJ1136" i="1" s="1"/>
  <c r="AN1136" i="1" s="1"/>
  <c r="AI1136" i="1" a="1"/>
  <c r="AI1136" i="1" s="1"/>
  <c r="AM1136" i="1" s="1"/>
  <c r="AH1136" i="1"/>
  <c r="AA1136" i="1"/>
  <c r="Y1136" i="1"/>
  <c r="Z1136" i="1" s="1"/>
  <c r="G1136" i="1"/>
  <c r="D1136" i="1"/>
  <c r="C1136" i="1"/>
  <c r="AL1135" i="1"/>
  <c r="AK1135" i="1"/>
  <c r="AJ1135" i="1" a="1"/>
  <c r="AJ1135" i="1" s="1"/>
  <c r="AN1135" i="1" s="1"/>
  <c r="AI1135" i="1" a="1"/>
  <c r="AI1135" i="1" s="1"/>
  <c r="AM1135" i="1" s="1"/>
  <c r="AH1135" i="1"/>
  <c r="AA1135" i="1"/>
  <c r="Y1135" i="1"/>
  <c r="Z1135" i="1" s="1"/>
  <c r="G1135" i="1"/>
  <c r="D1135" i="1"/>
  <c r="C1135" i="1"/>
  <c r="AL1134" i="1"/>
  <c r="AK1134" i="1"/>
  <c r="AJ1134" i="1" a="1"/>
  <c r="AJ1134" i="1" s="1"/>
  <c r="AN1134" i="1" s="1"/>
  <c r="AI1134" i="1" a="1"/>
  <c r="AI1134" i="1" s="1"/>
  <c r="AM1134" i="1" s="1"/>
  <c r="AH1134" i="1"/>
  <c r="AA1134" i="1"/>
  <c r="Y1134" i="1"/>
  <c r="Z1134" i="1" s="1"/>
  <c r="G1134" i="1"/>
  <c r="D1134" i="1"/>
  <c r="C1134" i="1"/>
  <c r="AL1133" i="1"/>
  <c r="AK1133" i="1"/>
  <c r="AJ1133" i="1" a="1"/>
  <c r="AJ1133" i="1" s="1"/>
  <c r="AN1133" i="1" s="1"/>
  <c r="AI1133" i="1" a="1"/>
  <c r="AI1133" i="1" s="1"/>
  <c r="AM1133" i="1" s="1"/>
  <c r="AH1133" i="1"/>
  <c r="AA1133" i="1"/>
  <c r="Y1133" i="1"/>
  <c r="Z1133" i="1" s="1"/>
  <c r="G1133" i="1"/>
  <c r="D1133" i="1"/>
  <c r="C1133" i="1"/>
  <c r="AL1132" i="1"/>
  <c r="AK1132" i="1"/>
  <c r="AJ1132" i="1" a="1"/>
  <c r="AJ1132" i="1" s="1"/>
  <c r="AN1132" i="1" s="1"/>
  <c r="AI1132" i="1" a="1"/>
  <c r="AI1132" i="1" s="1"/>
  <c r="AM1132" i="1" s="1"/>
  <c r="AH1132" i="1"/>
  <c r="AA1132" i="1"/>
  <c r="Y1132" i="1"/>
  <c r="Z1132" i="1" s="1"/>
  <c r="G1132" i="1"/>
  <c r="D1132" i="1"/>
  <c r="C1132" i="1"/>
  <c r="AL1131" i="1"/>
  <c r="AK1131" i="1"/>
  <c r="AJ1131" i="1" a="1"/>
  <c r="AJ1131" i="1" s="1"/>
  <c r="AN1131" i="1" s="1"/>
  <c r="AI1131" i="1" a="1"/>
  <c r="AI1131" i="1" s="1"/>
  <c r="AM1131" i="1" s="1"/>
  <c r="AH1131" i="1"/>
  <c r="AA1131" i="1"/>
  <c r="Y1131" i="1"/>
  <c r="Z1131" i="1" s="1"/>
  <c r="G1131" i="1"/>
  <c r="D1131" i="1"/>
  <c r="C1131" i="1"/>
  <c r="AL1130" i="1"/>
  <c r="AK1130" i="1"/>
  <c r="AJ1130" i="1" a="1"/>
  <c r="AJ1130" i="1" s="1"/>
  <c r="AN1130" i="1" s="1"/>
  <c r="AI1130" i="1" a="1"/>
  <c r="AI1130" i="1" s="1"/>
  <c r="AM1130" i="1" s="1"/>
  <c r="AH1130" i="1"/>
  <c r="AA1130" i="1"/>
  <c r="Y1130" i="1"/>
  <c r="Z1130" i="1" s="1"/>
  <c r="G1130" i="1"/>
  <c r="D1130" i="1"/>
  <c r="C1130" i="1"/>
  <c r="AL1129" i="1"/>
  <c r="AK1129" i="1"/>
  <c r="AJ1129" i="1" a="1"/>
  <c r="AJ1129" i="1" s="1"/>
  <c r="AN1129" i="1" s="1"/>
  <c r="AI1129" i="1" a="1"/>
  <c r="AI1129" i="1" s="1"/>
  <c r="AM1129" i="1" s="1"/>
  <c r="AH1129" i="1"/>
  <c r="AA1129" i="1"/>
  <c r="Y1129" i="1"/>
  <c r="Z1129" i="1" s="1"/>
  <c r="G1129" i="1"/>
  <c r="D1129" i="1"/>
  <c r="C1129" i="1"/>
  <c r="AL1128" i="1"/>
  <c r="AK1128" i="1"/>
  <c r="AJ1128" i="1" a="1"/>
  <c r="AJ1128" i="1" s="1"/>
  <c r="AN1128" i="1" s="1"/>
  <c r="AI1128" i="1" a="1"/>
  <c r="AI1128" i="1" s="1"/>
  <c r="AM1128" i="1" s="1"/>
  <c r="AH1128" i="1"/>
  <c r="AA1128" i="1"/>
  <c r="Y1128" i="1"/>
  <c r="Z1128" i="1" s="1"/>
  <c r="G1128" i="1"/>
  <c r="D1128" i="1"/>
  <c r="C1128" i="1"/>
  <c r="AL1127" i="1"/>
  <c r="AK1127" i="1"/>
  <c r="AJ1127" i="1" a="1"/>
  <c r="AJ1127" i="1" s="1"/>
  <c r="AN1127" i="1" s="1"/>
  <c r="AI1127" i="1" a="1"/>
  <c r="AI1127" i="1" s="1"/>
  <c r="AM1127" i="1" s="1"/>
  <c r="AH1127" i="1"/>
  <c r="AA1127" i="1"/>
  <c r="Y1127" i="1"/>
  <c r="Z1127" i="1" s="1"/>
  <c r="G1127" i="1"/>
  <c r="D1127" i="1"/>
  <c r="C1127" i="1"/>
  <c r="AL1126" i="1"/>
  <c r="AK1126" i="1"/>
  <c r="AJ1126" i="1" a="1"/>
  <c r="AJ1126" i="1" s="1"/>
  <c r="AN1126" i="1" s="1"/>
  <c r="AI1126" i="1" a="1"/>
  <c r="AI1126" i="1" s="1"/>
  <c r="AM1126" i="1" s="1"/>
  <c r="AH1126" i="1"/>
  <c r="AA1126" i="1"/>
  <c r="Y1126" i="1"/>
  <c r="Z1126" i="1" s="1"/>
  <c r="G1126" i="1"/>
  <c r="D1126" i="1"/>
  <c r="C1126" i="1"/>
  <c r="AL1125" i="1"/>
  <c r="AK1125" i="1"/>
  <c r="AJ1125" i="1" a="1"/>
  <c r="AJ1125" i="1" s="1"/>
  <c r="AN1125" i="1" s="1"/>
  <c r="AI1125" i="1" a="1"/>
  <c r="AI1125" i="1" s="1"/>
  <c r="AM1125" i="1" s="1"/>
  <c r="AH1125" i="1"/>
  <c r="AA1125" i="1"/>
  <c r="Y1125" i="1"/>
  <c r="Z1125" i="1" s="1"/>
  <c r="G1125" i="1"/>
  <c r="D1125" i="1"/>
  <c r="C1125" i="1"/>
  <c r="AL1124" i="1"/>
  <c r="AK1124" i="1"/>
  <c r="AJ1124" i="1" a="1"/>
  <c r="AJ1124" i="1" s="1"/>
  <c r="AN1124" i="1" s="1"/>
  <c r="AI1124" i="1" a="1"/>
  <c r="AI1124" i="1" s="1"/>
  <c r="AM1124" i="1" s="1"/>
  <c r="AH1124" i="1"/>
  <c r="AA1124" i="1"/>
  <c r="Y1124" i="1"/>
  <c r="Z1124" i="1" s="1"/>
  <c r="G1124" i="1"/>
  <c r="D1124" i="1"/>
  <c r="C1124" i="1"/>
  <c r="AL1123" i="1"/>
  <c r="AK1123" i="1"/>
  <c r="AJ1123" i="1" a="1"/>
  <c r="AJ1123" i="1" s="1"/>
  <c r="AN1123" i="1" s="1"/>
  <c r="AI1123" i="1" a="1"/>
  <c r="AI1123" i="1" s="1"/>
  <c r="AM1123" i="1" s="1"/>
  <c r="AH1123" i="1"/>
  <c r="AA1123" i="1"/>
  <c r="Y1123" i="1"/>
  <c r="Z1123" i="1" s="1"/>
  <c r="G1123" i="1"/>
  <c r="D1123" i="1"/>
  <c r="C1123" i="1"/>
  <c r="AL1122" i="1"/>
  <c r="AK1122" i="1"/>
  <c r="AJ1122" i="1" a="1"/>
  <c r="AJ1122" i="1" s="1"/>
  <c r="AN1122" i="1" s="1"/>
  <c r="AI1122" i="1" a="1"/>
  <c r="AI1122" i="1" s="1"/>
  <c r="AM1122" i="1" s="1"/>
  <c r="AH1122" i="1"/>
  <c r="AA1122" i="1"/>
  <c r="Y1122" i="1"/>
  <c r="Z1122" i="1" s="1"/>
  <c r="G1122" i="1"/>
  <c r="D1122" i="1"/>
  <c r="C1122" i="1"/>
  <c r="AL1121" i="1"/>
  <c r="AK1121" i="1"/>
  <c r="AJ1121" i="1" a="1"/>
  <c r="AJ1121" i="1" s="1"/>
  <c r="AN1121" i="1" s="1"/>
  <c r="AI1121" i="1" a="1"/>
  <c r="AI1121" i="1" s="1"/>
  <c r="AM1121" i="1" s="1"/>
  <c r="AH1121" i="1"/>
  <c r="AA1121" i="1"/>
  <c r="Y1121" i="1"/>
  <c r="Z1121" i="1" s="1"/>
  <c r="G1121" i="1"/>
  <c r="D1121" i="1"/>
  <c r="C1121" i="1"/>
  <c r="AL1120" i="1"/>
  <c r="AK1120" i="1"/>
  <c r="AJ1120" i="1" a="1"/>
  <c r="AJ1120" i="1" s="1"/>
  <c r="AN1120" i="1" s="1"/>
  <c r="AI1120" i="1" a="1"/>
  <c r="AI1120" i="1" s="1"/>
  <c r="AM1120" i="1" s="1"/>
  <c r="AH1120" i="1"/>
  <c r="AA1120" i="1"/>
  <c r="Y1120" i="1"/>
  <c r="Z1120" i="1" s="1"/>
  <c r="G1120" i="1"/>
  <c r="D1120" i="1"/>
  <c r="C1120" i="1"/>
  <c r="AL1119" i="1"/>
  <c r="AK1119" i="1"/>
  <c r="AJ1119" i="1" a="1"/>
  <c r="AJ1119" i="1" s="1"/>
  <c r="AN1119" i="1" s="1"/>
  <c r="AI1119" i="1" a="1"/>
  <c r="AI1119" i="1" s="1"/>
  <c r="AM1119" i="1" s="1"/>
  <c r="AH1119" i="1"/>
  <c r="AA1119" i="1"/>
  <c r="Y1119" i="1"/>
  <c r="Z1119" i="1" s="1"/>
  <c r="G1119" i="1"/>
  <c r="D1119" i="1"/>
  <c r="C1119" i="1"/>
  <c r="AL1118" i="1"/>
  <c r="AK1118" i="1"/>
  <c r="AJ1118" i="1" a="1"/>
  <c r="AJ1118" i="1" s="1"/>
  <c r="AN1118" i="1" s="1"/>
  <c r="AI1118" i="1" a="1"/>
  <c r="AI1118" i="1" s="1"/>
  <c r="AM1118" i="1" s="1"/>
  <c r="AH1118" i="1"/>
  <c r="AA1118" i="1"/>
  <c r="Y1118" i="1"/>
  <c r="Z1118" i="1" s="1"/>
  <c r="G1118" i="1"/>
  <c r="D1118" i="1"/>
  <c r="C1118" i="1"/>
  <c r="AL1117" i="1"/>
  <c r="AK1117" i="1"/>
  <c r="AJ1117" i="1" a="1"/>
  <c r="AJ1117" i="1" s="1"/>
  <c r="AN1117" i="1" s="1"/>
  <c r="AI1117" i="1" a="1"/>
  <c r="AI1117" i="1" s="1"/>
  <c r="AM1117" i="1" s="1"/>
  <c r="AH1117" i="1"/>
  <c r="AA1117" i="1"/>
  <c r="Y1117" i="1"/>
  <c r="Z1117" i="1" s="1"/>
  <c r="G1117" i="1"/>
  <c r="D1117" i="1"/>
  <c r="C1117" i="1"/>
  <c r="AL1116" i="1"/>
  <c r="AK1116" i="1"/>
  <c r="AJ1116" i="1" a="1"/>
  <c r="AJ1116" i="1" s="1"/>
  <c r="AN1116" i="1" s="1"/>
  <c r="AI1116" i="1" a="1"/>
  <c r="AI1116" i="1" s="1"/>
  <c r="AM1116" i="1" s="1"/>
  <c r="AH1116" i="1"/>
  <c r="AA1116" i="1"/>
  <c r="Y1116" i="1"/>
  <c r="Z1116" i="1" s="1"/>
  <c r="G1116" i="1"/>
  <c r="D1116" i="1"/>
  <c r="C1116" i="1"/>
  <c r="AL1115" i="1"/>
  <c r="AK1115" i="1"/>
  <c r="AJ1115" i="1" a="1"/>
  <c r="AJ1115" i="1" s="1"/>
  <c r="AN1115" i="1" s="1"/>
  <c r="AI1115" i="1" a="1"/>
  <c r="AI1115" i="1" s="1"/>
  <c r="AM1115" i="1" s="1"/>
  <c r="AH1115" i="1"/>
  <c r="AA1115" i="1"/>
  <c r="Y1115" i="1"/>
  <c r="Z1115" i="1" s="1"/>
  <c r="G1115" i="1"/>
  <c r="D1115" i="1"/>
  <c r="C1115" i="1"/>
  <c r="AL1114" i="1"/>
  <c r="AK1114" i="1"/>
  <c r="AJ1114" i="1" a="1"/>
  <c r="AJ1114" i="1" s="1"/>
  <c r="AN1114" i="1" s="1"/>
  <c r="AI1114" i="1" a="1"/>
  <c r="AI1114" i="1" s="1"/>
  <c r="AM1114" i="1" s="1"/>
  <c r="AH1114" i="1"/>
  <c r="AA1114" i="1"/>
  <c r="Y1114" i="1"/>
  <c r="Z1114" i="1" s="1"/>
  <c r="G1114" i="1"/>
  <c r="D1114" i="1"/>
  <c r="C1114" i="1"/>
  <c r="AL1113" i="1"/>
  <c r="AK1113" i="1"/>
  <c r="AJ1113" i="1" a="1"/>
  <c r="AJ1113" i="1" s="1"/>
  <c r="AN1113" i="1" s="1"/>
  <c r="AI1113" i="1" a="1"/>
  <c r="AI1113" i="1" s="1"/>
  <c r="AM1113" i="1" s="1"/>
  <c r="AH1113" i="1"/>
  <c r="AA1113" i="1"/>
  <c r="Y1113" i="1"/>
  <c r="Z1113" i="1" s="1"/>
  <c r="G1113" i="1"/>
  <c r="D1113" i="1"/>
  <c r="C1113" i="1"/>
  <c r="AL1112" i="1"/>
  <c r="AK1112" i="1"/>
  <c r="AJ1112" i="1" a="1"/>
  <c r="AJ1112" i="1" s="1"/>
  <c r="AN1112" i="1" s="1"/>
  <c r="AI1112" i="1" a="1"/>
  <c r="AI1112" i="1" s="1"/>
  <c r="AM1112" i="1" s="1"/>
  <c r="AH1112" i="1"/>
  <c r="AA1112" i="1"/>
  <c r="Y1112" i="1"/>
  <c r="Z1112" i="1" s="1"/>
  <c r="G1112" i="1"/>
  <c r="D1112" i="1"/>
  <c r="C1112" i="1"/>
  <c r="AL1111" i="1"/>
  <c r="AK1111" i="1"/>
  <c r="AJ1111" i="1" a="1"/>
  <c r="AJ1111" i="1" s="1"/>
  <c r="AN1111" i="1" s="1"/>
  <c r="AI1111" i="1" a="1"/>
  <c r="AI1111" i="1" s="1"/>
  <c r="AM1111" i="1" s="1"/>
  <c r="AH1111" i="1"/>
  <c r="AA1111" i="1"/>
  <c r="Y1111" i="1"/>
  <c r="Z1111" i="1" s="1"/>
  <c r="G1111" i="1"/>
  <c r="D1111" i="1"/>
  <c r="C1111" i="1"/>
  <c r="AL1110" i="1"/>
  <c r="AK1110" i="1"/>
  <c r="AJ1110" i="1" a="1"/>
  <c r="AJ1110" i="1" s="1"/>
  <c r="AN1110" i="1" s="1"/>
  <c r="AI1110" i="1" a="1"/>
  <c r="AI1110" i="1" s="1"/>
  <c r="AM1110" i="1" s="1"/>
  <c r="AH1110" i="1"/>
  <c r="AA1110" i="1"/>
  <c r="Y1110" i="1"/>
  <c r="Z1110" i="1" s="1"/>
  <c r="G1110" i="1"/>
  <c r="D1110" i="1"/>
  <c r="C1110" i="1"/>
  <c r="AL1109" i="1"/>
  <c r="AK1109" i="1"/>
  <c r="AJ1109" i="1" a="1"/>
  <c r="AJ1109" i="1" s="1"/>
  <c r="AN1109" i="1" s="1"/>
  <c r="AI1109" i="1" a="1"/>
  <c r="AI1109" i="1" s="1"/>
  <c r="AM1109" i="1" s="1"/>
  <c r="AH1109" i="1"/>
  <c r="AA1109" i="1"/>
  <c r="Y1109" i="1"/>
  <c r="Z1109" i="1" s="1"/>
  <c r="G1109" i="1"/>
  <c r="D1109" i="1"/>
  <c r="C1109" i="1"/>
  <c r="AL1108" i="1"/>
  <c r="AK1108" i="1"/>
  <c r="AJ1108" i="1" a="1"/>
  <c r="AJ1108" i="1" s="1"/>
  <c r="AN1108" i="1" s="1"/>
  <c r="AI1108" i="1" a="1"/>
  <c r="AI1108" i="1" s="1"/>
  <c r="AM1108" i="1" s="1"/>
  <c r="AH1108" i="1"/>
  <c r="AA1108" i="1"/>
  <c r="Y1108" i="1"/>
  <c r="Z1108" i="1" s="1"/>
  <c r="G1108" i="1"/>
  <c r="D1108" i="1"/>
  <c r="C1108" i="1"/>
  <c r="AL1107" i="1"/>
  <c r="AK1107" i="1"/>
  <c r="AJ1107" i="1" a="1"/>
  <c r="AJ1107" i="1" s="1"/>
  <c r="AN1107" i="1" s="1"/>
  <c r="AI1107" i="1" a="1"/>
  <c r="AI1107" i="1" s="1"/>
  <c r="AM1107" i="1" s="1"/>
  <c r="AH1107" i="1"/>
  <c r="AA1107" i="1"/>
  <c r="Y1107" i="1"/>
  <c r="Z1107" i="1" s="1"/>
  <c r="G1107" i="1"/>
  <c r="D1107" i="1"/>
  <c r="C1107" i="1"/>
  <c r="AL1106" i="1"/>
  <c r="AK1106" i="1"/>
  <c r="AJ1106" i="1" a="1"/>
  <c r="AJ1106" i="1" s="1"/>
  <c r="AN1106" i="1" s="1"/>
  <c r="AI1106" i="1" a="1"/>
  <c r="AI1106" i="1" s="1"/>
  <c r="AM1106" i="1" s="1"/>
  <c r="AH1106" i="1"/>
  <c r="AA1106" i="1"/>
  <c r="Y1106" i="1"/>
  <c r="Z1106" i="1" s="1"/>
  <c r="G1106" i="1"/>
  <c r="D1106" i="1"/>
  <c r="C1106" i="1"/>
  <c r="AL1105" i="1"/>
  <c r="AK1105" i="1"/>
  <c r="AJ1105" i="1" a="1"/>
  <c r="AJ1105" i="1" s="1"/>
  <c r="AN1105" i="1" s="1"/>
  <c r="AI1105" i="1" a="1"/>
  <c r="AI1105" i="1" s="1"/>
  <c r="AM1105" i="1" s="1"/>
  <c r="AH1105" i="1"/>
  <c r="AA1105" i="1"/>
  <c r="Y1105" i="1"/>
  <c r="Z1105" i="1" s="1"/>
  <c r="G1105" i="1"/>
  <c r="D1105" i="1"/>
  <c r="C1105" i="1"/>
  <c r="AL1104" i="1"/>
  <c r="AK1104" i="1"/>
  <c r="AJ1104" i="1" a="1"/>
  <c r="AJ1104" i="1" s="1"/>
  <c r="AN1104" i="1" s="1"/>
  <c r="AI1104" i="1" a="1"/>
  <c r="AI1104" i="1" s="1"/>
  <c r="AM1104" i="1" s="1"/>
  <c r="AH1104" i="1"/>
  <c r="AA1104" i="1"/>
  <c r="Y1104" i="1"/>
  <c r="Z1104" i="1" s="1"/>
  <c r="G1104" i="1"/>
  <c r="D1104" i="1"/>
  <c r="C1104" i="1"/>
  <c r="AL1103" i="1"/>
  <c r="AK1103" i="1"/>
  <c r="AJ1103" i="1" a="1"/>
  <c r="AJ1103" i="1" s="1"/>
  <c r="AN1103" i="1" s="1"/>
  <c r="AI1103" i="1" a="1"/>
  <c r="AI1103" i="1" s="1"/>
  <c r="AM1103" i="1" s="1"/>
  <c r="AH1103" i="1"/>
  <c r="AA1103" i="1"/>
  <c r="Y1103" i="1"/>
  <c r="Z1103" i="1" s="1"/>
  <c r="G1103" i="1"/>
  <c r="D1103" i="1"/>
  <c r="C1103" i="1"/>
  <c r="AL1102" i="1"/>
  <c r="AK1102" i="1"/>
  <c r="AJ1102" i="1" a="1"/>
  <c r="AJ1102" i="1" s="1"/>
  <c r="AN1102" i="1" s="1"/>
  <c r="AI1102" i="1" a="1"/>
  <c r="AI1102" i="1" s="1"/>
  <c r="AM1102" i="1" s="1"/>
  <c r="AH1102" i="1"/>
  <c r="AA1102" i="1"/>
  <c r="Y1102" i="1"/>
  <c r="Z1102" i="1" s="1"/>
  <c r="G1102" i="1"/>
  <c r="D1102" i="1"/>
  <c r="C1102" i="1"/>
  <c r="AL1101" i="1"/>
  <c r="AK1101" i="1"/>
  <c r="AJ1101" i="1" a="1"/>
  <c r="AJ1101" i="1" s="1"/>
  <c r="AN1101" i="1" s="1"/>
  <c r="AI1101" i="1" a="1"/>
  <c r="AI1101" i="1" s="1"/>
  <c r="AM1101" i="1" s="1"/>
  <c r="AH1101" i="1"/>
  <c r="AA1101" i="1"/>
  <c r="Y1101" i="1"/>
  <c r="Z1101" i="1" s="1"/>
  <c r="G1101" i="1"/>
  <c r="D1101" i="1"/>
  <c r="C1101" i="1"/>
  <c r="AL1100" i="1"/>
  <c r="AK1100" i="1"/>
  <c r="AJ1100" i="1" a="1"/>
  <c r="AJ1100" i="1" s="1"/>
  <c r="AN1100" i="1" s="1"/>
  <c r="AI1100" i="1" a="1"/>
  <c r="AI1100" i="1" s="1"/>
  <c r="AM1100" i="1" s="1"/>
  <c r="AH1100" i="1"/>
  <c r="AA1100" i="1"/>
  <c r="Y1100" i="1"/>
  <c r="Z1100" i="1" s="1"/>
  <c r="G1100" i="1"/>
  <c r="D1100" i="1"/>
  <c r="C1100" i="1"/>
  <c r="AL1099" i="1"/>
  <c r="AK1099" i="1"/>
  <c r="AJ1099" i="1" a="1"/>
  <c r="AJ1099" i="1" s="1"/>
  <c r="AN1099" i="1" s="1"/>
  <c r="AI1099" i="1" a="1"/>
  <c r="AI1099" i="1" s="1"/>
  <c r="AM1099" i="1" s="1"/>
  <c r="AH1099" i="1"/>
  <c r="AA1099" i="1"/>
  <c r="Y1099" i="1"/>
  <c r="Z1099" i="1" s="1"/>
  <c r="G1099" i="1"/>
  <c r="D1099" i="1"/>
  <c r="C1099" i="1"/>
  <c r="AL1098" i="1"/>
  <c r="AK1098" i="1"/>
  <c r="AJ1098" i="1" a="1"/>
  <c r="AJ1098" i="1" s="1"/>
  <c r="AN1098" i="1" s="1"/>
  <c r="AI1098" i="1" a="1"/>
  <c r="AI1098" i="1" s="1"/>
  <c r="AM1098" i="1" s="1"/>
  <c r="AH1098" i="1"/>
  <c r="AA1098" i="1"/>
  <c r="Y1098" i="1"/>
  <c r="Z1098" i="1" s="1"/>
  <c r="G1098" i="1"/>
  <c r="D1098" i="1"/>
  <c r="C1098" i="1"/>
  <c r="AL1097" i="1"/>
  <c r="AK1097" i="1"/>
  <c r="AJ1097" i="1" a="1"/>
  <c r="AJ1097" i="1" s="1"/>
  <c r="AN1097" i="1" s="1"/>
  <c r="AI1097" i="1" a="1"/>
  <c r="AI1097" i="1" s="1"/>
  <c r="AM1097" i="1" s="1"/>
  <c r="AH1097" i="1"/>
  <c r="AA1097" i="1"/>
  <c r="Y1097" i="1"/>
  <c r="Z1097" i="1" s="1"/>
  <c r="G1097" i="1"/>
  <c r="D1097" i="1"/>
  <c r="C1097" i="1"/>
  <c r="AL1096" i="1"/>
  <c r="AK1096" i="1"/>
  <c r="AJ1096" i="1" a="1"/>
  <c r="AJ1096" i="1" s="1"/>
  <c r="AN1096" i="1" s="1"/>
  <c r="AI1096" i="1" a="1"/>
  <c r="AI1096" i="1" s="1"/>
  <c r="AM1096" i="1" s="1"/>
  <c r="AH1096" i="1"/>
  <c r="AA1096" i="1"/>
  <c r="Y1096" i="1"/>
  <c r="Z1096" i="1" s="1"/>
  <c r="G1096" i="1"/>
  <c r="D1096" i="1"/>
  <c r="C1096" i="1"/>
  <c r="AL1095" i="1"/>
  <c r="AK1095" i="1"/>
  <c r="AJ1095" i="1" a="1"/>
  <c r="AJ1095" i="1" s="1"/>
  <c r="AN1095" i="1" s="1"/>
  <c r="AI1095" i="1" a="1"/>
  <c r="AI1095" i="1" s="1"/>
  <c r="AM1095" i="1" s="1"/>
  <c r="AH1095" i="1"/>
  <c r="AA1095" i="1"/>
  <c r="Y1095" i="1"/>
  <c r="Z1095" i="1" s="1"/>
  <c r="G1095" i="1"/>
  <c r="D1095" i="1"/>
  <c r="C1095" i="1"/>
  <c r="AL1094" i="1"/>
  <c r="AK1094" i="1"/>
  <c r="AJ1094" i="1" a="1"/>
  <c r="AJ1094" i="1" s="1"/>
  <c r="AN1094" i="1" s="1"/>
  <c r="AI1094" i="1" a="1"/>
  <c r="AI1094" i="1" s="1"/>
  <c r="AM1094" i="1" s="1"/>
  <c r="AH1094" i="1"/>
  <c r="AA1094" i="1"/>
  <c r="Y1094" i="1"/>
  <c r="Z1094" i="1" s="1"/>
  <c r="G1094" i="1"/>
  <c r="D1094" i="1"/>
  <c r="C1094" i="1"/>
  <c r="AL1093" i="1"/>
  <c r="AK1093" i="1"/>
  <c r="AJ1093" i="1" a="1"/>
  <c r="AJ1093" i="1" s="1"/>
  <c r="AN1093" i="1" s="1"/>
  <c r="AI1093" i="1" a="1"/>
  <c r="AI1093" i="1" s="1"/>
  <c r="AM1093" i="1" s="1"/>
  <c r="AH1093" i="1"/>
  <c r="AA1093" i="1"/>
  <c r="Y1093" i="1"/>
  <c r="Z1093" i="1" s="1"/>
  <c r="G1093" i="1"/>
  <c r="D1093" i="1"/>
  <c r="C1093" i="1"/>
  <c r="AL1092" i="1"/>
  <c r="AK1092" i="1"/>
  <c r="AJ1092" i="1" a="1"/>
  <c r="AJ1092" i="1" s="1"/>
  <c r="AN1092" i="1" s="1"/>
  <c r="AI1092" i="1" a="1"/>
  <c r="AI1092" i="1" s="1"/>
  <c r="AM1092" i="1" s="1"/>
  <c r="AH1092" i="1"/>
  <c r="AA1092" i="1"/>
  <c r="Y1092" i="1"/>
  <c r="Z1092" i="1" s="1"/>
  <c r="G1092" i="1"/>
  <c r="D1092" i="1"/>
  <c r="C1092" i="1"/>
  <c r="AL1091" i="1"/>
  <c r="AK1091" i="1"/>
  <c r="AJ1091" i="1" a="1"/>
  <c r="AJ1091" i="1" s="1"/>
  <c r="AN1091" i="1" s="1"/>
  <c r="AI1091" i="1" a="1"/>
  <c r="AI1091" i="1" s="1"/>
  <c r="AM1091" i="1" s="1"/>
  <c r="AH1091" i="1"/>
  <c r="AA1091" i="1"/>
  <c r="Y1091" i="1"/>
  <c r="Z1091" i="1" s="1"/>
  <c r="G1091" i="1"/>
  <c r="D1091" i="1"/>
  <c r="C1091" i="1"/>
  <c r="AL1090" i="1"/>
  <c r="AK1090" i="1"/>
  <c r="AJ1090" i="1" a="1"/>
  <c r="AJ1090" i="1" s="1"/>
  <c r="AN1090" i="1" s="1"/>
  <c r="AI1090" i="1" a="1"/>
  <c r="AI1090" i="1" s="1"/>
  <c r="AM1090" i="1" s="1"/>
  <c r="AH1090" i="1"/>
  <c r="AA1090" i="1"/>
  <c r="Y1090" i="1"/>
  <c r="Z1090" i="1" s="1"/>
  <c r="G1090" i="1"/>
  <c r="D1090" i="1"/>
  <c r="C1090" i="1"/>
  <c r="AL1089" i="1"/>
  <c r="AK1089" i="1"/>
  <c r="AJ1089" i="1" a="1"/>
  <c r="AJ1089" i="1" s="1"/>
  <c r="AN1089" i="1" s="1"/>
  <c r="AI1089" i="1" a="1"/>
  <c r="AI1089" i="1" s="1"/>
  <c r="AM1089" i="1" s="1"/>
  <c r="AH1089" i="1"/>
  <c r="AA1089" i="1"/>
  <c r="Y1089" i="1"/>
  <c r="Z1089" i="1" s="1"/>
  <c r="G1089" i="1"/>
  <c r="D1089" i="1"/>
  <c r="C1089" i="1"/>
  <c r="AL1088" i="1"/>
  <c r="AK1088" i="1"/>
  <c r="AJ1088" i="1" a="1"/>
  <c r="AJ1088" i="1" s="1"/>
  <c r="AN1088" i="1" s="1"/>
  <c r="AI1088" i="1" a="1"/>
  <c r="AI1088" i="1" s="1"/>
  <c r="AM1088" i="1" s="1"/>
  <c r="AH1088" i="1"/>
  <c r="AA1088" i="1"/>
  <c r="Y1088" i="1"/>
  <c r="Z1088" i="1" s="1"/>
  <c r="G1088" i="1"/>
  <c r="D1088" i="1"/>
  <c r="C1088" i="1"/>
  <c r="AL1087" i="1"/>
  <c r="AK1087" i="1"/>
  <c r="AJ1087" i="1" a="1"/>
  <c r="AJ1087" i="1" s="1"/>
  <c r="AN1087" i="1" s="1"/>
  <c r="AI1087" i="1" a="1"/>
  <c r="AI1087" i="1" s="1"/>
  <c r="AM1087" i="1" s="1"/>
  <c r="AH1087" i="1"/>
  <c r="AA1087" i="1"/>
  <c r="Y1087" i="1"/>
  <c r="Z1087" i="1" s="1"/>
  <c r="G1087" i="1"/>
  <c r="D1087" i="1"/>
  <c r="C1087" i="1"/>
  <c r="AL1086" i="1"/>
  <c r="AK1086" i="1"/>
  <c r="AJ1086" i="1" a="1"/>
  <c r="AJ1086" i="1" s="1"/>
  <c r="AN1086" i="1" s="1"/>
  <c r="AI1086" i="1" a="1"/>
  <c r="AI1086" i="1" s="1"/>
  <c r="AM1086" i="1" s="1"/>
  <c r="AH1086" i="1"/>
  <c r="AA1086" i="1"/>
  <c r="Y1086" i="1"/>
  <c r="Z1086" i="1" s="1"/>
  <c r="G1086" i="1"/>
  <c r="D1086" i="1"/>
  <c r="C1086" i="1"/>
  <c r="AL1085" i="1"/>
  <c r="AK1085" i="1"/>
  <c r="AJ1085" i="1" a="1"/>
  <c r="AJ1085" i="1" s="1"/>
  <c r="AN1085" i="1" s="1"/>
  <c r="AI1085" i="1" a="1"/>
  <c r="AI1085" i="1" s="1"/>
  <c r="AM1085" i="1" s="1"/>
  <c r="AH1085" i="1"/>
  <c r="AA1085" i="1"/>
  <c r="Y1085" i="1"/>
  <c r="Z1085" i="1" s="1"/>
  <c r="G1085" i="1"/>
  <c r="D1085" i="1"/>
  <c r="C1085" i="1"/>
  <c r="AL1084" i="1"/>
  <c r="AK1084" i="1"/>
  <c r="AJ1084" i="1" a="1"/>
  <c r="AJ1084" i="1" s="1"/>
  <c r="AN1084" i="1" s="1"/>
  <c r="AI1084" i="1" a="1"/>
  <c r="AI1084" i="1" s="1"/>
  <c r="AM1084" i="1" s="1"/>
  <c r="AH1084" i="1"/>
  <c r="AA1084" i="1"/>
  <c r="Y1084" i="1"/>
  <c r="Z1084" i="1" s="1"/>
  <c r="G1084" i="1"/>
  <c r="D1084" i="1"/>
  <c r="C1084" i="1"/>
  <c r="AL1083" i="1"/>
  <c r="AK1083" i="1"/>
  <c r="AJ1083" i="1" a="1"/>
  <c r="AJ1083" i="1" s="1"/>
  <c r="AN1083" i="1" s="1"/>
  <c r="AI1083" i="1" a="1"/>
  <c r="AI1083" i="1" s="1"/>
  <c r="AM1083" i="1" s="1"/>
  <c r="AH1083" i="1"/>
  <c r="AA1083" i="1"/>
  <c r="Y1083" i="1"/>
  <c r="Z1083" i="1" s="1"/>
  <c r="G1083" i="1"/>
  <c r="D1083" i="1"/>
  <c r="C1083" i="1"/>
  <c r="AL1082" i="1"/>
  <c r="AK1082" i="1"/>
  <c r="AJ1082" i="1" a="1"/>
  <c r="AJ1082" i="1" s="1"/>
  <c r="AN1082" i="1" s="1"/>
  <c r="AI1082" i="1" a="1"/>
  <c r="AI1082" i="1" s="1"/>
  <c r="AM1082" i="1" s="1"/>
  <c r="AH1082" i="1"/>
  <c r="AA1082" i="1"/>
  <c r="Y1082" i="1"/>
  <c r="Z1082" i="1" s="1"/>
  <c r="G1082" i="1"/>
  <c r="D1082" i="1"/>
  <c r="C1082" i="1"/>
  <c r="AL1081" i="1"/>
  <c r="AK1081" i="1"/>
  <c r="AJ1081" i="1" a="1"/>
  <c r="AJ1081" i="1" s="1"/>
  <c r="AN1081" i="1" s="1"/>
  <c r="AI1081" i="1" a="1"/>
  <c r="AI1081" i="1" s="1"/>
  <c r="AM1081" i="1" s="1"/>
  <c r="AH1081" i="1"/>
  <c r="AA1081" i="1"/>
  <c r="Y1081" i="1"/>
  <c r="Z1081" i="1" s="1"/>
  <c r="G1081" i="1"/>
  <c r="D1081" i="1"/>
  <c r="C1081" i="1"/>
  <c r="AL1080" i="1"/>
  <c r="AK1080" i="1"/>
  <c r="AJ1080" i="1" a="1"/>
  <c r="AJ1080" i="1" s="1"/>
  <c r="AN1080" i="1" s="1"/>
  <c r="AI1080" i="1" a="1"/>
  <c r="AI1080" i="1" s="1"/>
  <c r="AM1080" i="1" s="1"/>
  <c r="AH1080" i="1"/>
  <c r="AA1080" i="1"/>
  <c r="Y1080" i="1"/>
  <c r="Z1080" i="1" s="1"/>
  <c r="G1080" i="1"/>
  <c r="D1080" i="1"/>
  <c r="C1080" i="1"/>
  <c r="AL1079" i="1"/>
  <c r="AK1079" i="1"/>
  <c r="AJ1079" i="1" a="1"/>
  <c r="AJ1079" i="1" s="1"/>
  <c r="AN1079" i="1" s="1"/>
  <c r="AI1079" i="1" a="1"/>
  <c r="AI1079" i="1" s="1"/>
  <c r="AM1079" i="1" s="1"/>
  <c r="AH1079" i="1"/>
  <c r="AA1079" i="1"/>
  <c r="Y1079" i="1"/>
  <c r="Z1079" i="1" s="1"/>
  <c r="G1079" i="1"/>
  <c r="D1079" i="1"/>
  <c r="C1079" i="1"/>
  <c r="AL1078" i="1"/>
  <c r="AK1078" i="1"/>
  <c r="AJ1078" i="1" a="1"/>
  <c r="AJ1078" i="1" s="1"/>
  <c r="AN1078" i="1" s="1"/>
  <c r="AI1078" i="1" a="1"/>
  <c r="AI1078" i="1" s="1"/>
  <c r="AM1078" i="1" s="1"/>
  <c r="AH1078" i="1"/>
  <c r="AA1078" i="1"/>
  <c r="Y1078" i="1"/>
  <c r="Z1078" i="1" s="1"/>
  <c r="G1078" i="1"/>
  <c r="D1078" i="1"/>
  <c r="C1078" i="1"/>
  <c r="AL1077" i="1"/>
  <c r="AK1077" i="1"/>
  <c r="AJ1077" i="1" a="1"/>
  <c r="AJ1077" i="1" s="1"/>
  <c r="AN1077" i="1" s="1"/>
  <c r="AI1077" i="1" a="1"/>
  <c r="AI1077" i="1" s="1"/>
  <c r="AM1077" i="1" s="1"/>
  <c r="AH1077" i="1"/>
  <c r="AA1077" i="1"/>
  <c r="Y1077" i="1"/>
  <c r="Z1077" i="1" s="1"/>
  <c r="G1077" i="1"/>
  <c r="D1077" i="1"/>
  <c r="C1077" i="1"/>
  <c r="AL1076" i="1"/>
  <c r="AK1076" i="1"/>
  <c r="AJ1076" i="1" a="1"/>
  <c r="AJ1076" i="1" s="1"/>
  <c r="AN1076" i="1" s="1"/>
  <c r="AI1076" i="1" a="1"/>
  <c r="AI1076" i="1" s="1"/>
  <c r="AM1076" i="1" s="1"/>
  <c r="AH1076" i="1"/>
  <c r="AA1076" i="1"/>
  <c r="Y1076" i="1"/>
  <c r="Z1076" i="1" s="1"/>
  <c r="G1076" i="1"/>
  <c r="D1076" i="1"/>
  <c r="C1076" i="1"/>
  <c r="AL1075" i="1"/>
  <c r="AK1075" i="1"/>
  <c r="AJ1075" i="1" a="1"/>
  <c r="AJ1075" i="1" s="1"/>
  <c r="AN1075" i="1" s="1"/>
  <c r="AI1075" i="1" a="1"/>
  <c r="AI1075" i="1" s="1"/>
  <c r="AM1075" i="1" s="1"/>
  <c r="AH1075" i="1"/>
  <c r="AA1075" i="1"/>
  <c r="Y1075" i="1"/>
  <c r="Z1075" i="1" s="1"/>
  <c r="G1075" i="1"/>
  <c r="D1075" i="1"/>
  <c r="C1075" i="1"/>
  <c r="AL1074" i="1"/>
  <c r="AK1074" i="1"/>
  <c r="AJ1074" i="1" a="1"/>
  <c r="AJ1074" i="1" s="1"/>
  <c r="AN1074" i="1" s="1"/>
  <c r="AI1074" i="1" a="1"/>
  <c r="AI1074" i="1" s="1"/>
  <c r="AM1074" i="1" s="1"/>
  <c r="AH1074" i="1"/>
  <c r="AA1074" i="1"/>
  <c r="Y1074" i="1"/>
  <c r="Z1074" i="1" s="1"/>
  <c r="G1074" i="1"/>
  <c r="D1074" i="1"/>
  <c r="C1074" i="1"/>
  <c r="AL1073" i="1"/>
  <c r="AK1073" i="1"/>
  <c r="AJ1073" i="1" a="1"/>
  <c r="AJ1073" i="1" s="1"/>
  <c r="AN1073" i="1" s="1"/>
  <c r="AI1073" i="1" a="1"/>
  <c r="AI1073" i="1" s="1"/>
  <c r="AM1073" i="1" s="1"/>
  <c r="AH1073" i="1"/>
  <c r="AA1073" i="1"/>
  <c r="Y1073" i="1"/>
  <c r="Z1073" i="1" s="1"/>
  <c r="G1073" i="1"/>
  <c r="D1073" i="1"/>
  <c r="C1073" i="1"/>
  <c r="AL1072" i="1"/>
  <c r="AK1072" i="1"/>
  <c r="AJ1072" i="1" a="1"/>
  <c r="AJ1072" i="1" s="1"/>
  <c r="AN1072" i="1" s="1"/>
  <c r="AI1072" i="1" a="1"/>
  <c r="AI1072" i="1" s="1"/>
  <c r="AM1072" i="1" s="1"/>
  <c r="AH1072" i="1"/>
  <c r="AA1072" i="1"/>
  <c r="Y1072" i="1"/>
  <c r="Z1072" i="1" s="1"/>
  <c r="G1072" i="1"/>
  <c r="D1072" i="1"/>
  <c r="C1072" i="1"/>
  <c r="AL1071" i="1"/>
  <c r="AK1071" i="1"/>
  <c r="AJ1071" i="1" a="1"/>
  <c r="AJ1071" i="1" s="1"/>
  <c r="AN1071" i="1" s="1"/>
  <c r="AI1071" i="1" a="1"/>
  <c r="AI1071" i="1" s="1"/>
  <c r="AM1071" i="1" s="1"/>
  <c r="AH1071" i="1"/>
  <c r="AA1071" i="1"/>
  <c r="Y1071" i="1"/>
  <c r="Z1071" i="1" s="1"/>
  <c r="G1071" i="1"/>
  <c r="D1071" i="1"/>
  <c r="C1071" i="1"/>
  <c r="AL1070" i="1"/>
  <c r="AK1070" i="1"/>
  <c r="AJ1070" i="1" a="1"/>
  <c r="AJ1070" i="1" s="1"/>
  <c r="AN1070" i="1" s="1"/>
  <c r="AI1070" i="1" a="1"/>
  <c r="AI1070" i="1" s="1"/>
  <c r="AM1070" i="1" s="1"/>
  <c r="AH1070" i="1"/>
  <c r="AA1070" i="1"/>
  <c r="Y1070" i="1"/>
  <c r="Z1070" i="1" s="1"/>
  <c r="G1070" i="1"/>
  <c r="D1070" i="1"/>
  <c r="C1070" i="1"/>
  <c r="AL1069" i="1"/>
  <c r="AK1069" i="1"/>
  <c r="AJ1069" i="1" a="1"/>
  <c r="AJ1069" i="1" s="1"/>
  <c r="AN1069" i="1" s="1"/>
  <c r="AI1069" i="1" a="1"/>
  <c r="AI1069" i="1" s="1"/>
  <c r="AM1069" i="1" s="1"/>
  <c r="AH1069" i="1"/>
  <c r="AA1069" i="1"/>
  <c r="Y1069" i="1"/>
  <c r="Z1069" i="1" s="1"/>
  <c r="G1069" i="1"/>
  <c r="D1069" i="1"/>
  <c r="C1069" i="1"/>
  <c r="AL1068" i="1"/>
  <c r="AK1068" i="1"/>
  <c r="AJ1068" i="1" a="1"/>
  <c r="AJ1068" i="1" s="1"/>
  <c r="AN1068" i="1" s="1"/>
  <c r="AI1068" i="1" a="1"/>
  <c r="AI1068" i="1" s="1"/>
  <c r="AM1068" i="1" s="1"/>
  <c r="AH1068" i="1"/>
  <c r="AA1068" i="1"/>
  <c r="Y1068" i="1"/>
  <c r="Z1068" i="1" s="1"/>
  <c r="G1068" i="1"/>
  <c r="D1068" i="1"/>
  <c r="C1068" i="1"/>
  <c r="AL1067" i="1"/>
  <c r="AK1067" i="1"/>
  <c r="AJ1067" i="1" a="1"/>
  <c r="AJ1067" i="1" s="1"/>
  <c r="AN1067" i="1" s="1"/>
  <c r="AI1067" i="1" a="1"/>
  <c r="AI1067" i="1" s="1"/>
  <c r="AM1067" i="1" s="1"/>
  <c r="AH1067" i="1"/>
  <c r="AA1067" i="1"/>
  <c r="Y1067" i="1"/>
  <c r="Z1067" i="1" s="1"/>
  <c r="G1067" i="1"/>
  <c r="D1067" i="1"/>
  <c r="C1067" i="1"/>
  <c r="AL1066" i="1"/>
  <c r="AK1066" i="1"/>
  <c r="AJ1066" i="1" a="1"/>
  <c r="AJ1066" i="1" s="1"/>
  <c r="AN1066" i="1" s="1"/>
  <c r="AI1066" i="1" a="1"/>
  <c r="AI1066" i="1" s="1"/>
  <c r="AM1066" i="1" s="1"/>
  <c r="AH1066" i="1"/>
  <c r="AA1066" i="1"/>
  <c r="Y1066" i="1"/>
  <c r="Z1066" i="1" s="1"/>
  <c r="G1066" i="1"/>
  <c r="D1066" i="1"/>
  <c r="C1066" i="1"/>
  <c r="AL1065" i="1"/>
  <c r="AK1065" i="1"/>
  <c r="AJ1065" i="1" a="1"/>
  <c r="AJ1065" i="1" s="1"/>
  <c r="AN1065" i="1" s="1"/>
  <c r="AI1065" i="1" a="1"/>
  <c r="AI1065" i="1" s="1"/>
  <c r="AM1065" i="1" s="1"/>
  <c r="AH1065" i="1"/>
  <c r="AA1065" i="1"/>
  <c r="Y1065" i="1"/>
  <c r="Z1065" i="1" s="1"/>
  <c r="G1065" i="1"/>
  <c r="D1065" i="1"/>
  <c r="C1065" i="1"/>
  <c r="AL1064" i="1"/>
  <c r="AK1064" i="1"/>
  <c r="AJ1064" i="1" a="1"/>
  <c r="AJ1064" i="1" s="1"/>
  <c r="AN1064" i="1" s="1"/>
  <c r="AI1064" i="1" a="1"/>
  <c r="AI1064" i="1" s="1"/>
  <c r="AM1064" i="1" s="1"/>
  <c r="AH1064" i="1"/>
  <c r="AA1064" i="1"/>
  <c r="Y1064" i="1"/>
  <c r="Z1064" i="1" s="1"/>
  <c r="G1064" i="1"/>
  <c r="D1064" i="1"/>
  <c r="C1064" i="1"/>
  <c r="AL1063" i="1"/>
  <c r="AK1063" i="1"/>
  <c r="AJ1063" i="1" a="1"/>
  <c r="AJ1063" i="1" s="1"/>
  <c r="AN1063" i="1" s="1"/>
  <c r="AI1063" i="1" a="1"/>
  <c r="AI1063" i="1" s="1"/>
  <c r="AM1063" i="1" s="1"/>
  <c r="AH1063" i="1"/>
  <c r="AA1063" i="1"/>
  <c r="Y1063" i="1"/>
  <c r="Z1063" i="1" s="1"/>
  <c r="G1063" i="1"/>
  <c r="D1063" i="1"/>
  <c r="C1063" i="1"/>
  <c r="AL1062" i="1"/>
  <c r="AK1062" i="1"/>
  <c r="AJ1062" i="1" a="1"/>
  <c r="AJ1062" i="1" s="1"/>
  <c r="AN1062" i="1" s="1"/>
  <c r="AI1062" i="1" a="1"/>
  <c r="AI1062" i="1" s="1"/>
  <c r="AM1062" i="1" s="1"/>
  <c r="AH1062" i="1"/>
  <c r="AA1062" i="1"/>
  <c r="Y1062" i="1"/>
  <c r="Z1062" i="1" s="1"/>
  <c r="G1062" i="1"/>
  <c r="D1062" i="1"/>
  <c r="C1062" i="1"/>
  <c r="AL1061" i="1"/>
  <c r="AK1061" i="1"/>
  <c r="AJ1061" i="1" a="1"/>
  <c r="AJ1061" i="1" s="1"/>
  <c r="AN1061" i="1" s="1"/>
  <c r="AI1061" i="1" a="1"/>
  <c r="AI1061" i="1" s="1"/>
  <c r="AM1061" i="1" s="1"/>
  <c r="AH1061" i="1"/>
  <c r="AA1061" i="1"/>
  <c r="Y1061" i="1"/>
  <c r="Z1061" i="1" s="1"/>
  <c r="G1061" i="1"/>
  <c r="D1061" i="1"/>
  <c r="C1061" i="1"/>
  <c r="AL1060" i="1"/>
  <c r="AK1060" i="1"/>
  <c r="AJ1060" i="1" a="1"/>
  <c r="AJ1060" i="1" s="1"/>
  <c r="AN1060" i="1" s="1"/>
  <c r="AI1060" i="1" a="1"/>
  <c r="AI1060" i="1" s="1"/>
  <c r="AM1060" i="1" s="1"/>
  <c r="AH1060" i="1"/>
  <c r="AA1060" i="1"/>
  <c r="Y1060" i="1"/>
  <c r="Z1060" i="1" s="1"/>
  <c r="G1060" i="1"/>
  <c r="D1060" i="1"/>
  <c r="C1060" i="1"/>
  <c r="AL1059" i="1"/>
  <c r="AK1059" i="1"/>
  <c r="AJ1059" i="1" a="1"/>
  <c r="AJ1059" i="1" s="1"/>
  <c r="AN1059" i="1" s="1"/>
  <c r="AI1059" i="1" a="1"/>
  <c r="AI1059" i="1" s="1"/>
  <c r="AM1059" i="1" s="1"/>
  <c r="AH1059" i="1"/>
  <c r="AA1059" i="1"/>
  <c r="Y1059" i="1"/>
  <c r="Z1059" i="1" s="1"/>
  <c r="G1059" i="1"/>
  <c r="D1059" i="1"/>
  <c r="C1059" i="1"/>
  <c r="AL1058" i="1"/>
  <c r="AK1058" i="1"/>
  <c r="AJ1058" i="1" a="1"/>
  <c r="AJ1058" i="1" s="1"/>
  <c r="AN1058" i="1" s="1"/>
  <c r="AI1058" i="1" a="1"/>
  <c r="AI1058" i="1" s="1"/>
  <c r="AM1058" i="1" s="1"/>
  <c r="AH1058" i="1"/>
  <c r="AA1058" i="1"/>
  <c r="Y1058" i="1"/>
  <c r="Z1058" i="1" s="1"/>
  <c r="G1058" i="1"/>
  <c r="D1058" i="1"/>
  <c r="C1058" i="1"/>
  <c r="AL1057" i="1"/>
  <c r="AK1057" i="1"/>
  <c r="AJ1057" i="1" a="1"/>
  <c r="AJ1057" i="1" s="1"/>
  <c r="AN1057" i="1" s="1"/>
  <c r="AI1057" i="1" a="1"/>
  <c r="AI1057" i="1" s="1"/>
  <c r="AM1057" i="1" s="1"/>
  <c r="AH1057" i="1"/>
  <c r="AA1057" i="1"/>
  <c r="Y1057" i="1"/>
  <c r="Z1057" i="1" s="1"/>
  <c r="G1057" i="1"/>
  <c r="D1057" i="1"/>
  <c r="C1057" i="1"/>
  <c r="AL1056" i="1"/>
  <c r="AK1056" i="1"/>
  <c r="AJ1056" i="1" a="1"/>
  <c r="AJ1056" i="1" s="1"/>
  <c r="AN1056" i="1" s="1"/>
  <c r="AI1056" i="1" a="1"/>
  <c r="AI1056" i="1" s="1"/>
  <c r="AM1056" i="1" s="1"/>
  <c r="AH1056" i="1"/>
  <c r="AA1056" i="1"/>
  <c r="Y1056" i="1"/>
  <c r="Z1056" i="1" s="1"/>
  <c r="G1056" i="1"/>
  <c r="D1056" i="1"/>
  <c r="C1056" i="1"/>
  <c r="AL1055" i="1"/>
  <c r="AK1055" i="1"/>
  <c r="AJ1055" i="1" a="1"/>
  <c r="AJ1055" i="1" s="1"/>
  <c r="AN1055" i="1" s="1"/>
  <c r="AI1055" i="1" a="1"/>
  <c r="AI1055" i="1" s="1"/>
  <c r="AM1055" i="1" s="1"/>
  <c r="AH1055" i="1"/>
  <c r="AA1055" i="1"/>
  <c r="Y1055" i="1"/>
  <c r="Z1055" i="1" s="1"/>
  <c r="G1055" i="1"/>
  <c r="D1055" i="1"/>
  <c r="C1055" i="1"/>
  <c r="AL1054" i="1"/>
  <c r="AK1054" i="1"/>
  <c r="AJ1054" i="1" a="1"/>
  <c r="AJ1054" i="1" s="1"/>
  <c r="AN1054" i="1" s="1"/>
  <c r="AI1054" i="1" a="1"/>
  <c r="AI1054" i="1" s="1"/>
  <c r="AM1054" i="1" s="1"/>
  <c r="AH1054" i="1"/>
  <c r="AA1054" i="1"/>
  <c r="Y1054" i="1"/>
  <c r="Z1054" i="1" s="1"/>
  <c r="G1054" i="1"/>
  <c r="D1054" i="1"/>
  <c r="C1054" i="1"/>
  <c r="AL1053" i="1"/>
  <c r="AK1053" i="1"/>
  <c r="AJ1053" i="1" a="1"/>
  <c r="AJ1053" i="1" s="1"/>
  <c r="AN1053" i="1" s="1"/>
  <c r="AI1053" i="1" a="1"/>
  <c r="AI1053" i="1" s="1"/>
  <c r="AM1053" i="1" s="1"/>
  <c r="AH1053" i="1"/>
  <c r="AA1053" i="1"/>
  <c r="Y1053" i="1"/>
  <c r="Z1053" i="1" s="1"/>
  <c r="G1053" i="1"/>
  <c r="D1053" i="1"/>
  <c r="C1053" i="1"/>
  <c r="AL1052" i="1"/>
  <c r="AK1052" i="1"/>
  <c r="AJ1052" i="1" a="1"/>
  <c r="AJ1052" i="1" s="1"/>
  <c r="AN1052" i="1" s="1"/>
  <c r="AI1052" i="1" a="1"/>
  <c r="AI1052" i="1" s="1"/>
  <c r="AM1052" i="1" s="1"/>
  <c r="AH1052" i="1"/>
  <c r="AA1052" i="1"/>
  <c r="Y1052" i="1"/>
  <c r="Z1052" i="1" s="1"/>
  <c r="G1052" i="1"/>
  <c r="D1052" i="1"/>
  <c r="C1052" i="1"/>
  <c r="AL1051" i="1"/>
  <c r="AK1051" i="1"/>
  <c r="AJ1051" i="1" a="1"/>
  <c r="AJ1051" i="1" s="1"/>
  <c r="AN1051" i="1" s="1"/>
  <c r="AI1051" i="1" a="1"/>
  <c r="AI1051" i="1" s="1"/>
  <c r="AM1051" i="1" s="1"/>
  <c r="AH1051" i="1"/>
  <c r="AA1051" i="1"/>
  <c r="Y1051" i="1"/>
  <c r="Z1051" i="1" s="1"/>
  <c r="G1051" i="1"/>
  <c r="D1051" i="1"/>
  <c r="C1051" i="1"/>
  <c r="AL1050" i="1"/>
  <c r="AK1050" i="1"/>
  <c r="AJ1050" i="1" a="1"/>
  <c r="AJ1050" i="1" s="1"/>
  <c r="AN1050" i="1" s="1"/>
  <c r="AI1050" i="1" a="1"/>
  <c r="AI1050" i="1" s="1"/>
  <c r="AM1050" i="1" s="1"/>
  <c r="AH1050" i="1"/>
  <c r="AA1050" i="1"/>
  <c r="Y1050" i="1"/>
  <c r="Z1050" i="1" s="1"/>
  <c r="G1050" i="1"/>
  <c r="D1050" i="1"/>
  <c r="C1050" i="1"/>
  <c r="AL1049" i="1"/>
  <c r="AK1049" i="1"/>
  <c r="AJ1049" i="1" a="1"/>
  <c r="AJ1049" i="1" s="1"/>
  <c r="AN1049" i="1" s="1"/>
  <c r="AI1049" i="1" a="1"/>
  <c r="AI1049" i="1" s="1"/>
  <c r="AM1049" i="1" s="1"/>
  <c r="AH1049" i="1"/>
  <c r="AA1049" i="1"/>
  <c r="Y1049" i="1"/>
  <c r="Z1049" i="1" s="1"/>
  <c r="G1049" i="1"/>
  <c r="D1049" i="1"/>
  <c r="C1049" i="1"/>
  <c r="AL1048" i="1"/>
  <c r="AK1048" i="1"/>
  <c r="AJ1048" i="1" a="1"/>
  <c r="AJ1048" i="1" s="1"/>
  <c r="AN1048" i="1" s="1"/>
  <c r="AI1048" i="1" a="1"/>
  <c r="AI1048" i="1" s="1"/>
  <c r="AM1048" i="1" s="1"/>
  <c r="AH1048" i="1"/>
  <c r="AA1048" i="1"/>
  <c r="Y1048" i="1"/>
  <c r="Z1048" i="1" s="1"/>
  <c r="G1048" i="1"/>
  <c r="D1048" i="1"/>
  <c r="C1048" i="1"/>
  <c r="AL1047" i="1"/>
  <c r="AK1047" i="1"/>
  <c r="AJ1047" i="1" a="1"/>
  <c r="AJ1047" i="1" s="1"/>
  <c r="AN1047" i="1" s="1"/>
  <c r="AI1047" i="1" a="1"/>
  <c r="AI1047" i="1" s="1"/>
  <c r="AM1047" i="1" s="1"/>
  <c r="AH1047" i="1"/>
  <c r="AA1047" i="1"/>
  <c r="Y1047" i="1"/>
  <c r="Z1047" i="1" s="1"/>
  <c r="G1047" i="1"/>
  <c r="D1047" i="1"/>
  <c r="C1047" i="1"/>
  <c r="AL1046" i="1"/>
  <c r="AK1046" i="1"/>
  <c r="AJ1046" i="1" a="1"/>
  <c r="AJ1046" i="1" s="1"/>
  <c r="AN1046" i="1" s="1"/>
  <c r="AI1046" i="1" a="1"/>
  <c r="AI1046" i="1" s="1"/>
  <c r="AM1046" i="1" s="1"/>
  <c r="AH1046" i="1"/>
  <c r="AA1046" i="1"/>
  <c r="Y1046" i="1"/>
  <c r="Z1046" i="1" s="1"/>
  <c r="G1046" i="1"/>
  <c r="D1046" i="1"/>
  <c r="C1046" i="1"/>
  <c r="AL1045" i="1"/>
  <c r="AK1045" i="1"/>
  <c r="AJ1045" i="1" a="1"/>
  <c r="AJ1045" i="1" s="1"/>
  <c r="AN1045" i="1" s="1"/>
  <c r="AI1045" i="1" a="1"/>
  <c r="AI1045" i="1" s="1"/>
  <c r="AM1045" i="1" s="1"/>
  <c r="AH1045" i="1"/>
  <c r="AA1045" i="1"/>
  <c r="Y1045" i="1"/>
  <c r="Z1045" i="1" s="1"/>
  <c r="G1045" i="1"/>
  <c r="D1045" i="1"/>
  <c r="C1045" i="1"/>
  <c r="AL1044" i="1"/>
  <c r="AK1044" i="1"/>
  <c r="AJ1044" i="1" a="1"/>
  <c r="AJ1044" i="1" s="1"/>
  <c r="AN1044" i="1" s="1"/>
  <c r="AI1044" i="1" a="1"/>
  <c r="AI1044" i="1" s="1"/>
  <c r="AM1044" i="1" s="1"/>
  <c r="AH1044" i="1"/>
  <c r="AA1044" i="1"/>
  <c r="Y1044" i="1"/>
  <c r="Z1044" i="1" s="1"/>
  <c r="G1044" i="1"/>
  <c r="D1044" i="1"/>
  <c r="C1044" i="1"/>
  <c r="AL1043" i="1"/>
  <c r="AK1043" i="1"/>
  <c r="AJ1043" i="1" a="1"/>
  <c r="AJ1043" i="1" s="1"/>
  <c r="AN1043" i="1" s="1"/>
  <c r="AI1043" i="1" a="1"/>
  <c r="AI1043" i="1" s="1"/>
  <c r="AM1043" i="1" s="1"/>
  <c r="AH1043" i="1"/>
  <c r="AA1043" i="1"/>
  <c r="Y1043" i="1"/>
  <c r="Z1043" i="1" s="1"/>
  <c r="G1043" i="1"/>
  <c r="D1043" i="1"/>
  <c r="C1043" i="1"/>
  <c r="AL1042" i="1"/>
  <c r="AK1042" i="1"/>
  <c r="AJ1042" i="1" a="1"/>
  <c r="AJ1042" i="1" s="1"/>
  <c r="AN1042" i="1" s="1"/>
  <c r="AI1042" i="1" a="1"/>
  <c r="AI1042" i="1" s="1"/>
  <c r="AM1042" i="1" s="1"/>
  <c r="AH1042" i="1"/>
  <c r="AA1042" i="1"/>
  <c r="Y1042" i="1"/>
  <c r="Z1042" i="1" s="1"/>
  <c r="G1042" i="1"/>
  <c r="D1042" i="1"/>
  <c r="C1042" i="1"/>
  <c r="AL1041" i="1"/>
  <c r="AK1041" i="1"/>
  <c r="AJ1041" i="1" a="1"/>
  <c r="AJ1041" i="1" s="1"/>
  <c r="AN1041" i="1" s="1"/>
  <c r="AI1041" i="1" a="1"/>
  <c r="AI1041" i="1" s="1"/>
  <c r="AM1041" i="1" s="1"/>
  <c r="AH1041" i="1"/>
  <c r="AA1041" i="1"/>
  <c r="Y1041" i="1"/>
  <c r="Z1041" i="1" s="1"/>
  <c r="G1041" i="1"/>
  <c r="D1041" i="1"/>
  <c r="C1041" i="1"/>
  <c r="AL1040" i="1"/>
  <c r="AK1040" i="1"/>
  <c r="AJ1040" i="1" a="1"/>
  <c r="AJ1040" i="1" s="1"/>
  <c r="AN1040" i="1" s="1"/>
  <c r="AI1040" i="1" a="1"/>
  <c r="AI1040" i="1" s="1"/>
  <c r="AM1040" i="1" s="1"/>
  <c r="AH1040" i="1"/>
  <c r="AA1040" i="1"/>
  <c r="Y1040" i="1"/>
  <c r="Z1040" i="1" s="1"/>
  <c r="G1040" i="1"/>
  <c r="D1040" i="1"/>
  <c r="C1040" i="1"/>
  <c r="AL1039" i="1"/>
  <c r="AK1039" i="1"/>
  <c r="AJ1039" i="1" a="1"/>
  <c r="AJ1039" i="1" s="1"/>
  <c r="AN1039" i="1" s="1"/>
  <c r="AI1039" i="1" a="1"/>
  <c r="AI1039" i="1" s="1"/>
  <c r="AM1039" i="1" s="1"/>
  <c r="AH1039" i="1"/>
  <c r="AA1039" i="1"/>
  <c r="Y1039" i="1"/>
  <c r="Z1039" i="1" s="1"/>
  <c r="G1039" i="1"/>
  <c r="D1039" i="1"/>
  <c r="C1039" i="1"/>
  <c r="AL1038" i="1"/>
  <c r="AK1038" i="1"/>
  <c r="AJ1038" i="1" a="1"/>
  <c r="AJ1038" i="1" s="1"/>
  <c r="AN1038" i="1" s="1"/>
  <c r="AI1038" i="1" a="1"/>
  <c r="AI1038" i="1" s="1"/>
  <c r="AM1038" i="1" s="1"/>
  <c r="AH1038" i="1"/>
  <c r="AA1038" i="1"/>
  <c r="Y1038" i="1"/>
  <c r="Z1038" i="1" s="1"/>
  <c r="G1038" i="1"/>
  <c r="D1038" i="1"/>
  <c r="C1038" i="1"/>
  <c r="AL1037" i="1"/>
  <c r="AK1037" i="1"/>
  <c r="AJ1037" i="1" a="1"/>
  <c r="AJ1037" i="1" s="1"/>
  <c r="AN1037" i="1" s="1"/>
  <c r="AI1037" i="1" a="1"/>
  <c r="AI1037" i="1" s="1"/>
  <c r="AM1037" i="1" s="1"/>
  <c r="AH1037" i="1"/>
  <c r="AA1037" i="1"/>
  <c r="Y1037" i="1"/>
  <c r="Z1037" i="1" s="1"/>
  <c r="G1037" i="1"/>
  <c r="D1037" i="1"/>
  <c r="C1037" i="1"/>
  <c r="AL1036" i="1"/>
  <c r="AK1036" i="1"/>
  <c r="AJ1036" i="1" a="1"/>
  <c r="AJ1036" i="1" s="1"/>
  <c r="AN1036" i="1" s="1"/>
  <c r="AI1036" i="1" a="1"/>
  <c r="AI1036" i="1" s="1"/>
  <c r="AM1036" i="1" s="1"/>
  <c r="AH1036" i="1"/>
  <c r="AA1036" i="1"/>
  <c r="Y1036" i="1"/>
  <c r="Z1036" i="1" s="1"/>
  <c r="G1036" i="1"/>
  <c r="D1036" i="1"/>
  <c r="C1036" i="1"/>
  <c r="AL1035" i="1"/>
  <c r="AK1035" i="1"/>
  <c r="AJ1035" i="1" a="1"/>
  <c r="AJ1035" i="1" s="1"/>
  <c r="AN1035" i="1" s="1"/>
  <c r="AI1035" i="1" a="1"/>
  <c r="AI1035" i="1" s="1"/>
  <c r="AM1035" i="1" s="1"/>
  <c r="AH1035" i="1"/>
  <c r="AA1035" i="1"/>
  <c r="Y1035" i="1"/>
  <c r="Z1035" i="1" s="1"/>
  <c r="G1035" i="1"/>
  <c r="D1035" i="1"/>
  <c r="C1035" i="1"/>
  <c r="AL1034" i="1"/>
  <c r="AK1034" i="1"/>
  <c r="AJ1034" i="1" a="1"/>
  <c r="AJ1034" i="1" s="1"/>
  <c r="AN1034" i="1" s="1"/>
  <c r="AI1034" i="1" a="1"/>
  <c r="AI1034" i="1" s="1"/>
  <c r="AM1034" i="1" s="1"/>
  <c r="AH1034" i="1"/>
  <c r="AA1034" i="1"/>
  <c r="Y1034" i="1"/>
  <c r="Z1034" i="1" s="1"/>
  <c r="G1034" i="1"/>
  <c r="D1034" i="1"/>
  <c r="C1034" i="1"/>
  <c r="AL1033" i="1"/>
  <c r="AK1033" i="1"/>
  <c r="AJ1033" i="1" a="1"/>
  <c r="AJ1033" i="1" s="1"/>
  <c r="AN1033" i="1" s="1"/>
  <c r="AI1033" i="1" a="1"/>
  <c r="AI1033" i="1" s="1"/>
  <c r="AM1033" i="1" s="1"/>
  <c r="AH1033" i="1"/>
  <c r="AA1033" i="1"/>
  <c r="Y1033" i="1"/>
  <c r="Z1033" i="1" s="1"/>
  <c r="G1033" i="1"/>
  <c r="D1033" i="1"/>
  <c r="C1033" i="1"/>
  <c r="AL1032" i="1"/>
  <c r="AK1032" i="1"/>
  <c r="AJ1032" i="1" a="1"/>
  <c r="AJ1032" i="1" s="1"/>
  <c r="AN1032" i="1" s="1"/>
  <c r="AI1032" i="1" a="1"/>
  <c r="AI1032" i="1" s="1"/>
  <c r="AM1032" i="1" s="1"/>
  <c r="AH1032" i="1"/>
  <c r="AA1032" i="1"/>
  <c r="Y1032" i="1"/>
  <c r="Z1032" i="1" s="1"/>
  <c r="G1032" i="1"/>
  <c r="D1032" i="1"/>
  <c r="C1032" i="1"/>
  <c r="AL1031" i="1"/>
  <c r="AK1031" i="1"/>
  <c r="AJ1031" i="1" a="1"/>
  <c r="AJ1031" i="1" s="1"/>
  <c r="AN1031" i="1" s="1"/>
  <c r="AI1031" i="1" a="1"/>
  <c r="AI1031" i="1" s="1"/>
  <c r="AM1031" i="1" s="1"/>
  <c r="AH1031" i="1"/>
  <c r="AA1031" i="1"/>
  <c r="Y1031" i="1"/>
  <c r="Z1031" i="1" s="1"/>
  <c r="G1031" i="1"/>
  <c r="D1031" i="1"/>
  <c r="C1031" i="1"/>
  <c r="AL1030" i="1"/>
  <c r="AK1030" i="1"/>
  <c r="AJ1030" i="1" a="1"/>
  <c r="AJ1030" i="1" s="1"/>
  <c r="AN1030" i="1" s="1"/>
  <c r="AI1030" i="1" a="1"/>
  <c r="AI1030" i="1" s="1"/>
  <c r="AM1030" i="1" s="1"/>
  <c r="AH1030" i="1"/>
  <c r="AA1030" i="1"/>
  <c r="Y1030" i="1"/>
  <c r="Z1030" i="1" s="1"/>
  <c r="G1030" i="1"/>
  <c r="D1030" i="1"/>
  <c r="C1030" i="1"/>
  <c r="AL1029" i="1"/>
  <c r="AK1029" i="1"/>
  <c r="AJ1029" i="1" a="1"/>
  <c r="AJ1029" i="1" s="1"/>
  <c r="AN1029" i="1" s="1"/>
  <c r="AI1029" i="1" a="1"/>
  <c r="AI1029" i="1" s="1"/>
  <c r="AM1029" i="1" s="1"/>
  <c r="AH1029" i="1"/>
  <c r="AA1029" i="1"/>
  <c r="Y1029" i="1"/>
  <c r="Z1029" i="1" s="1"/>
  <c r="G1029" i="1"/>
  <c r="D1029" i="1"/>
  <c r="C1029" i="1"/>
  <c r="AL1028" i="1"/>
  <c r="AK1028" i="1"/>
  <c r="AJ1028" i="1" a="1"/>
  <c r="AJ1028" i="1" s="1"/>
  <c r="AN1028" i="1" s="1"/>
  <c r="AI1028" i="1" a="1"/>
  <c r="AI1028" i="1" s="1"/>
  <c r="AM1028" i="1" s="1"/>
  <c r="AH1028" i="1"/>
  <c r="AA1028" i="1"/>
  <c r="Y1028" i="1"/>
  <c r="Z1028" i="1" s="1"/>
  <c r="G1028" i="1"/>
  <c r="D1028" i="1"/>
  <c r="C1028" i="1"/>
  <c r="AL1027" i="1"/>
  <c r="AK1027" i="1"/>
  <c r="AJ1027" i="1" a="1"/>
  <c r="AJ1027" i="1" s="1"/>
  <c r="AN1027" i="1" s="1"/>
  <c r="AI1027" i="1" a="1"/>
  <c r="AI1027" i="1" s="1"/>
  <c r="AM1027" i="1" s="1"/>
  <c r="AH1027" i="1"/>
  <c r="AA1027" i="1"/>
  <c r="Y1027" i="1"/>
  <c r="Z1027" i="1" s="1"/>
  <c r="G1027" i="1"/>
  <c r="D1027" i="1"/>
  <c r="C1027" i="1"/>
  <c r="AL1026" i="1"/>
  <c r="AK1026" i="1"/>
  <c r="AJ1026" i="1" a="1"/>
  <c r="AJ1026" i="1" s="1"/>
  <c r="AN1026" i="1" s="1"/>
  <c r="AI1026" i="1" a="1"/>
  <c r="AI1026" i="1" s="1"/>
  <c r="AM1026" i="1" s="1"/>
  <c r="AH1026" i="1"/>
  <c r="AA1026" i="1"/>
  <c r="Y1026" i="1"/>
  <c r="Z1026" i="1" s="1"/>
  <c r="G1026" i="1"/>
  <c r="D1026" i="1"/>
  <c r="C1026" i="1"/>
  <c r="AL1025" i="1"/>
  <c r="AK1025" i="1"/>
  <c r="AJ1025" i="1" a="1"/>
  <c r="AJ1025" i="1" s="1"/>
  <c r="AN1025" i="1" s="1"/>
  <c r="AI1025" i="1" a="1"/>
  <c r="AI1025" i="1" s="1"/>
  <c r="AM1025" i="1" s="1"/>
  <c r="AH1025" i="1"/>
  <c r="AA1025" i="1"/>
  <c r="Y1025" i="1"/>
  <c r="Z1025" i="1" s="1"/>
  <c r="G1025" i="1"/>
  <c r="D1025" i="1"/>
  <c r="C1025" i="1"/>
  <c r="AL1024" i="1"/>
  <c r="AK1024" i="1"/>
  <c r="AJ1024" i="1" a="1"/>
  <c r="AJ1024" i="1" s="1"/>
  <c r="AN1024" i="1" s="1"/>
  <c r="AI1024" i="1" a="1"/>
  <c r="AI1024" i="1" s="1"/>
  <c r="AM1024" i="1" s="1"/>
  <c r="AH1024" i="1"/>
  <c r="AA1024" i="1"/>
  <c r="Y1024" i="1"/>
  <c r="Z1024" i="1" s="1"/>
  <c r="G1024" i="1"/>
  <c r="D1024" i="1"/>
  <c r="C1024" i="1"/>
  <c r="AL1023" i="1"/>
  <c r="AK1023" i="1"/>
  <c r="AJ1023" i="1" a="1"/>
  <c r="AJ1023" i="1" s="1"/>
  <c r="AN1023" i="1" s="1"/>
  <c r="AI1023" i="1" a="1"/>
  <c r="AI1023" i="1" s="1"/>
  <c r="AM1023" i="1" s="1"/>
  <c r="AH1023" i="1"/>
  <c r="AA1023" i="1"/>
  <c r="Y1023" i="1"/>
  <c r="Z1023" i="1" s="1"/>
  <c r="G1023" i="1"/>
  <c r="D1023" i="1"/>
  <c r="C1023" i="1"/>
  <c r="AL1022" i="1"/>
  <c r="AK1022" i="1"/>
  <c r="AJ1022" i="1" a="1"/>
  <c r="AJ1022" i="1" s="1"/>
  <c r="AN1022" i="1" s="1"/>
  <c r="AI1022" i="1" a="1"/>
  <c r="AI1022" i="1" s="1"/>
  <c r="AM1022" i="1" s="1"/>
  <c r="AH1022" i="1"/>
  <c r="AA1022" i="1"/>
  <c r="Y1022" i="1"/>
  <c r="Z1022" i="1" s="1"/>
  <c r="G1022" i="1"/>
  <c r="D1022" i="1"/>
  <c r="C1022" i="1"/>
  <c r="AL1021" i="1"/>
  <c r="AK1021" i="1"/>
  <c r="AJ1021" i="1" a="1"/>
  <c r="AJ1021" i="1" s="1"/>
  <c r="AN1021" i="1" s="1"/>
  <c r="AI1021" i="1" a="1"/>
  <c r="AI1021" i="1" s="1"/>
  <c r="AM1021" i="1" s="1"/>
  <c r="AH1021" i="1"/>
  <c r="AA1021" i="1"/>
  <c r="Y1021" i="1"/>
  <c r="Z1021" i="1" s="1"/>
  <c r="G1021" i="1"/>
  <c r="D1021" i="1"/>
  <c r="C1021" i="1"/>
  <c r="AL1020" i="1"/>
  <c r="AK1020" i="1"/>
  <c r="AJ1020" i="1" a="1"/>
  <c r="AJ1020" i="1" s="1"/>
  <c r="AN1020" i="1" s="1"/>
  <c r="AI1020" i="1" a="1"/>
  <c r="AI1020" i="1" s="1"/>
  <c r="AM1020" i="1" s="1"/>
  <c r="AH1020" i="1"/>
  <c r="AA1020" i="1"/>
  <c r="Y1020" i="1"/>
  <c r="Z1020" i="1" s="1"/>
  <c r="G1020" i="1"/>
  <c r="D1020" i="1"/>
  <c r="C1020" i="1"/>
  <c r="AL1019" i="1"/>
  <c r="AK1019" i="1"/>
  <c r="AJ1019" i="1" a="1"/>
  <c r="AJ1019" i="1" s="1"/>
  <c r="AN1019" i="1" s="1"/>
  <c r="AI1019" i="1" a="1"/>
  <c r="AI1019" i="1" s="1"/>
  <c r="AM1019" i="1" s="1"/>
  <c r="AH1019" i="1"/>
  <c r="AA1019" i="1"/>
  <c r="Y1019" i="1"/>
  <c r="Z1019" i="1" s="1"/>
  <c r="G1019" i="1"/>
  <c r="D1019" i="1"/>
  <c r="C1019" i="1"/>
  <c r="AL1018" i="1"/>
  <c r="AK1018" i="1"/>
  <c r="AJ1018" i="1" a="1"/>
  <c r="AJ1018" i="1" s="1"/>
  <c r="AN1018" i="1" s="1"/>
  <c r="AI1018" i="1" a="1"/>
  <c r="AI1018" i="1" s="1"/>
  <c r="AM1018" i="1" s="1"/>
  <c r="AH1018" i="1"/>
  <c r="AA1018" i="1"/>
  <c r="Y1018" i="1"/>
  <c r="Z1018" i="1" s="1"/>
  <c r="G1018" i="1"/>
  <c r="D1018" i="1"/>
  <c r="C1018" i="1"/>
  <c r="AL1017" i="1"/>
  <c r="AK1017" i="1"/>
  <c r="AJ1017" i="1" a="1"/>
  <c r="AJ1017" i="1" s="1"/>
  <c r="AN1017" i="1" s="1"/>
  <c r="AI1017" i="1" a="1"/>
  <c r="AI1017" i="1" s="1"/>
  <c r="AM1017" i="1" s="1"/>
  <c r="AH1017" i="1"/>
  <c r="AA1017" i="1"/>
  <c r="Y1017" i="1"/>
  <c r="Z1017" i="1" s="1"/>
  <c r="G1017" i="1"/>
  <c r="D1017" i="1"/>
  <c r="C1017" i="1"/>
  <c r="AL1016" i="1"/>
  <c r="AK1016" i="1"/>
  <c r="AJ1016" i="1" a="1"/>
  <c r="AJ1016" i="1" s="1"/>
  <c r="AN1016" i="1" s="1"/>
  <c r="AI1016" i="1" a="1"/>
  <c r="AI1016" i="1" s="1"/>
  <c r="AM1016" i="1" s="1"/>
  <c r="AH1016" i="1"/>
  <c r="AA1016" i="1"/>
  <c r="Y1016" i="1"/>
  <c r="Z1016" i="1" s="1"/>
  <c r="G1016" i="1"/>
  <c r="D1016" i="1"/>
  <c r="C1016" i="1"/>
  <c r="AL1015" i="1"/>
  <c r="AK1015" i="1"/>
  <c r="AJ1015" i="1" a="1"/>
  <c r="AJ1015" i="1" s="1"/>
  <c r="AN1015" i="1" s="1"/>
  <c r="AI1015" i="1" a="1"/>
  <c r="AI1015" i="1" s="1"/>
  <c r="AM1015" i="1" s="1"/>
  <c r="AH1015" i="1"/>
  <c r="AA1015" i="1"/>
  <c r="Y1015" i="1"/>
  <c r="Z1015" i="1" s="1"/>
  <c r="G1015" i="1"/>
  <c r="D1015" i="1"/>
  <c r="C1015" i="1"/>
  <c r="AL1014" i="1"/>
  <c r="AK1014" i="1"/>
  <c r="AJ1014" i="1" a="1"/>
  <c r="AJ1014" i="1" s="1"/>
  <c r="AN1014" i="1" s="1"/>
  <c r="AI1014" i="1" a="1"/>
  <c r="AI1014" i="1" s="1"/>
  <c r="AM1014" i="1" s="1"/>
  <c r="AH1014" i="1"/>
  <c r="AA1014" i="1"/>
  <c r="Y1014" i="1"/>
  <c r="Z1014" i="1" s="1"/>
  <c r="G1014" i="1"/>
  <c r="D1014" i="1"/>
  <c r="C1014" i="1"/>
  <c r="AL1013" i="1"/>
  <c r="AK1013" i="1"/>
  <c r="AJ1013" i="1" a="1"/>
  <c r="AJ1013" i="1" s="1"/>
  <c r="AN1013" i="1" s="1"/>
  <c r="AI1013" i="1" a="1"/>
  <c r="AI1013" i="1" s="1"/>
  <c r="AM1013" i="1" s="1"/>
  <c r="AH1013" i="1"/>
  <c r="AA1013" i="1"/>
  <c r="Y1013" i="1"/>
  <c r="Z1013" i="1" s="1"/>
  <c r="G1013" i="1"/>
  <c r="D1013" i="1"/>
  <c r="C1013" i="1"/>
  <c r="AL1012" i="1"/>
  <c r="AK1012" i="1"/>
  <c r="AJ1012" i="1" a="1"/>
  <c r="AJ1012" i="1" s="1"/>
  <c r="AN1012" i="1" s="1"/>
  <c r="AI1012" i="1" a="1"/>
  <c r="AI1012" i="1" s="1"/>
  <c r="AM1012" i="1" s="1"/>
  <c r="AH1012" i="1"/>
  <c r="AA1012" i="1"/>
  <c r="Y1012" i="1"/>
  <c r="Z1012" i="1" s="1"/>
  <c r="G1012" i="1"/>
  <c r="D1012" i="1"/>
  <c r="C1012" i="1"/>
  <c r="AL1011" i="1"/>
  <c r="AK1011" i="1"/>
  <c r="AJ1011" i="1" a="1"/>
  <c r="AJ1011" i="1" s="1"/>
  <c r="AN1011" i="1" s="1"/>
  <c r="AI1011" i="1" a="1"/>
  <c r="AI1011" i="1" s="1"/>
  <c r="AM1011" i="1" s="1"/>
  <c r="AH1011" i="1"/>
  <c r="AA1011" i="1"/>
  <c r="Y1011" i="1"/>
  <c r="Z1011" i="1" s="1"/>
  <c r="G1011" i="1"/>
  <c r="D1011" i="1"/>
  <c r="C1011" i="1"/>
  <c r="AL1010" i="1"/>
  <c r="AK1010" i="1"/>
  <c r="AJ1010" i="1" a="1"/>
  <c r="AJ1010" i="1" s="1"/>
  <c r="AN1010" i="1" s="1"/>
  <c r="AI1010" i="1" a="1"/>
  <c r="AI1010" i="1" s="1"/>
  <c r="AM1010" i="1" s="1"/>
  <c r="AH1010" i="1"/>
  <c r="AA1010" i="1"/>
  <c r="Y1010" i="1"/>
  <c r="Z1010" i="1" s="1"/>
  <c r="G1010" i="1"/>
  <c r="D1010" i="1"/>
  <c r="C1010" i="1"/>
  <c r="AL1009" i="1"/>
  <c r="AK1009" i="1"/>
  <c r="AJ1009" i="1" a="1"/>
  <c r="AJ1009" i="1" s="1"/>
  <c r="AN1009" i="1" s="1"/>
  <c r="AI1009" i="1" a="1"/>
  <c r="AI1009" i="1" s="1"/>
  <c r="AM1009" i="1" s="1"/>
  <c r="AH1009" i="1"/>
  <c r="AA1009" i="1"/>
  <c r="Y1009" i="1"/>
  <c r="Z1009" i="1" s="1"/>
  <c r="G1009" i="1"/>
  <c r="D1009" i="1"/>
  <c r="C1009" i="1"/>
  <c r="AL1008" i="1"/>
  <c r="AK1008" i="1"/>
  <c r="AJ1008" i="1" a="1"/>
  <c r="AJ1008" i="1" s="1"/>
  <c r="AN1008" i="1" s="1"/>
  <c r="AI1008" i="1" a="1"/>
  <c r="AI1008" i="1" s="1"/>
  <c r="AM1008" i="1" s="1"/>
  <c r="AH1008" i="1"/>
  <c r="AA1008" i="1"/>
  <c r="Y1008" i="1"/>
  <c r="Z1008" i="1" s="1"/>
  <c r="G1008" i="1"/>
  <c r="D1008" i="1"/>
  <c r="C1008" i="1"/>
  <c r="AL1007" i="1"/>
  <c r="AK1007" i="1"/>
  <c r="AJ1007" i="1" a="1"/>
  <c r="AJ1007" i="1" s="1"/>
  <c r="AN1007" i="1" s="1"/>
  <c r="AI1007" i="1" a="1"/>
  <c r="AI1007" i="1" s="1"/>
  <c r="AM1007" i="1" s="1"/>
  <c r="AH1007" i="1"/>
  <c r="AA1007" i="1"/>
  <c r="Y1007" i="1"/>
  <c r="Z1007" i="1" s="1"/>
  <c r="G1007" i="1"/>
  <c r="D1007" i="1"/>
  <c r="C1007" i="1"/>
  <c r="AL1006" i="1"/>
  <c r="AK1006" i="1"/>
  <c r="AJ1006" i="1" a="1"/>
  <c r="AJ1006" i="1" s="1"/>
  <c r="AN1006" i="1" s="1"/>
  <c r="AI1006" i="1" a="1"/>
  <c r="AI1006" i="1" s="1"/>
  <c r="AM1006" i="1" s="1"/>
  <c r="AH1006" i="1"/>
  <c r="AA1006" i="1"/>
  <c r="Y1006" i="1"/>
  <c r="Z1006" i="1" s="1"/>
  <c r="G1006" i="1"/>
  <c r="D1006" i="1"/>
  <c r="C1006" i="1"/>
  <c r="AL1005" i="1"/>
  <c r="AK1005" i="1"/>
  <c r="AJ1005" i="1" a="1"/>
  <c r="AJ1005" i="1" s="1"/>
  <c r="AN1005" i="1" s="1"/>
  <c r="AI1005" i="1" a="1"/>
  <c r="AI1005" i="1" s="1"/>
  <c r="AM1005" i="1" s="1"/>
  <c r="AH1005" i="1"/>
  <c r="AA1005" i="1"/>
  <c r="Y1005" i="1"/>
  <c r="Z1005" i="1" s="1"/>
  <c r="G1005" i="1"/>
  <c r="D1005" i="1"/>
  <c r="C1005" i="1"/>
  <c r="AL1004" i="1"/>
  <c r="AK1004" i="1"/>
  <c r="AJ1004" i="1" a="1"/>
  <c r="AJ1004" i="1" s="1"/>
  <c r="AN1004" i="1" s="1"/>
  <c r="AI1004" i="1" a="1"/>
  <c r="AI1004" i="1" s="1"/>
  <c r="AM1004" i="1" s="1"/>
  <c r="AH1004" i="1"/>
  <c r="AA1004" i="1"/>
  <c r="Y1004" i="1"/>
  <c r="Z1004" i="1" s="1"/>
  <c r="G1004" i="1"/>
  <c r="D1004" i="1"/>
  <c r="C1004" i="1"/>
  <c r="AL1003" i="1"/>
  <c r="AK1003" i="1"/>
  <c r="AJ1003" i="1" a="1"/>
  <c r="AJ1003" i="1" s="1"/>
  <c r="AN1003" i="1" s="1"/>
  <c r="AI1003" i="1" a="1"/>
  <c r="AI1003" i="1" s="1"/>
  <c r="AM1003" i="1" s="1"/>
  <c r="AH1003" i="1"/>
  <c r="AA1003" i="1"/>
  <c r="Y1003" i="1"/>
  <c r="Z1003" i="1" s="1"/>
  <c r="G1003" i="1"/>
  <c r="D1003" i="1"/>
  <c r="C1003" i="1"/>
  <c r="AL1002" i="1"/>
  <c r="AK1002" i="1"/>
  <c r="AJ1002" i="1" a="1"/>
  <c r="AJ1002" i="1" s="1"/>
  <c r="AN1002" i="1" s="1"/>
  <c r="AI1002" i="1" a="1"/>
  <c r="AI1002" i="1" s="1"/>
  <c r="AM1002" i="1" s="1"/>
  <c r="AH1002" i="1"/>
  <c r="AA1002" i="1"/>
  <c r="Y1002" i="1"/>
  <c r="Z1002" i="1" s="1"/>
  <c r="G1002" i="1"/>
  <c r="D1002" i="1"/>
  <c r="C1002" i="1"/>
  <c r="AL1001" i="1"/>
  <c r="AK1001" i="1"/>
  <c r="AJ1001" i="1" a="1"/>
  <c r="AJ1001" i="1" s="1"/>
  <c r="AN1001" i="1" s="1"/>
  <c r="AI1001" i="1" a="1"/>
  <c r="AI1001" i="1" s="1"/>
  <c r="AM1001" i="1" s="1"/>
  <c r="AH1001" i="1"/>
  <c r="AA1001" i="1"/>
  <c r="Y1001" i="1"/>
  <c r="Z1001" i="1" s="1"/>
  <c r="G1001" i="1"/>
  <c r="D1001" i="1"/>
  <c r="C1001" i="1"/>
  <c r="AL1000" i="1"/>
  <c r="AK1000" i="1"/>
  <c r="AJ1000" i="1" a="1"/>
  <c r="AJ1000" i="1" s="1"/>
  <c r="AN1000" i="1" s="1"/>
  <c r="AI1000" i="1" a="1"/>
  <c r="AI1000" i="1" s="1"/>
  <c r="AM1000" i="1" s="1"/>
  <c r="AH1000" i="1"/>
  <c r="AA1000" i="1"/>
  <c r="Y1000" i="1"/>
  <c r="Z1000" i="1" s="1"/>
  <c r="G1000" i="1"/>
  <c r="D1000" i="1"/>
  <c r="C1000" i="1"/>
  <c r="AL999" i="1"/>
  <c r="AK999" i="1"/>
  <c r="AJ999" i="1" a="1"/>
  <c r="AJ999" i="1" s="1"/>
  <c r="AN999" i="1" s="1"/>
  <c r="AI999" i="1" a="1"/>
  <c r="AI999" i="1" s="1"/>
  <c r="AM999" i="1" s="1"/>
  <c r="AH999" i="1"/>
  <c r="AA999" i="1"/>
  <c r="Y999" i="1"/>
  <c r="Z999" i="1" s="1"/>
  <c r="G999" i="1"/>
  <c r="D999" i="1"/>
  <c r="C999" i="1"/>
  <c r="AL998" i="1"/>
  <c r="AK998" i="1"/>
  <c r="AJ998" i="1" a="1"/>
  <c r="AJ998" i="1" s="1"/>
  <c r="AN998" i="1" s="1"/>
  <c r="AI998" i="1" a="1"/>
  <c r="AI998" i="1" s="1"/>
  <c r="AM998" i="1" s="1"/>
  <c r="AH998" i="1"/>
  <c r="AA998" i="1"/>
  <c r="Y998" i="1"/>
  <c r="Z998" i="1" s="1"/>
  <c r="G998" i="1"/>
  <c r="D998" i="1"/>
  <c r="C998" i="1"/>
  <c r="AL997" i="1"/>
  <c r="AK997" i="1"/>
  <c r="AJ997" i="1" a="1"/>
  <c r="AJ997" i="1" s="1"/>
  <c r="AN997" i="1" s="1"/>
  <c r="AI997" i="1" a="1"/>
  <c r="AI997" i="1" s="1"/>
  <c r="AM997" i="1" s="1"/>
  <c r="AH997" i="1"/>
  <c r="AA997" i="1"/>
  <c r="Y997" i="1"/>
  <c r="Z997" i="1" s="1"/>
  <c r="G997" i="1"/>
  <c r="D997" i="1"/>
  <c r="C997" i="1"/>
  <c r="AL996" i="1"/>
  <c r="AK996" i="1"/>
  <c r="AJ996" i="1" a="1"/>
  <c r="AJ996" i="1" s="1"/>
  <c r="AN996" i="1" s="1"/>
  <c r="AI996" i="1" a="1"/>
  <c r="AI996" i="1" s="1"/>
  <c r="AM996" i="1" s="1"/>
  <c r="AH996" i="1"/>
  <c r="AA996" i="1"/>
  <c r="Y996" i="1"/>
  <c r="Z996" i="1" s="1"/>
  <c r="G996" i="1"/>
  <c r="D996" i="1"/>
  <c r="C996" i="1"/>
  <c r="AL995" i="1"/>
  <c r="AK995" i="1"/>
  <c r="AJ995" i="1" a="1"/>
  <c r="AJ995" i="1" s="1"/>
  <c r="AN995" i="1" s="1"/>
  <c r="AI995" i="1" a="1"/>
  <c r="AI995" i="1" s="1"/>
  <c r="AM995" i="1" s="1"/>
  <c r="AH995" i="1"/>
  <c r="AA995" i="1"/>
  <c r="Y995" i="1"/>
  <c r="Z995" i="1" s="1"/>
  <c r="G995" i="1"/>
  <c r="D995" i="1"/>
  <c r="C995" i="1"/>
  <c r="AL994" i="1"/>
  <c r="AK994" i="1"/>
  <c r="AJ994" i="1" a="1"/>
  <c r="AJ994" i="1" s="1"/>
  <c r="AN994" i="1" s="1"/>
  <c r="AI994" i="1" a="1"/>
  <c r="AI994" i="1" s="1"/>
  <c r="AM994" i="1" s="1"/>
  <c r="AH994" i="1"/>
  <c r="AA994" i="1"/>
  <c r="Y994" i="1"/>
  <c r="Z994" i="1" s="1"/>
  <c r="G994" i="1"/>
  <c r="D994" i="1"/>
  <c r="C994" i="1"/>
  <c r="AL993" i="1"/>
  <c r="AK993" i="1"/>
  <c r="AJ993" i="1" a="1"/>
  <c r="AJ993" i="1" s="1"/>
  <c r="AN993" i="1" s="1"/>
  <c r="AI993" i="1" a="1"/>
  <c r="AI993" i="1" s="1"/>
  <c r="AM993" i="1" s="1"/>
  <c r="AH993" i="1"/>
  <c r="AA993" i="1"/>
  <c r="Y993" i="1"/>
  <c r="Z993" i="1" s="1"/>
  <c r="G993" i="1"/>
  <c r="D993" i="1"/>
  <c r="C993" i="1"/>
  <c r="AL992" i="1"/>
  <c r="AK992" i="1"/>
  <c r="AJ992" i="1" a="1"/>
  <c r="AJ992" i="1" s="1"/>
  <c r="AN992" i="1" s="1"/>
  <c r="AI992" i="1" a="1"/>
  <c r="AI992" i="1" s="1"/>
  <c r="AM992" i="1" s="1"/>
  <c r="AH992" i="1"/>
  <c r="AA992" i="1"/>
  <c r="Y992" i="1"/>
  <c r="Z992" i="1" s="1"/>
  <c r="G992" i="1"/>
  <c r="D992" i="1"/>
  <c r="C992" i="1"/>
  <c r="AL991" i="1"/>
  <c r="AK991" i="1"/>
  <c r="AJ991" i="1" a="1"/>
  <c r="AJ991" i="1" s="1"/>
  <c r="AN991" i="1" s="1"/>
  <c r="AI991" i="1" a="1"/>
  <c r="AI991" i="1" s="1"/>
  <c r="AM991" i="1" s="1"/>
  <c r="AH991" i="1"/>
  <c r="AA991" i="1"/>
  <c r="Y991" i="1"/>
  <c r="Z991" i="1" s="1"/>
  <c r="G991" i="1"/>
  <c r="D991" i="1"/>
  <c r="C991" i="1"/>
  <c r="AL990" i="1"/>
  <c r="AK990" i="1"/>
  <c r="AJ990" i="1" a="1"/>
  <c r="AJ990" i="1" s="1"/>
  <c r="AN990" i="1" s="1"/>
  <c r="AI990" i="1" a="1"/>
  <c r="AI990" i="1" s="1"/>
  <c r="AM990" i="1" s="1"/>
  <c r="AH990" i="1"/>
  <c r="AA990" i="1"/>
  <c r="Y990" i="1"/>
  <c r="Z990" i="1" s="1"/>
  <c r="G990" i="1"/>
  <c r="D990" i="1"/>
  <c r="C990" i="1"/>
  <c r="AL989" i="1"/>
  <c r="AK989" i="1"/>
  <c r="AJ989" i="1" a="1"/>
  <c r="AJ989" i="1" s="1"/>
  <c r="AN989" i="1" s="1"/>
  <c r="AI989" i="1" a="1"/>
  <c r="AI989" i="1" s="1"/>
  <c r="AM989" i="1" s="1"/>
  <c r="AH989" i="1"/>
  <c r="AA989" i="1"/>
  <c r="Y989" i="1"/>
  <c r="Z989" i="1" s="1"/>
  <c r="G989" i="1"/>
  <c r="D989" i="1"/>
  <c r="C989" i="1"/>
  <c r="AL988" i="1"/>
  <c r="AK988" i="1"/>
  <c r="AJ988" i="1" a="1"/>
  <c r="AJ988" i="1" s="1"/>
  <c r="AN988" i="1" s="1"/>
  <c r="AI988" i="1" a="1"/>
  <c r="AI988" i="1" s="1"/>
  <c r="AM988" i="1" s="1"/>
  <c r="AH988" i="1"/>
  <c r="AA988" i="1"/>
  <c r="Y988" i="1"/>
  <c r="Z988" i="1" s="1"/>
  <c r="G988" i="1"/>
  <c r="D988" i="1"/>
  <c r="C988" i="1"/>
  <c r="AL987" i="1"/>
  <c r="AK987" i="1"/>
  <c r="AJ987" i="1" a="1"/>
  <c r="AJ987" i="1" s="1"/>
  <c r="AN987" i="1" s="1"/>
  <c r="AI987" i="1" a="1"/>
  <c r="AI987" i="1" s="1"/>
  <c r="AM987" i="1" s="1"/>
  <c r="AH987" i="1"/>
  <c r="AA987" i="1"/>
  <c r="Y987" i="1"/>
  <c r="Z987" i="1" s="1"/>
  <c r="G987" i="1"/>
  <c r="D987" i="1"/>
  <c r="C987" i="1"/>
  <c r="AL986" i="1"/>
  <c r="AK986" i="1"/>
  <c r="AJ986" i="1" a="1"/>
  <c r="AJ986" i="1" s="1"/>
  <c r="AN986" i="1" s="1"/>
  <c r="AI986" i="1" a="1"/>
  <c r="AI986" i="1" s="1"/>
  <c r="AM986" i="1" s="1"/>
  <c r="AH986" i="1"/>
  <c r="AA986" i="1"/>
  <c r="Y986" i="1"/>
  <c r="Z986" i="1" s="1"/>
  <c r="G986" i="1"/>
  <c r="D986" i="1"/>
  <c r="C986" i="1"/>
  <c r="AL985" i="1"/>
  <c r="AK985" i="1"/>
  <c r="AJ985" i="1" a="1"/>
  <c r="AJ985" i="1" s="1"/>
  <c r="AN985" i="1" s="1"/>
  <c r="AI985" i="1" a="1"/>
  <c r="AI985" i="1" s="1"/>
  <c r="AM985" i="1" s="1"/>
  <c r="AH985" i="1"/>
  <c r="AA985" i="1"/>
  <c r="Y985" i="1"/>
  <c r="Z985" i="1" s="1"/>
  <c r="G985" i="1"/>
  <c r="D985" i="1"/>
  <c r="C985" i="1"/>
  <c r="AL984" i="1"/>
  <c r="AK984" i="1"/>
  <c r="AJ984" i="1" a="1"/>
  <c r="AJ984" i="1" s="1"/>
  <c r="AN984" i="1" s="1"/>
  <c r="AI984" i="1" a="1"/>
  <c r="AI984" i="1" s="1"/>
  <c r="AM984" i="1" s="1"/>
  <c r="AH984" i="1"/>
  <c r="AA984" i="1"/>
  <c r="Y984" i="1"/>
  <c r="Z984" i="1" s="1"/>
  <c r="G984" i="1"/>
  <c r="D984" i="1"/>
  <c r="C984" i="1"/>
  <c r="AL983" i="1"/>
  <c r="AK983" i="1"/>
  <c r="AJ983" i="1" a="1"/>
  <c r="AJ983" i="1" s="1"/>
  <c r="AN983" i="1" s="1"/>
  <c r="AI983" i="1" a="1"/>
  <c r="AI983" i="1" s="1"/>
  <c r="AM983" i="1" s="1"/>
  <c r="AH983" i="1"/>
  <c r="AA983" i="1"/>
  <c r="Y983" i="1"/>
  <c r="Z983" i="1" s="1"/>
  <c r="G983" i="1"/>
  <c r="D983" i="1"/>
  <c r="C983" i="1"/>
  <c r="AL982" i="1"/>
  <c r="AK982" i="1"/>
  <c r="AJ982" i="1" a="1"/>
  <c r="AJ982" i="1" s="1"/>
  <c r="AN982" i="1" s="1"/>
  <c r="AI982" i="1" a="1"/>
  <c r="AI982" i="1" s="1"/>
  <c r="AM982" i="1" s="1"/>
  <c r="AH982" i="1"/>
  <c r="AA982" i="1"/>
  <c r="Y982" i="1"/>
  <c r="Z982" i="1" s="1"/>
  <c r="G982" i="1"/>
  <c r="D982" i="1"/>
  <c r="C982" i="1"/>
  <c r="AL981" i="1"/>
  <c r="AK981" i="1"/>
  <c r="AJ981" i="1" a="1"/>
  <c r="AJ981" i="1" s="1"/>
  <c r="AN981" i="1" s="1"/>
  <c r="AI981" i="1" a="1"/>
  <c r="AI981" i="1" s="1"/>
  <c r="AM981" i="1" s="1"/>
  <c r="AH981" i="1"/>
  <c r="AA981" i="1"/>
  <c r="Y981" i="1"/>
  <c r="Z981" i="1" s="1"/>
  <c r="G981" i="1"/>
  <c r="D981" i="1"/>
  <c r="C981" i="1"/>
  <c r="AL980" i="1"/>
  <c r="AK980" i="1"/>
  <c r="AJ980" i="1" a="1"/>
  <c r="AJ980" i="1" s="1"/>
  <c r="AN980" i="1" s="1"/>
  <c r="AI980" i="1" a="1"/>
  <c r="AI980" i="1" s="1"/>
  <c r="AM980" i="1" s="1"/>
  <c r="AH980" i="1"/>
  <c r="AA980" i="1"/>
  <c r="Y980" i="1"/>
  <c r="Z980" i="1" s="1"/>
  <c r="G980" i="1"/>
  <c r="D980" i="1"/>
  <c r="C980" i="1"/>
  <c r="AL979" i="1"/>
  <c r="AK979" i="1"/>
  <c r="AJ979" i="1" a="1"/>
  <c r="AJ979" i="1" s="1"/>
  <c r="AN979" i="1" s="1"/>
  <c r="AI979" i="1" a="1"/>
  <c r="AI979" i="1" s="1"/>
  <c r="AM979" i="1" s="1"/>
  <c r="AH979" i="1"/>
  <c r="AA979" i="1"/>
  <c r="Y979" i="1"/>
  <c r="Z979" i="1" s="1"/>
  <c r="G979" i="1"/>
  <c r="D979" i="1"/>
  <c r="C979" i="1"/>
  <c r="AL978" i="1"/>
  <c r="AK978" i="1"/>
  <c r="AJ978" i="1" a="1"/>
  <c r="AJ978" i="1" s="1"/>
  <c r="AN978" i="1" s="1"/>
  <c r="AI978" i="1" a="1"/>
  <c r="AI978" i="1" s="1"/>
  <c r="AM978" i="1" s="1"/>
  <c r="AH978" i="1"/>
  <c r="AA978" i="1"/>
  <c r="Y978" i="1"/>
  <c r="Z978" i="1" s="1"/>
  <c r="G978" i="1"/>
  <c r="D978" i="1"/>
  <c r="C978" i="1"/>
  <c r="AL977" i="1"/>
  <c r="AK977" i="1"/>
  <c r="AJ977" i="1" a="1"/>
  <c r="AJ977" i="1" s="1"/>
  <c r="AN977" i="1" s="1"/>
  <c r="AI977" i="1" a="1"/>
  <c r="AI977" i="1" s="1"/>
  <c r="AM977" i="1" s="1"/>
  <c r="AH977" i="1"/>
  <c r="AA977" i="1"/>
  <c r="Y977" i="1"/>
  <c r="Z977" i="1" s="1"/>
  <c r="G977" i="1"/>
  <c r="D977" i="1"/>
  <c r="C977" i="1"/>
  <c r="AL976" i="1"/>
  <c r="AK976" i="1"/>
  <c r="AJ976" i="1" a="1"/>
  <c r="AJ976" i="1" s="1"/>
  <c r="AN976" i="1" s="1"/>
  <c r="AI976" i="1" a="1"/>
  <c r="AI976" i="1" s="1"/>
  <c r="AM976" i="1" s="1"/>
  <c r="AH976" i="1"/>
  <c r="AA976" i="1"/>
  <c r="Y976" i="1"/>
  <c r="Z976" i="1" s="1"/>
  <c r="G976" i="1"/>
  <c r="D976" i="1"/>
  <c r="C976" i="1"/>
  <c r="AL975" i="1"/>
  <c r="AK975" i="1"/>
  <c r="AJ975" i="1" a="1"/>
  <c r="AJ975" i="1" s="1"/>
  <c r="AN975" i="1" s="1"/>
  <c r="AI975" i="1" a="1"/>
  <c r="AI975" i="1" s="1"/>
  <c r="AM975" i="1" s="1"/>
  <c r="AH975" i="1"/>
  <c r="AA975" i="1"/>
  <c r="Y975" i="1"/>
  <c r="Z975" i="1" s="1"/>
  <c r="G975" i="1"/>
  <c r="D975" i="1"/>
  <c r="C975" i="1"/>
  <c r="AL974" i="1"/>
  <c r="AK974" i="1"/>
  <c r="AJ974" i="1" a="1"/>
  <c r="AJ974" i="1" s="1"/>
  <c r="AN974" i="1" s="1"/>
  <c r="AI974" i="1" a="1"/>
  <c r="AI974" i="1" s="1"/>
  <c r="AM974" i="1" s="1"/>
  <c r="AH974" i="1"/>
  <c r="AA974" i="1"/>
  <c r="Y974" i="1"/>
  <c r="Z974" i="1" s="1"/>
  <c r="G974" i="1"/>
  <c r="D974" i="1"/>
  <c r="C974" i="1"/>
  <c r="AL973" i="1"/>
  <c r="AK973" i="1"/>
  <c r="AJ973" i="1" a="1"/>
  <c r="AJ973" i="1" s="1"/>
  <c r="AN973" i="1" s="1"/>
  <c r="AI973" i="1" a="1"/>
  <c r="AI973" i="1" s="1"/>
  <c r="AM973" i="1" s="1"/>
  <c r="AH973" i="1"/>
  <c r="AA973" i="1"/>
  <c r="Y973" i="1"/>
  <c r="Z973" i="1" s="1"/>
  <c r="G973" i="1"/>
  <c r="D973" i="1"/>
  <c r="C973" i="1"/>
  <c r="AL972" i="1"/>
  <c r="AK972" i="1"/>
  <c r="AJ972" i="1" a="1"/>
  <c r="AJ972" i="1" s="1"/>
  <c r="AN972" i="1" s="1"/>
  <c r="AI972" i="1" a="1"/>
  <c r="AI972" i="1" s="1"/>
  <c r="AM972" i="1" s="1"/>
  <c r="AH972" i="1"/>
  <c r="AA972" i="1"/>
  <c r="Y972" i="1"/>
  <c r="Z972" i="1" s="1"/>
  <c r="G972" i="1"/>
  <c r="D972" i="1"/>
  <c r="C972" i="1"/>
  <c r="AL971" i="1"/>
  <c r="AK971" i="1"/>
  <c r="AJ971" i="1" a="1"/>
  <c r="AJ971" i="1" s="1"/>
  <c r="AN971" i="1" s="1"/>
  <c r="AI971" i="1" a="1"/>
  <c r="AI971" i="1" s="1"/>
  <c r="AM971" i="1" s="1"/>
  <c r="AH971" i="1"/>
  <c r="AA971" i="1"/>
  <c r="Y971" i="1"/>
  <c r="Z971" i="1" s="1"/>
  <c r="G971" i="1"/>
  <c r="D971" i="1"/>
  <c r="C971" i="1"/>
  <c r="AL970" i="1"/>
  <c r="AK970" i="1"/>
  <c r="AJ970" i="1" a="1"/>
  <c r="AJ970" i="1" s="1"/>
  <c r="AN970" i="1" s="1"/>
  <c r="AI970" i="1" a="1"/>
  <c r="AI970" i="1" s="1"/>
  <c r="AM970" i="1" s="1"/>
  <c r="AH970" i="1"/>
  <c r="AA970" i="1"/>
  <c r="Y970" i="1"/>
  <c r="Z970" i="1" s="1"/>
  <c r="G970" i="1"/>
  <c r="D970" i="1"/>
  <c r="C970" i="1"/>
  <c r="AL969" i="1"/>
  <c r="AK969" i="1"/>
  <c r="AJ969" i="1" a="1"/>
  <c r="AJ969" i="1" s="1"/>
  <c r="AN969" i="1" s="1"/>
  <c r="AI969" i="1" a="1"/>
  <c r="AI969" i="1" s="1"/>
  <c r="AM969" i="1" s="1"/>
  <c r="AH969" i="1"/>
  <c r="AA969" i="1"/>
  <c r="Y969" i="1"/>
  <c r="Z969" i="1" s="1"/>
  <c r="G969" i="1"/>
  <c r="D969" i="1"/>
  <c r="C969" i="1"/>
  <c r="AL968" i="1"/>
  <c r="AK968" i="1"/>
  <c r="AJ968" i="1" a="1"/>
  <c r="AJ968" i="1" s="1"/>
  <c r="AN968" i="1" s="1"/>
  <c r="AI968" i="1" a="1"/>
  <c r="AI968" i="1" s="1"/>
  <c r="AM968" i="1" s="1"/>
  <c r="AH968" i="1"/>
  <c r="AA968" i="1"/>
  <c r="Y968" i="1"/>
  <c r="Z968" i="1" s="1"/>
  <c r="G968" i="1"/>
  <c r="D968" i="1"/>
  <c r="C968" i="1"/>
  <c r="AL967" i="1"/>
  <c r="AK967" i="1"/>
  <c r="AJ967" i="1" a="1"/>
  <c r="AJ967" i="1" s="1"/>
  <c r="AN967" i="1" s="1"/>
  <c r="AI967" i="1" a="1"/>
  <c r="AI967" i="1" s="1"/>
  <c r="AM967" i="1" s="1"/>
  <c r="AH967" i="1"/>
  <c r="AA967" i="1"/>
  <c r="Y967" i="1"/>
  <c r="Z967" i="1" s="1"/>
  <c r="G967" i="1"/>
  <c r="D967" i="1"/>
  <c r="C967" i="1"/>
  <c r="AL966" i="1"/>
  <c r="AK966" i="1"/>
  <c r="AJ966" i="1" a="1"/>
  <c r="AJ966" i="1" s="1"/>
  <c r="AN966" i="1" s="1"/>
  <c r="AI966" i="1" a="1"/>
  <c r="AI966" i="1" s="1"/>
  <c r="AM966" i="1" s="1"/>
  <c r="AH966" i="1"/>
  <c r="AA966" i="1"/>
  <c r="Y966" i="1"/>
  <c r="Z966" i="1" s="1"/>
  <c r="G966" i="1"/>
  <c r="D966" i="1"/>
  <c r="C966" i="1"/>
  <c r="AL965" i="1"/>
  <c r="AK965" i="1"/>
  <c r="AJ965" i="1" a="1"/>
  <c r="AJ965" i="1" s="1"/>
  <c r="AN965" i="1" s="1"/>
  <c r="AI965" i="1" a="1"/>
  <c r="AI965" i="1" s="1"/>
  <c r="AM965" i="1" s="1"/>
  <c r="AH965" i="1"/>
  <c r="AA965" i="1"/>
  <c r="Y965" i="1"/>
  <c r="Z965" i="1" s="1"/>
  <c r="G965" i="1"/>
  <c r="D965" i="1"/>
  <c r="C965" i="1"/>
  <c r="AL964" i="1"/>
  <c r="AK964" i="1"/>
  <c r="AJ964" i="1" a="1"/>
  <c r="AJ964" i="1" s="1"/>
  <c r="AN964" i="1" s="1"/>
  <c r="AI964" i="1" a="1"/>
  <c r="AI964" i="1" s="1"/>
  <c r="AM964" i="1" s="1"/>
  <c r="AH964" i="1"/>
  <c r="AA964" i="1"/>
  <c r="Y964" i="1"/>
  <c r="Z964" i="1" s="1"/>
  <c r="G964" i="1"/>
  <c r="D964" i="1"/>
  <c r="C964" i="1"/>
  <c r="AL963" i="1"/>
  <c r="AK963" i="1"/>
  <c r="AJ963" i="1" a="1"/>
  <c r="AJ963" i="1" s="1"/>
  <c r="AN963" i="1" s="1"/>
  <c r="AI963" i="1" a="1"/>
  <c r="AI963" i="1" s="1"/>
  <c r="AM963" i="1" s="1"/>
  <c r="AH963" i="1"/>
  <c r="AA963" i="1"/>
  <c r="Y963" i="1"/>
  <c r="Z963" i="1" s="1"/>
  <c r="G963" i="1"/>
  <c r="D963" i="1"/>
  <c r="C963" i="1"/>
  <c r="AL962" i="1"/>
  <c r="AK962" i="1"/>
  <c r="AJ962" i="1" a="1"/>
  <c r="AJ962" i="1" s="1"/>
  <c r="AN962" i="1" s="1"/>
  <c r="AI962" i="1" a="1"/>
  <c r="AI962" i="1" s="1"/>
  <c r="AM962" i="1" s="1"/>
  <c r="AH962" i="1"/>
  <c r="AA962" i="1"/>
  <c r="Y962" i="1"/>
  <c r="Z962" i="1" s="1"/>
  <c r="G962" i="1"/>
  <c r="D962" i="1"/>
  <c r="C962" i="1"/>
  <c r="AL961" i="1"/>
  <c r="AK961" i="1"/>
  <c r="AJ961" i="1" a="1"/>
  <c r="AJ961" i="1" s="1"/>
  <c r="AN961" i="1" s="1"/>
  <c r="AI961" i="1" a="1"/>
  <c r="AI961" i="1" s="1"/>
  <c r="AM961" i="1" s="1"/>
  <c r="AH961" i="1"/>
  <c r="AA961" i="1"/>
  <c r="Y961" i="1"/>
  <c r="Z961" i="1" s="1"/>
  <c r="G961" i="1"/>
  <c r="D961" i="1"/>
  <c r="C961" i="1"/>
  <c r="AL960" i="1"/>
  <c r="AK960" i="1"/>
  <c r="AJ960" i="1" a="1"/>
  <c r="AJ960" i="1" s="1"/>
  <c r="AN960" i="1" s="1"/>
  <c r="AI960" i="1" a="1"/>
  <c r="AI960" i="1" s="1"/>
  <c r="AM960" i="1" s="1"/>
  <c r="AH960" i="1"/>
  <c r="AA960" i="1"/>
  <c r="Y960" i="1"/>
  <c r="Z960" i="1" s="1"/>
  <c r="G960" i="1"/>
  <c r="D960" i="1"/>
  <c r="C960" i="1"/>
  <c r="AL959" i="1"/>
  <c r="AK959" i="1"/>
  <c r="AJ959" i="1" a="1"/>
  <c r="AJ959" i="1" s="1"/>
  <c r="AN959" i="1" s="1"/>
  <c r="AI959" i="1" a="1"/>
  <c r="AI959" i="1" s="1"/>
  <c r="AM959" i="1" s="1"/>
  <c r="AH959" i="1"/>
  <c r="AA959" i="1"/>
  <c r="Y959" i="1"/>
  <c r="Z959" i="1" s="1"/>
  <c r="G959" i="1"/>
  <c r="D959" i="1"/>
  <c r="C959" i="1"/>
  <c r="AL958" i="1"/>
  <c r="AK958" i="1"/>
  <c r="AJ958" i="1" a="1"/>
  <c r="AJ958" i="1" s="1"/>
  <c r="AN958" i="1" s="1"/>
  <c r="AI958" i="1" a="1"/>
  <c r="AI958" i="1" s="1"/>
  <c r="AM958" i="1" s="1"/>
  <c r="AH958" i="1"/>
  <c r="AA958" i="1"/>
  <c r="Y958" i="1"/>
  <c r="Z958" i="1" s="1"/>
  <c r="G958" i="1"/>
  <c r="D958" i="1"/>
  <c r="C958" i="1"/>
  <c r="AL957" i="1"/>
  <c r="AK957" i="1"/>
  <c r="AJ957" i="1" a="1"/>
  <c r="AJ957" i="1" s="1"/>
  <c r="AN957" i="1" s="1"/>
  <c r="AI957" i="1" a="1"/>
  <c r="AI957" i="1" s="1"/>
  <c r="AM957" i="1" s="1"/>
  <c r="AH957" i="1"/>
  <c r="AA957" i="1"/>
  <c r="Y957" i="1"/>
  <c r="Z957" i="1" s="1"/>
  <c r="G957" i="1"/>
  <c r="D957" i="1"/>
  <c r="C957" i="1"/>
  <c r="AL956" i="1"/>
  <c r="AK956" i="1"/>
  <c r="AJ956" i="1" a="1"/>
  <c r="AJ956" i="1" s="1"/>
  <c r="AN956" i="1" s="1"/>
  <c r="AI956" i="1" a="1"/>
  <c r="AI956" i="1" s="1"/>
  <c r="AM956" i="1" s="1"/>
  <c r="AH956" i="1"/>
  <c r="AA956" i="1"/>
  <c r="Y956" i="1"/>
  <c r="Z956" i="1" s="1"/>
  <c r="G956" i="1"/>
  <c r="D956" i="1"/>
  <c r="C956" i="1"/>
  <c r="AL955" i="1"/>
  <c r="AK955" i="1"/>
  <c r="AJ955" i="1" a="1"/>
  <c r="AJ955" i="1" s="1"/>
  <c r="AN955" i="1" s="1"/>
  <c r="AI955" i="1" a="1"/>
  <c r="AI955" i="1" s="1"/>
  <c r="AM955" i="1" s="1"/>
  <c r="AH955" i="1"/>
  <c r="AA955" i="1"/>
  <c r="Y955" i="1"/>
  <c r="Z955" i="1" s="1"/>
  <c r="G955" i="1"/>
  <c r="D955" i="1"/>
  <c r="C955" i="1"/>
  <c r="AL954" i="1"/>
  <c r="AK954" i="1"/>
  <c r="AJ954" i="1" a="1"/>
  <c r="AJ954" i="1" s="1"/>
  <c r="AN954" i="1" s="1"/>
  <c r="AI954" i="1" a="1"/>
  <c r="AI954" i="1" s="1"/>
  <c r="AM954" i="1" s="1"/>
  <c r="AH954" i="1"/>
  <c r="AA954" i="1"/>
  <c r="Y954" i="1"/>
  <c r="Z954" i="1" s="1"/>
  <c r="G954" i="1"/>
  <c r="D954" i="1"/>
  <c r="C954" i="1"/>
  <c r="AL953" i="1"/>
  <c r="AK953" i="1"/>
  <c r="AJ953" i="1" a="1"/>
  <c r="AJ953" i="1" s="1"/>
  <c r="AN953" i="1" s="1"/>
  <c r="AI953" i="1" a="1"/>
  <c r="AI953" i="1" s="1"/>
  <c r="AM953" i="1" s="1"/>
  <c r="AH953" i="1"/>
  <c r="AA953" i="1"/>
  <c r="Y953" i="1"/>
  <c r="Z953" i="1" s="1"/>
  <c r="G953" i="1"/>
  <c r="D953" i="1"/>
  <c r="C953" i="1"/>
  <c r="AL952" i="1"/>
  <c r="AK952" i="1"/>
  <c r="AJ952" i="1" a="1"/>
  <c r="AJ952" i="1" s="1"/>
  <c r="AN952" i="1" s="1"/>
  <c r="AI952" i="1" a="1"/>
  <c r="AI952" i="1" s="1"/>
  <c r="AM952" i="1" s="1"/>
  <c r="AH952" i="1"/>
  <c r="AA952" i="1"/>
  <c r="Y952" i="1"/>
  <c r="Z952" i="1" s="1"/>
  <c r="G952" i="1"/>
  <c r="D952" i="1"/>
  <c r="C952" i="1"/>
  <c r="AL951" i="1"/>
  <c r="AK951" i="1"/>
  <c r="AJ951" i="1" a="1"/>
  <c r="AJ951" i="1" s="1"/>
  <c r="AN951" i="1" s="1"/>
  <c r="AI951" i="1" a="1"/>
  <c r="AI951" i="1" s="1"/>
  <c r="AM951" i="1" s="1"/>
  <c r="AH951" i="1"/>
  <c r="AA951" i="1"/>
  <c r="Y951" i="1"/>
  <c r="Z951" i="1" s="1"/>
  <c r="G951" i="1"/>
  <c r="D951" i="1"/>
  <c r="C951" i="1"/>
  <c r="AL950" i="1"/>
  <c r="AK950" i="1"/>
  <c r="AJ950" i="1" a="1"/>
  <c r="AJ950" i="1" s="1"/>
  <c r="AN950" i="1" s="1"/>
  <c r="AI950" i="1" a="1"/>
  <c r="AI950" i="1" s="1"/>
  <c r="AM950" i="1" s="1"/>
  <c r="AH950" i="1"/>
  <c r="AA950" i="1"/>
  <c r="Y950" i="1"/>
  <c r="Z950" i="1" s="1"/>
  <c r="G950" i="1"/>
  <c r="D950" i="1"/>
  <c r="C950" i="1"/>
  <c r="AL949" i="1"/>
  <c r="AK949" i="1"/>
  <c r="AJ949" i="1" a="1"/>
  <c r="AJ949" i="1" s="1"/>
  <c r="AN949" i="1" s="1"/>
  <c r="AI949" i="1" a="1"/>
  <c r="AI949" i="1" s="1"/>
  <c r="AM949" i="1" s="1"/>
  <c r="AH949" i="1"/>
  <c r="AA949" i="1"/>
  <c r="Y949" i="1"/>
  <c r="Z949" i="1" s="1"/>
  <c r="G949" i="1"/>
  <c r="D949" i="1"/>
  <c r="C949" i="1"/>
  <c r="AL948" i="1"/>
  <c r="AK948" i="1"/>
  <c r="AJ948" i="1" a="1"/>
  <c r="AJ948" i="1" s="1"/>
  <c r="AN948" i="1" s="1"/>
  <c r="AI948" i="1" a="1"/>
  <c r="AI948" i="1" s="1"/>
  <c r="AM948" i="1" s="1"/>
  <c r="AH948" i="1"/>
  <c r="AA948" i="1"/>
  <c r="Y948" i="1"/>
  <c r="Z948" i="1" s="1"/>
  <c r="G948" i="1"/>
  <c r="D948" i="1"/>
  <c r="C948" i="1"/>
  <c r="AL947" i="1"/>
  <c r="AK947" i="1"/>
  <c r="AJ947" i="1" a="1"/>
  <c r="AJ947" i="1" s="1"/>
  <c r="AN947" i="1" s="1"/>
  <c r="AI947" i="1" a="1"/>
  <c r="AI947" i="1" s="1"/>
  <c r="AM947" i="1" s="1"/>
  <c r="AH947" i="1"/>
  <c r="AA947" i="1"/>
  <c r="Y947" i="1"/>
  <c r="Z947" i="1" s="1"/>
  <c r="G947" i="1"/>
  <c r="D947" i="1"/>
  <c r="C947" i="1"/>
  <c r="AL946" i="1"/>
  <c r="AK946" i="1"/>
  <c r="AJ946" i="1" a="1"/>
  <c r="AJ946" i="1" s="1"/>
  <c r="AN946" i="1" s="1"/>
  <c r="AI946" i="1" a="1"/>
  <c r="AI946" i="1" s="1"/>
  <c r="AM946" i="1" s="1"/>
  <c r="AH946" i="1"/>
  <c r="AA946" i="1"/>
  <c r="Y946" i="1"/>
  <c r="Z946" i="1" s="1"/>
  <c r="G946" i="1"/>
  <c r="D946" i="1"/>
  <c r="C946" i="1"/>
  <c r="AL945" i="1"/>
  <c r="AK945" i="1"/>
  <c r="AJ945" i="1" a="1"/>
  <c r="AJ945" i="1" s="1"/>
  <c r="AN945" i="1" s="1"/>
  <c r="AI945" i="1" a="1"/>
  <c r="AI945" i="1" s="1"/>
  <c r="AM945" i="1" s="1"/>
  <c r="AH945" i="1"/>
  <c r="AA945" i="1"/>
  <c r="Y945" i="1"/>
  <c r="Z945" i="1" s="1"/>
  <c r="G945" i="1"/>
  <c r="D945" i="1"/>
  <c r="C945" i="1"/>
  <c r="AL944" i="1"/>
  <c r="AK944" i="1"/>
  <c r="AJ944" i="1" a="1"/>
  <c r="AJ944" i="1" s="1"/>
  <c r="AN944" i="1" s="1"/>
  <c r="AI944" i="1" a="1"/>
  <c r="AI944" i="1" s="1"/>
  <c r="AM944" i="1" s="1"/>
  <c r="AH944" i="1"/>
  <c r="AA944" i="1"/>
  <c r="Y944" i="1"/>
  <c r="Z944" i="1" s="1"/>
  <c r="G944" i="1"/>
  <c r="D944" i="1"/>
  <c r="C944" i="1"/>
  <c r="AL943" i="1"/>
  <c r="AK943" i="1"/>
  <c r="AJ943" i="1" a="1"/>
  <c r="AJ943" i="1" s="1"/>
  <c r="AN943" i="1" s="1"/>
  <c r="AI943" i="1" a="1"/>
  <c r="AI943" i="1" s="1"/>
  <c r="AM943" i="1" s="1"/>
  <c r="AH943" i="1"/>
  <c r="AA943" i="1"/>
  <c r="Y943" i="1"/>
  <c r="Z943" i="1" s="1"/>
  <c r="G943" i="1"/>
  <c r="D943" i="1"/>
  <c r="C943" i="1"/>
  <c r="AL942" i="1"/>
  <c r="AK942" i="1"/>
  <c r="AJ942" i="1" a="1"/>
  <c r="AJ942" i="1" s="1"/>
  <c r="AN942" i="1" s="1"/>
  <c r="AI942" i="1" a="1"/>
  <c r="AI942" i="1" s="1"/>
  <c r="AM942" i="1" s="1"/>
  <c r="AH942" i="1"/>
  <c r="AA942" i="1"/>
  <c r="Y942" i="1"/>
  <c r="Z942" i="1" s="1"/>
  <c r="G942" i="1"/>
  <c r="D942" i="1"/>
  <c r="C942" i="1"/>
  <c r="AL941" i="1"/>
  <c r="AK941" i="1"/>
  <c r="AJ941" i="1" a="1"/>
  <c r="AJ941" i="1" s="1"/>
  <c r="AN941" i="1" s="1"/>
  <c r="AI941" i="1" a="1"/>
  <c r="AI941" i="1" s="1"/>
  <c r="AM941" i="1" s="1"/>
  <c r="AH941" i="1"/>
  <c r="AA941" i="1"/>
  <c r="Y941" i="1"/>
  <c r="Z941" i="1" s="1"/>
  <c r="G941" i="1"/>
  <c r="D941" i="1"/>
  <c r="C941" i="1"/>
  <c r="AL940" i="1"/>
  <c r="AK940" i="1"/>
  <c r="AJ940" i="1" a="1"/>
  <c r="AJ940" i="1" s="1"/>
  <c r="AN940" i="1" s="1"/>
  <c r="AI940" i="1" a="1"/>
  <c r="AI940" i="1" s="1"/>
  <c r="AM940" i="1" s="1"/>
  <c r="AH940" i="1"/>
  <c r="AA940" i="1"/>
  <c r="Y940" i="1"/>
  <c r="Z940" i="1" s="1"/>
  <c r="G940" i="1"/>
  <c r="D940" i="1"/>
  <c r="C940" i="1"/>
  <c r="AL939" i="1"/>
  <c r="AK939" i="1"/>
  <c r="AJ939" i="1" a="1"/>
  <c r="AJ939" i="1" s="1"/>
  <c r="AN939" i="1" s="1"/>
  <c r="AI939" i="1" a="1"/>
  <c r="AI939" i="1" s="1"/>
  <c r="AM939" i="1" s="1"/>
  <c r="AH939" i="1"/>
  <c r="AA939" i="1"/>
  <c r="Y939" i="1"/>
  <c r="Z939" i="1" s="1"/>
  <c r="G939" i="1"/>
  <c r="D939" i="1"/>
  <c r="C939" i="1"/>
  <c r="AL938" i="1"/>
  <c r="AK938" i="1"/>
  <c r="AJ938" i="1" a="1"/>
  <c r="AJ938" i="1" s="1"/>
  <c r="AN938" i="1" s="1"/>
  <c r="AI938" i="1" a="1"/>
  <c r="AI938" i="1" s="1"/>
  <c r="AM938" i="1" s="1"/>
  <c r="AH938" i="1"/>
  <c r="AA938" i="1"/>
  <c r="Y938" i="1"/>
  <c r="Z938" i="1" s="1"/>
  <c r="G938" i="1"/>
  <c r="D938" i="1"/>
  <c r="C938" i="1"/>
  <c r="AL937" i="1"/>
  <c r="AK937" i="1"/>
  <c r="AJ937" i="1" a="1"/>
  <c r="AJ937" i="1" s="1"/>
  <c r="AN937" i="1" s="1"/>
  <c r="AI937" i="1" a="1"/>
  <c r="AI937" i="1" s="1"/>
  <c r="AM937" i="1" s="1"/>
  <c r="AH937" i="1"/>
  <c r="AA937" i="1"/>
  <c r="Y937" i="1"/>
  <c r="Z937" i="1" s="1"/>
  <c r="G937" i="1"/>
  <c r="D937" i="1"/>
  <c r="C937" i="1"/>
  <c r="AL936" i="1"/>
  <c r="AK936" i="1"/>
  <c r="AJ936" i="1" a="1"/>
  <c r="AJ936" i="1" s="1"/>
  <c r="AN936" i="1" s="1"/>
  <c r="AI936" i="1" a="1"/>
  <c r="AI936" i="1" s="1"/>
  <c r="AM936" i="1" s="1"/>
  <c r="AH936" i="1"/>
  <c r="AA936" i="1"/>
  <c r="Y936" i="1"/>
  <c r="Z936" i="1" s="1"/>
  <c r="G936" i="1"/>
  <c r="D936" i="1"/>
  <c r="C936" i="1"/>
  <c r="AL935" i="1"/>
  <c r="AK935" i="1"/>
  <c r="AJ935" i="1" a="1"/>
  <c r="AJ935" i="1" s="1"/>
  <c r="AN935" i="1" s="1"/>
  <c r="AI935" i="1" a="1"/>
  <c r="AI935" i="1" s="1"/>
  <c r="AM935" i="1" s="1"/>
  <c r="AH935" i="1"/>
  <c r="AA935" i="1"/>
  <c r="Y935" i="1"/>
  <c r="Z935" i="1" s="1"/>
  <c r="G935" i="1"/>
  <c r="D935" i="1"/>
  <c r="C935" i="1"/>
  <c r="AL934" i="1"/>
  <c r="AK934" i="1"/>
  <c r="AJ934" i="1" a="1"/>
  <c r="AJ934" i="1" s="1"/>
  <c r="AN934" i="1" s="1"/>
  <c r="AI934" i="1" a="1"/>
  <c r="AI934" i="1" s="1"/>
  <c r="AM934" i="1" s="1"/>
  <c r="AH934" i="1"/>
  <c r="AA934" i="1"/>
  <c r="Y934" i="1"/>
  <c r="Z934" i="1" s="1"/>
  <c r="G934" i="1"/>
  <c r="D934" i="1"/>
  <c r="C934" i="1"/>
  <c r="AL933" i="1"/>
  <c r="AK933" i="1"/>
  <c r="AJ933" i="1" a="1"/>
  <c r="AJ933" i="1" s="1"/>
  <c r="AN933" i="1" s="1"/>
  <c r="AI933" i="1" a="1"/>
  <c r="AI933" i="1" s="1"/>
  <c r="AM933" i="1" s="1"/>
  <c r="AH933" i="1"/>
  <c r="AA933" i="1"/>
  <c r="Y933" i="1"/>
  <c r="Z933" i="1" s="1"/>
  <c r="G933" i="1"/>
  <c r="D933" i="1"/>
  <c r="C933" i="1"/>
  <c r="AL932" i="1"/>
  <c r="AK932" i="1"/>
  <c r="AJ932" i="1" a="1"/>
  <c r="AJ932" i="1" s="1"/>
  <c r="AN932" i="1" s="1"/>
  <c r="AI932" i="1" a="1"/>
  <c r="AI932" i="1" s="1"/>
  <c r="AM932" i="1" s="1"/>
  <c r="AH932" i="1"/>
  <c r="AA932" i="1"/>
  <c r="Y932" i="1"/>
  <c r="Z932" i="1" s="1"/>
  <c r="G932" i="1"/>
  <c r="D932" i="1"/>
  <c r="C932" i="1"/>
  <c r="AL931" i="1"/>
  <c r="AK931" i="1"/>
  <c r="AJ931" i="1" a="1"/>
  <c r="AJ931" i="1" s="1"/>
  <c r="AN931" i="1" s="1"/>
  <c r="AI931" i="1" a="1"/>
  <c r="AI931" i="1" s="1"/>
  <c r="AM931" i="1" s="1"/>
  <c r="AH931" i="1"/>
  <c r="AA931" i="1"/>
  <c r="Y931" i="1"/>
  <c r="Z931" i="1" s="1"/>
  <c r="G931" i="1"/>
  <c r="D931" i="1"/>
  <c r="C931" i="1"/>
  <c r="AL930" i="1"/>
  <c r="AK930" i="1"/>
  <c r="AJ930" i="1" a="1"/>
  <c r="AJ930" i="1" s="1"/>
  <c r="AN930" i="1" s="1"/>
  <c r="AI930" i="1" a="1"/>
  <c r="AI930" i="1" s="1"/>
  <c r="AM930" i="1" s="1"/>
  <c r="AH930" i="1"/>
  <c r="AA930" i="1"/>
  <c r="Y930" i="1"/>
  <c r="Z930" i="1" s="1"/>
  <c r="G930" i="1"/>
  <c r="D930" i="1"/>
  <c r="C930" i="1"/>
  <c r="AL929" i="1"/>
  <c r="AK929" i="1"/>
  <c r="AJ929" i="1" a="1"/>
  <c r="AJ929" i="1" s="1"/>
  <c r="AN929" i="1" s="1"/>
  <c r="AI929" i="1" a="1"/>
  <c r="AI929" i="1" s="1"/>
  <c r="AM929" i="1" s="1"/>
  <c r="AH929" i="1"/>
  <c r="AA929" i="1"/>
  <c r="Y929" i="1"/>
  <c r="Z929" i="1" s="1"/>
  <c r="G929" i="1"/>
  <c r="D929" i="1"/>
  <c r="C929" i="1"/>
  <c r="AL928" i="1"/>
  <c r="AK928" i="1"/>
  <c r="AJ928" i="1" a="1"/>
  <c r="AJ928" i="1" s="1"/>
  <c r="AN928" i="1" s="1"/>
  <c r="AI928" i="1" a="1"/>
  <c r="AI928" i="1" s="1"/>
  <c r="AM928" i="1" s="1"/>
  <c r="AH928" i="1"/>
  <c r="AA928" i="1"/>
  <c r="Y928" i="1"/>
  <c r="Z928" i="1" s="1"/>
  <c r="G928" i="1"/>
  <c r="D928" i="1"/>
  <c r="C928" i="1"/>
  <c r="AL927" i="1"/>
  <c r="AK927" i="1"/>
  <c r="AJ927" i="1" a="1"/>
  <c r="AJ927" i="1" s="1"/>
  <c r="AN927" i="1" s="1"/>
  <c r="AI927" i="1" a="1"/>
  <c r="AI927" i="1" s="1"/>
  <c r="AM927" i="1" s="1"/>
  <c r="AH927" i="1"/>
  <c r="AA927" i="1"/>
  <c r="Y927" i="1"/>
  <c r="Z927" i="1" s="1"/>
  <c r="G927" i="1"/>
  <c r="D927" i="1"/>
  <c r="C927" i="1"/>
  <c r="AL926" i="1"/>
  <c r="AK926" i="1"/>
  <c r="AJ926" i="1" a="1"/>
  <c r="AJ926" i="1" s="1"/>
  <c r="AN926" i="1" s="1"/>
  <c r="AI926" i="1" a="1"/>
  <c r="AI926" i="1" s="1"/>
  <c r="AM926" i="1" s="1"/>
  <c r="AH926" i="1"/>
  <c r="AA926" i="1"/>
  <c r="Y926" i="1"/>
  <c r="Z926" i="1" s="1"/>
  <c r="G926" i="1"/>
  <c r="D926" i="1"/>
  <c r="C926" i="1"/>
  <c r="AL925" i="1"/>
  <c r="AK925" i="1"/>
  <c r="AJ925" i="1" a="1"/>
  <c r="AJ925" i="1" s="1"/>
  <c r="AN925" i="1" s="1"/>
  <c r="AI925" i="1" a="1"/>
  <c r="AI925" i="1" s="1"/>
  <c r="AM925" i="1" s="1"/>
  <c r="AH925" i="1"/>
  <c r="AA925" i="1"/>
  <c r="Y925" i="1"/>
  <c r="Z925" i="1" s="1"/>
  <c r="G925" i="1"/>
  <c r="D925" i="1"/>
  <c r="C925" i="1"/>
  <c r="AL924" i="1"/>
  <c r="AK924" i="1"/>
  <c r="AJ924" i="1" a="1"/>
  <c r="AJ924" i="1" s="1"/>
  <c r="AN924" i="1" s="1"/>
  <c r="AI924" i="1" a="1"/>
  <c r="AI924" i="1" s="1"/>
  <c r="AM924" i="1" s="1"/>
  <c r="AH924" i="1"/>
  <c r="AA924" i="1"/>
  <c r="Y924" i="1"/>
  <c r="Z924" i="1" s="1"/>
  <c r="G924" i="1"/>
  <c r="D924" i="1"/>
  <c r="C924" i="1"/>
  <c r="AL923" i="1"/>
  <c r="AK923" i="1"/>
  <c r="AJ923" i="1" a="1"/>
  <c r="AJ923" i="1" s="1"/>
  <c r="AN923" i="1" s="1"/>
  <c r="AI923" i="1" a="1"/>
  <c r="AI923" i="1" s="1"/>
  <c r="AM923" i="1" s="1"/>
  <c r="AH923" i="1"/>
  <c r="AA923" i="1"/>
  <c r="Y923" i="1"/>
  <c r="Z923" i="1" s="1"/>
  <c r="G923" i="1"/>
  <c r="D923" i="1"/>
  <c r="C923" i="1"/>
  <c r="AL922" i="1"/>
  <c r="AK922" i="1"/>
  <c r="AJ922" i="1" a="1"/>
  <c r="AJ922" i="1" s="1"/>
  <c r="AN922" i="1" s="1"/>
  <c r="AI922" i="1" a="1"/>
  <c r="AI922" i="1" s="1"/>
  <c r="AM922" i="1" s="1"/>
  <c r="AH922" i="1"/>
  <c r="AA922" i="1"/>
  <c r="Y922" i="1"/>
  <c r="Z922" i="1" s="1"/>
  <c r="G922" i="1"/>
  <c r="D922" i="1"/>
  <c r="C922" i="1"/>
  <c r="AL921" i="1"/>
  <c r="AK921" i="1"/>
  <c r="AJ921" i="1" a="1"/>
  <c r="AJ921" i="1" s="1"/>
  <c r="AN921" i="1" s="1"/>
  <c r="AI921" i="1" a="1"/>
  <c r="AI921" i="1" s="1"/>
  <c r="AM921" i="1" s="1"/>
  <c r="AH921" i="1"/>
  <c r="AA921" i="1"/>
  <c r="Y921" i="1"/>
  <c r="Z921" i="1" s="1"/>
  <c r="G921" i="1"/>
  <c r="D921" i="1"/>
  <c r="C921" i="1"/>
  <c r="AL920" i="1"/>
  <c r="AK920" i="1"/>
  <c r="AJ920" i="1" a="1"/>
  <c r="AJ920" i="1" s="1"/>
  <c r="AN920" i="1" s="1"/>
  <c r="AI920" i="1" a="1"/>
  <c r="AI920" i="1" s="1"/>
  <c r="AM920" i="1" s="1"/>
  <c r="AH920" i="1"/>
  <c r="AA920" i="1"/>
  <c r="Y920" i="1"/>
  <c r="Z920" i="1" s="1"/>
  <c r="G920" i="1"/>
  <c r="D920" i="1"/>
  <c r="C920" i="1"/>
  <c r="AL919" i="1"/>
  <c r="AK919" i="1"/>
  <c r="AJ919" i="1" a="1"/>
  <c r="AJ919" i="1" s="1"/>
  <c r="AN919" i="1" s="1"/>
  <c r="AI919" i="1" a="1"/>
  <c r="AI919" i="1" s="1"/>
  <c r="AM919" i="1" s="1"/>
  <c r="AH919" i="1"/>
  <c r="AA919" i="1"/>
  <c r="Y919" i="1"/>
  <c r="Z919" i="1" s="1"/>
  <c r="G919" i="1"/>
  <c r="D919" i="1"/>
  <c r="C919" i="1"/>
  <c r="AL918" i="1"/>
  <c r="AK918" i="1"/>
  <c r="AJ918" i="1" a="1"/>
  <c r="AJ918" i="1" s="1"/>
  <c r="AN918" i="1" s="1"/>
  <c r="AI918" i="1" a="1"/>
  <c r="AI918" i="1" s="1"/>
  <c r="AM918" i="1" s="1"/>
  <c r="AH918" i="1"/>
  <c r="AA918" i="1"/>
  <c r="Y918" i="1"/>
  <c r="Z918" i="1" s="1"/>
  <c r="G918" i="1"/>
  <c r="D918" i="1"/>
  <c r="C918" i="1"/>
  <c r="AL917" i="1"/>
  <c r="AK917" i="1"/>
  <c r="AJ917" i="1" a="1"/>
  <c r="AJ917" i="1" s="1"/>
  <c r="AN917" i="1" s="1"/>
  <c r="AI917" i="1" a="1"/>
  <c r="AI917" i="1" s="1"/>
  <c r="AM917" i="1" s="1"/>
  <c r="AH917" i="1"/>
  <c r="AA917" i="1"/>
  <c r="Y917" i="1"/>
  <c r="Z917" i="1" s="1"/>
  <c r="G917" i="1"/>
  <c r="D917" i="1"/>
  <c r="C917" i="1"/>
  <c r="AL916" i="1"/>
  <c r="AK916" i="1"/>
  <c r="AJ916" i="1" a="1"/>
  <c r="AJ916" i="1" s="1"/>
  <c r="AN916" i="1" s="1"/>
  <c r="AI916" i="1" a="1"/>
  <c r="AI916" i="1" s="1"/>
  <c r="AM916" i="1" s="1"/>
  <c r="AH916" i="1"/>
  <c r="AA916" i="1"/>
  <c r="Y916" i="1"/>
  <c r="Z916" i="1" s="1"/>
  <c r="G916" i="1"/>
  <c r="D916" i="1"/>
  <c r="C916" i="1"/>
  <c r="AL915" i="1"/>
  <c r="AK915" i="1"/>
  <c r="AJ915" i="1" a="1"/>
  <c r="AJ915" i="1" s="1"/>
  <c r="AN915" i="1" s="1"/>
  <c r="AI915" i="1" a="1"/>
  <c r="AI915" i="1" s="1"/>
  <c r="AM915" i="1" s="1"/>
  <c r="AH915" i="1"/>
  <c r="AA915" i="1"/>
  <c r="Y915" i="1"/>
  <c r="Z915" i="1" s="1"/>
  <c r="G915" i="1"/>
  <c r="D915" i="1"/>
  <c r="C915" i="1"/>
  <c r="AL914" i="1"/>
  <c r="AK914" i="1"/>
  <c r="AJ914" i="1" a="1"/>
  <c r="AJ914" i="1" s="1"/>
  <c r="AN914" i="1" s="1"/>
  <c r="AI914" i="1" a="1"/>
  <c r="AI914" i="1" s="1"/>
  <c r="AM914" i="1" s="1"/>
  <c r="AH914" i="1"/>
  <c r="AA914" i="1"/>
  <c r="Y914" i="1"/>
  <c r="Z914" i="1" s="1"/>
  <c r="G914" i="1"/>
  <c r="D914" i="1"/>
  <c r="C914" i="1"/>
  <c r="AL913" i="1"/>
  <c r="AK913" i="1"/>
  <c r="AJ913" i="1" a="1"/>
  <c r="AJ913" i="1" s="1"/>
  <c r="AN913" i="1" s="1"/>
  <c r="AI913" i="1" a="1"/>
  <c r="AI913" i="1" s="1"/>
  <c r="AM913" i="1" s="1"/>
  <c r="AH913" i="1"/>
  <c r="AA913" i="1"/>
  <c r="Y913" i="1"/>
  <c r="Z913" i="1" s="1"/>
  <c r="G913" i="1"/>
  <c r="D913" i="1"/>
  <c r="C913" i="1"/>
  <c r="AL912" i="1"/>
  <c r="AK912" i="1"/>
  <c r="AJ912" i="1" a="1"/>
  <c r="AJ912" i="1" s="1"/>
  <c r="AN912" i="1" s="1"/>
  <c r="AI912" i="1" a="1"/>
  <c r="AI912" i="1" s="1"/>
  <c r="AM912" i="1" s="1"/>
  <c r="AH912" i="1"/>
  <c r="AA912" i="1"/>
  <c r="Y912" i="1"/>
  <c r="Z912" i="1" s="1"/>
  <c r="G912" i="1"/>
  <c r="D912" i="1"/>
  <c r="C912" i="1"/>
  <c r="AL911" i="1"/>
  <c r="AK911" i="1"/>
  <c r="AJ911" i="1" a="1"/>
  <c r="AJ911" i="1" s="1"/>
  <c r="AN911" i="1" s="1"/>
  <c r="AI911" i="1" a="1"/>
  <c r="AI911" i="1" s="1"/>
  <c r="AM911" i="1" s="1"/>
  <c r="AH911" i="1"/>
  <c r="AA911" i="1"/>
  <c r="Y911" i="1"/>
  <c r="Z911" i="1" s="1"/>
  <c r="G911" i="1"/>
  <c r="D911" i="1"/>
  <c r="C911" i="1"/>
  <c r="AL910" i="1"/>
  <c r="AK910" i="1"/>
  <c r="AJ910" i="1" a="1"/>
  <c r="AJ910" i="1" s="1"/>
  <c r="AN910" i="1" s="1"/>
  <c r="AI910" i="1" a="1"/>
  <c r="AI910" i="1" s="1"/>
  <c r="AM910" i="1" s="1"/>
  <c r="AH910" i="1"/>
  <c r="AA910" i="1"/>
  <c r="Y910" i="1"/>
  <c r="Z910" i="1" s="1"/>
  <c r="G910" i="1"/>
  <c r="D910" i="1"/>
  <c r="C910" i="1"/>
  <c r="AL909" i="1"/>
  <c r="AK909" i="1"/>
  <c r="AJ909" i="1" a="1"/>
  <c r="AJ909" i="1" s="1"/>
  <c r="AN909" i="1" s="1"/>
  <c r="AI909" i="1" a="1"/>
  <c r="AI909" i="1" s="1"/>
  <c r="AM909" i="1" s="1"/>
  <c r="AH909" i="1"/>
  <c r="AA909" i="1"/>
  <c r="Y909" i="1"/>
  <c r="Z909" i="1" s="1"/>
  <c r="G909" i="1"/>
  <c r="D909" i="1"/>
  <c r="C909" i="1"/>
  <c r="AL908" i="1"/>
  <c r="AK908" i="1"/>
  <c r="AJ908" i="1" a="1"/>
  <c r="AJ908" i="1" s="1"/>
  <c r="AN908" i="1" s="1"/>
  <c r="AI908" i="1" a="1"/>
  <c r="AI908" i="1" s="1"/>
  <c r="AM908" i="1" s="1"/>
  <c r="AH908" i="1"/>
  <c r="AA908" i="1"/>
  <c r="Y908" i="1"/>
  <c r="Z908" i="1" s="1"/>
  <c r="G908" i="1"/>
  <c r="D908" i="1"/>
  <c r="C908" i="1"/>
  <c r="AL907" i="1"/>
  <c r="AK907" i="1"/>
  <c r="AJ907" i="1" a="1"/>
  <c r="AJ907" i="1" s="1"/>
  <c r="AN907" i="1" s="1"/>
  <c r="AI907" i="1" a="1"/>
  <c r="AI907" i="1" s="1"/>
  <c r="AM907" i="1" s="1"/>
  <c r="AH907" i="1"/>
  <c r="AA907" i="1"/>
  <c r="Y907" i="1"/>
  <c r="Z907" i="1" s="1"/>
  <c r="G907" i="1"/>
  <c r="D907" i="1"/>
  <c r="C907" i="1"/>
  <c r="AL906" i="1"/>
  <c r="AK906" i="1"/>
  <c r="AJ906" i="1" a="1"/>
  <c r="AJ906" i="1" s="1"/>
  <c r="AN906" i="1" s="1"/>
  <c r="AI906" i="1" a="1"/>
  <c r="AI906" i="1" s="1"/>
  <c r="AM906" i="1" s="1"/>
  <c r="AH906" i="1"/>
  <c r="AA906" i="1"/>
  <c r="Y906" i="1"/>
  <c r="Z906" i="1" s="1"/>
  <c r="G906" i="1"/>
  <c r="D906" i="1"/>
  <c r="C906" i="1"/>
  <c r="AL905" i="1"/>
  <c r="AK905" i="1"/>
  <c r="AJ905" i="1" a="1"/>
  <c r="AJ905" i="1" s="1"/>
  <c r="AN905" i="1" s="1"/>
  <c r="AI905" i="1" a="1"/>
  <c r="AI905" i="1" s="1"/>
  <c r="AM905" i="1" s="1"/>
  <c r="AH905" i="1"/>
  <c r="AA905" i="1"/>
  <c r="Y905" i="1"/>
  <c r="Z905" i="1" s="1"/>
  <c r="G905" i="1"/>
  <c r="D905" i="1"/>
  <c r="C905" i="1"/>
  <c r="AL904" i="1"/>
  <c r="AK904" i="1"/>
  <c r="AJ904" i="1" a="1"/>
  <c r="AJ904" i="1" s="1"/>
  <c r="AN904" i="1" s="1"/>
  <c r="AI904" i="1"/>
  <c r="AM904" i="1" s="1"/>
  <c r="AI904" i="1" a="1"/>
  <c r="AH904" i="1"/>
  <c r="AA904" i="1"/>
  <c r="Y904" i="1"/>
  <c r="Z904" i="1" s="1"/>
  <c r="G904" i="1"/>
  <c r="D904" i="1"/>
  <c r="C904" i="1"/>
  <c r="AL903" i="1"/>
  <c r="AK903" i="1"/>
  <c r="AJ903" i="1" a="1"/>
  <c r="AJ903" i="1" s="1"/>
  <c r="AN903" i="1" s="1"/>
  <c r="AI903" i="1" a="1"/>
  <c r="AI903" i="1" s="1"/>
  <c r="AM903" i="1" s="1"/>
  <c r="AH903" i="1"/>
  <c r="AA903" i="1"/>
  <c r="Y903" i="1"/>
  <c r="Z903" i="1" s="1"/>
  <c r="G903" i="1"/>
  <c r="D903" i="1"/>
  <c r="C903" i="1"/>
  <c r="AL902" i="1"/>
  <c r="AK902" i="1"/>
  <c r="AJ902" i="1" a="1"/>
  <c r="AJ902" i="1" s="1"/>
  <c r="AN902" i="1" s="1"/>
  <c r="AI902" i="1" a="1"/>
  <c r="AI902" i="1" s="1"/>
  <c r="AM902" i="1" s="1"/>
  <c r="AH902" i="1"/>
  <c r="AA902" i="1"/>
  <c r="Y902" i="1"/>
  <c r="Z902" i="1" s="1"/>
  <c r="G902" i="1"/>
  <c r="D902" i="1"/>
  <c r="C902" i="1"/>
  <c r="AL901" i="1"/>
  <c r="AK901" i="1"/>
  <c r="AJ901" i="1" a="1"/>
  <c r="AJ901" i="1" s="1"/>
  <c r="AN901" i="1" s="1"/>
  <c r="AI901" i="1" a="1"/>
  <c r="AI901" i="1" s="1"/>
  <c r="AM901" i="1" s="1"/>
  <c r="AH901" i="1"/>
  <c r="AA901" i="1"/>
  <c r="Y901" i="1"/>
  <c r="Z901" i="1" s="1"/>
  <c r="G901" i="1"/>
  <c r="D901" i="1"/>
  <c r="C901" i="1"/>
  <c r="AL900" i="1"/>
  <c r="AK900" i="1"/>
  <c r="AJ900" i="1" a="1"/>
  <c r="AJ900" i="1" s="1"/>
  <c r="AN900" i="1" s="1"/>
  <c r="AI900" i="1" a="1"/>
  <c r="AI900" i="1" s="1"/>
  <c r="AM900" i="1" s="1"/>
  <c r="AH900" i="1"/>
  <c r="AA900" i="1"/>
  <c r="Y900" i="1"/>
  <c r="Z900" i="1" s="1"/>
  <c r="G900" i="1"/>
  <c r="D900" i="1"/>
  <c r="C900" i="1"/>
  <c r="AL899" i="1"/>
  <c r="AK899" i="1"/>
  <c r="AJ899" i="1" a="1"/>
  <c r="AJ899" i="1" s="1"/>
  <c r="AN899" i="1" s="1"/>
  <c r="AI899" i="1" a="1"/>
  <c r="AI899" i="1" s="1"/>
  <c r="AM899" i="1" s="1"/>
  <c r="AH899" i="1"/>
  <c r="AA899" i="1"/>
  <c r="Y899" i="1"/>
  <c r="Z899" i="1" s="1"/>
  <c r="G899" i="1"/>
  <c r="D899" i="1"/>
  <c r="C899" i="1"/>
  <c r="AL898" i="1"/>
  <c r="AK898" i="1"/>
  <c r="AJ898" i="1" a="1"/>
  <c r="AJ898" i="1" s="1"/>
  <c r="AN898" i="1" s="1"/>
  <c r="AI898" i="1" a="1"/>
  <c r="AI898" i="1" s="1"/>
  <c r="AM898" i="1" s="1"/>
  <c r="AH898" i="1"/>
  <c r="AA898" i="1"/>
  <c r="Y898" i="1"/>
  <c r="Z898" i="1" s="1"/>
  <c r="G898" i="1"/>
  <c r="D898" i="1"/>
  <c r="C898" i="1"/>
  <c r="AL897" i="1"/>
  <c r="AK897" i="1"/>
  <c r="AJ897" i="1" a="1"/>
  <c r="AJ897" i="1" s="1"/>
  <c r="AN897" i="1" s="1"/>
  <c r="AI897" i="1" a="1"/>
  <c r="AI897" i="1" s="1"/>
  <c r="AM897" i="1" s="1"/>
  <c r="AH897" i="1"/>
  <c r="AA897" i="1"/>
  <c r="Y897" i="1"/>
  <c r="Z897" i="1" s="1"/>
  <c r="G897" i="1"/>
  <c r="D897" i="1"/>
  <c r="C897" i="1"/>
  <c r="AL896" i="1"/>
  <c r="AK896" i="1"/>
  <c r="AJ896" i="1" a="1"/>
  <c r="AJ896" i="1" s="1"/>
  <c r="AN896" i="1" s="1"/>
  <c r="AI896" i="1" a="1"/>
  <c r="AI896" i="1" s="1"/>
  <c r="AM896" i="1" s="1"/>
  <c r="AH896" i="1"/>
  <c r="AA896" i="1"/>
  <c r="Y896" i="1"/>
  <c r="Z896" i="1" s="1"/>
  <c r="G896" i="1"/>
  <c r="D896" i="1"/>
  <c r="C896" i="1"/>
  <c r="AL895" i="1"/>
  <c r="AK895" i="1"/>
  <c r="AJ895" i="1" a="1"/>
  <c r="AJ895" i="1" s="1"/>
  <c r="AN895" i="1" s="1"/>
  <c r="AI895" i="1" a="1"/>
  <c r="AI895" i="1" s="1"/>
  <c r="AM895" i="1" s="1"/>
  <c r="AH895" i="1"/>
  <c r="AA895" i="1"/>
  <c r="Y895" i="1"/>
  <c r="Z895" i="1" s="1"/>
  <c r="G895" i="1"/>
  <c r="D895" i="1"/>
  <c r="C895" i="1"/>
  <c r="AL894" i="1"/>
  <c r="AK894" i="1"/>
  <c r="AJ894" i="1" a="1"/>
  <c r="AJ894" i="1" s="1"/>
  <c r="AN894" i="1" s="1"/>
  <c r="AI894" i="1" a="1"/>
  <c r="AI894" i="1" s="1"/>
  <c r="AM894" i="1" s="1"/>
  <c r="AH894" i="1"/>
  <c r="AA894" i="1"/>
  <c r="Y894" i="1"/>
  <c r="Z894" i="1" s="1"/>
  <c r="G894" i="1"/>
  <c r="D894" i="1"/>
  <c r="C894" i="1"/>
  <c r="AL893" i="1"/>
  <c r="AK893" i="1"/>
  <c r="AJ893" i="1" a="1"/>
  <c r="AJ893" i="1" s="1"/>
  <c r="AN893" i="1" s="1"/>
  <c r="AI893" i="1" a="1"/>
  <c r="AI893" i="1" s="1"/>
  <c r="AM893" i="1" s="1"/>
  <c r="AH893" i="1"/>
  <c r="AA893" i="1"/>
  <c r="Y893" i="1"/>
  <c r="Z893" i="1" s="1"/>
  <c r="G893" i="1"/>
  <c r="D893" i="1"/>
  <c r="C893" i="1"/>
  <c r="AL892" i="1"/>
  <c r="AK892" i="1"/>
  <c r="AJ892" i="1" a="1"/>
  <c r="AJ892" i="1" s="1"/>
  <c r="AN892" i="1" s="1"/>
  <c r="AI892" i="1" a="1"/>
  <c r="AI892" i="1" s="1"/>
  <c r="AM892" i="1" s="1"/>
  <c r="AH892" i="1"/>
  <c r="AA892" i="1"/>
  <c r="Y892" i="1"/>
  <c r="Z892" i="1" s="1"/>
  <c r="G892" i="1"/>
  <c r="D892" i="1"/>
  <c r="C892" i="1"/>
  <c r="AL891" i="1"/>
  <c r="AK891" i="1"/>
  <c r="AJ891" i="1" a="1"/>
  <c r="AJ891" i="1" s="1"/>
  <c r="AN891" i="1" s="1"/>
  <c r="AI891" i="1" a="1"/>
  <c r="AI891" i="1" s="1"/>
  <c r="AM891" i="1" s="1"/>
  <c r="AH891" i="1"/>
  <c r="AA891" i="1"/>
  <c r="Y891" i="1"/>
  <c r="Z891" i="1" s="1"/>
  <c r="G891" i="1"/>
  <c r="D891" i="1"/>
  <c r="C891" i="1"/>
  <c r="AL890" i="1"/>
  <c r="AK890" i="1"/>
  <c r="AJ890" i="1" a="1"/>
  <c r="AJ890" i="1" s="1"/>
  <c r="AN890" i="1" s="1"/>
  <c r="AI890" i="1" a="1"/>
  <c r="AI890" i="1" s="1"/>
  <c r="AM890" i="1" s="1"/>
  <c r="AH890" i="1"/>
  <c r="AA890" i="1"/>
  <c r="Y890" i="1"/>
  <c r="Z890" i="1" s="1"/>
  <c r="G890" i="1"/>
  <c r="D890" i="1"/>
  <c r="C890" i="1"/>
  <c r="AL889" i="1"/>
  <c r="AK889" i="1"/>
  <c r="AJ889" i="1" a="1"/>
  <c r="AJ889" i="1" s="1"/>
  <c r="AN889" i="1" s="1"/>
  <c r="AI889" i="1" a="1"/>
  <c r="AI889" i="1" s="1"/>
  <c r="AM889" i="1" s="1"/>
  <c r="AH889" i="1"/>
  <c r="AA889" i="1"/>
  <c r="Y889" i="1"/>
  <c r="Z889" i="1" s="1"/>
  <c r="G889" i="1"/>
  <c r="D889" i="1"/>
  <c r="C889" i="1"/>
  <c r="AL888" i="1"/>
  <c r="AK888" i="1"/>
  <c r="AJ888" i="1" a="1"/>
  <c r="AJ888" i="1" s="1"/>
  <c r="AN888" i="1" s="1"/>
  <c r="AI888" i="1" a="1"/>
  <c r="AI888" i="1" s="1"/>
  <c r="AM888" i="1" s="1"/>
  <c r="AH888" i="1"/>
  <c r="AA888" i="1"/>
  <c r="Y888" i="1"/>
  <c r="Z888" i="1" s="1"/>
  <c r="G888" i="1"/>
  <c r="D888" i="1"/>
  <c r="C888" i="1"/>
  <c r="AL887" i="1"/>
  <c r="AK887" i="1"/>
  <c r="AJ887" i="1" a="1"/>
  <c r="AJ887" i="1" s="1"/>
  <c r="AN887" i="1" s="1"/>
  <c r="AI887" i="1" a="1"/>
  <c r="AI887" i="1" s="1"/>
  <c r="AM887" i="1" s="1"/>
  <c r="AH887" i="1"/>
  <c r="AA887" i="1"/>
  <c r="Y887" i="1"/>
  <c r="Z887" i="1" s="1"/>
  <c r="G887" i="1"/>
  <c r="D887" i="1"/>
  <c r="C887" i="1"/>
  <c r="AL886" i="1"/>
  <c r="AK886" i="1"/>
  <c r="AJ886" i="1" a="1"/>
  <c r="AJ886" i="1" s="1"/>
  <c r="AN886" i="1" s="1"/>
  <c r="AI886" i="1" a="1"/>
  <c r="AI886" i="1" s="1"/>
  <c r="AM886" i="1" s="1"/>
  <c r="AH886" i="1"/>
  <c r="AA886" i="1"/>
  <c r="Y886" i="1"/>
  <c r="Z886" i="1" s="1"/>
  <c r="G886" i="1"/>
  <c r="D886" i="1"/>
  <c r="C886" i="1"/>
  <c r="AL885" i="1"/>
  <c r="AK885" i="1"/>
  <c r="AJ885" i="1" a="1"/>
  <c r="AJ885" i="1" s="1"/>
  <c r="AN885" i="1" s="1"/>
  <c r="AI885" i="1" a="1"/>
  <c r="AI885" i="1" s="1"/>
  <c r="AM885" i="1" s="1"/>
  <c r="AH885" i="1"/>
  <c r="AA885" i="1"/>
  <c r="Y885" i="1"/>
  <c r="Z885" i="1" s="1"/>
  <c r="G885" i="1"/>
  <c r="D885" i="1"/>
  <c r="C885" i="1"/>
  <c r="AL884" i="1"/>
  <c r="AK884" i="1"/>
  <c r="AJ884" i="1" a="1"/>
  <c r="AJ884" i="1" s="1"/>
  <c r="AN884" i="1" s="1"/>
  <c r="AI884" i="1" a="1"/>
  <c r="AI884" i="1" s="1"/>
  <c r="AM884" i="1" s="1"/>
  <c r="AH884" i="1"/>
  <c r="AA884" i="1"/>
  <c r="Y884" i="1"/>
  <c r="Z884" i="1" s="1"/>
  <c r="G884" i="1"/>
  <c r="D884" i="1"/>
  <c r="C884" i="1"/>
  <c r="AL883" i="1"/>
  <c r="AK883" i="1"/>
  <c r="AJ883" i="1" a="1"/>
  <c r="AJ883" i="1" s="1"/>
  <c r="AN883" i="1" s="1"/>
  <c r="AI883" i="1" a="1"/>
  <c r="AI883" i="1" s="1"/>
  <c r="AM883" i="1" s="1"/>
  <c r="AH883" i="1"/>
  <c r="AA883" i="1"/>
  <c r="Y883" i="1"/>
  <c r="Z883" i="1" s="1"/>
  <c r="G883" i="1"/>
  <c r="D883" i="1"/>
  <c r="C883" i="1"/>
  <c r="AL882" i="1"/>
  <c r="AK882" i="1"/>
  <c r="AJ882" i="1" a="1"/>
  <c r="AJ882" i="1" s="1"/>
  <c r="AN882" i="1" s="1"/>
  <c r="AI882" i="1" a="1"/>
  <c r="AI882" i="1" s="1"/>
  <c r="AM882" i="1" s="1"/>
  <c r="AH882" i="1"/>
  <c r="AA882" i="1"/>
  <c r="Y882" i="1"/>
  <c r="Z882" i="1" s="1"/>
  <c r="G882" i="1"/>
  <c r="D882" i="1"/>
  <c r="C882" i="1"/>
  <c r="AL881" i="1"/>
  <c r="AK881" i="1"/>
  <c r="AJ881" i="1" a="1"/>
  <c r="AJ881" i="1" s="1"/>
  <c r="AN881" i="1" s="1"/>
  <c r="AI881" i="1" a="1"/>
  <c r="AI881" i="1" s="1"/>
  <c r="AM881" i="1" s="1"/>
  <c r="AH881" i="1"/>
  <c r="AA881" i="1"/>
  <c r="Y881" i="1"/>
  <c r="Z881" i="1" s="1"/>
  <c r="G881" i="1"/>
  <c r="D881" i="1"/>
  <c r="C881" i="1"/>
  <c r="AL880" i="1"/>
  <c r="AK880" i="1"/>
  <c r="AJ880" i="1" a="1"/>
  <c r="AJ880" i="1" s="1"/>
  <c r="AN880" i="1" s="1"/>
  <c r="AI880" i="1" a="1"/>
  <c r="AI880" i="1" s="1"/>
  <c r="AM880" i="1" s="1"/>
  <c r="AH880" i="1"/>
  <c r="AA880" i="1"/>
  <c r="Y880" i="1"/>
  <c r="Z880" i="1" s="1"/>
  <c r="G880" i="1"/>
  <c r="D880" i="1"/>
  <c r="C880" i="1"/>
  <c r="AL879" i="1"/>
  <c r="AK879" i="1"/>
  <c r="AJ879" i="1" a="1"/>
  <c r="AJ879" i="1" s="1"/>
  <c r="AN879" i="1" s="1"/>
  <c r="AI879" i="1" a="1"/>
  <c r="AI879" i="1" s="1"/>
  <c r="AM879" i="1" s="1"/>
  <c r="AH879" i="1"/>
  <c r="AA879" i="1"/>
  <c r="Y879" i="1"/>
  <c r="Z879" i="1" s="1"/>
  <c r="G879" i="1"/>
  <c r="D879" i="1"/>
  <c r="C879" i="1"/>
  <c r="AL878" i="1"/>
  <c r="AK878" i="1"/>
  <c r="AJ878" i="1" a="1"/>
  <c r="AJ878" i="1" s="1"/>
  <c r="AN878" i="1" s="1"/>
  <c r="AI878" i="1" a="1"/>
  <c r="AI878" i="1" s="1"/>
  <c r="AM878" i="1" s="1"/>
  <c r="AH878" i="1"/>
  <c r="AA878" i="1"/>
  <c r="Y878" i="1"/>
  <c r="Z878" i="1" s="1"/>
  <c r="G878" i="1"/>
  <c r="D878" i="1"/>
  <c r="C878" i="1"/>
  <c r="AL877" i="1"/>
  <c r="AK877" i="1"/>
  <c r="AJ877" i="1" a="1"/>
  <c r="AJ877" i="1" s="1"/>
  <c r="AN877" i="1" s="1"/>
  <c r="AI877" i="1" a="1"/>
  <c r="AI877" i="1" s="1"/>
  <c r="AM877" i="1" s="1"/>
  <c r="AH877" i="1"/>
  <c r="AA877" i="1"/>
  <c r="Y877" i="1"/>
  <c r="Z877" i="1" s="1"/>
  <c r="G877" i="1"/>
  <c r="D877" i="1"/>
  <c r="C877" i="1"/>
  <c r="AL876" i="1"/>
  <c r="AK876" i="1"/>
  <c r="AJ876" i="1" a="1"/>
  <c r="AJ876" i="1" s="1"/>
  <c r="AN876" i="1" s="1"/>
  <c r="AI876" i="1" a="1"/>
  <c r="AI876" i="1" s="1"/>
  <c r="AM876" i="1" s="1"/>
  <c r="AH876" i="1"/>
  <c r="AA876" i="1"/>
  <c r="Y876" i="1"/>
  <c r="Z876" i="1" s="1"/>
  <c r="G876" i="1"/>
  <c r="D876" i="1"/>
  <c r="C876" i="1"/>
  <c r="AL875" i="1"/>
  <c r="AK875" i="1"/>
  <c r="AJ875" i="1" a="1"/>
  <c r="AJ875" i="1" s="1"/>
  <c r="AN875" i="1" s="1"/>
  <c r="AI875" i="1" a="1"/>
  <c r="AI875" i="1" s="1"/>
  <c r="AM875" i="1" s="1"/>
  <c r="AH875" i="1"/>
  <c r="AA875" i="1"/>
  <c r="Y875" i="1"/>
  <c r="Z875" i="1" s="1"/>
  <c r="G875" i="1"/>
  <c r="D875" i="1"/>
  <c r="C875" i="1"/>
  <c r="AL874" i="1"/>
  <c r="AK874" i="1"/>
  <c r="AJ874" i="1" a="1"/>
  <c r="AJ874" i="1" s="1"/>
  <c r="AN874" i="1" s="1"/>
  <c r="AI874" i="1" a="1"/>
  <c r="AI874" i="1" s="1"/>
  <c r="AM874" i="1" s="1"/>
  <c r="AH874" i="1"/>
  <c r="AA874" i="1"/>
  <c r="Y874" i="1"/>
  <c r="Z874" i="1" s="1"/>
  <c r="G874" i="1"/>
  <c r="D874" i="1"/>
  <c r="C874" i="1"/>
  <c r="AL873" i="1"/>
  <c r="AK873" i="1"/>
  <c r="AJ873" i="1" a="1"/>
  <c r="AJ873" i="1" s="1"/>
  <c r="AN873" i="1" s="1"/>
  <c r="AI873" i="1" a="1"/>
  <c r="AI873" i="1" s="1"/>
  <c r="AM873" i="1" s="1"/>
  <c r="AH873" i="1"/>
  <c r="AA873" i="1"/>
  <c r="Y873" i="1"/>
  <c r="Z873" i="1" s="1"/>
  <c r="G873" i="1"/>
  <c r="D873" i="1"/>
  <c r="C873" i="1"/>
  <c r="AL872" i="1"/>
  <c r="AK872" i="1"/>
  <c r="AJ872" i="1" a="1"/>
  <c r="AJ872" i="1" s="1"/>
  <c r="AN872" i="1" s="1"/>
  <c r="AI872" i="1" a="1"/>
  <c r="AI872" i="1" s="1"/>
  <c r="AM872" i="1" s="1"/>
  <c r="AH872" i="1"/>
  <c r="AA872" i="1"/>
  <c r="Y872" i="1"/>
  <c r="Z872" i="1" s="1"/>
  <c r="G872" i="1"/>
  <c r="D872" i="1"/>
  <c r="C872" i="1"/>
  <c r="AL871" i="1"/>
  <c r="AK871" i="1"/>
  <c r="AJ871" i="1" a="1"/>
  <c r="AJ871" i="1" s="1"/>
  <c r="AN871" i="1" s="1"/>
  <c r="AI871" i="1" a="1"/>
  <c r="AI871" i="1" s="1"/>
  <c r="AM871" i="1" s="1"/>
  <c r="AH871" i="1"/>
  <c r="AA871" i="1"/>
  <c r="Y871" i="1"/>
  <c r="Z871" i="1" s="1"/>
  <c r="G871" i="1"/>
  <c r="D871" i="1"/>
  <c r="C871" i="1"/>
  <c r="AL870" i="1"/>
  <c r="AK870" i="1"/>
  <c r="AJ870" i="1" a="1"/>
  <c r="AJ870" i="1" s="1"/>
  <c r="AN870" i="1" s="1"/>
  <c r="AI870" i="1" a="1"/>
  <c r="AI870" i="1" s="1"/>
  <c r="AM870" i="1" s="1"/>
  <c r="AH870" i="1"/>
  <c r="AA870" i="1"/>
  <c r="Y870" i="1"/>
  <c r="Z870" i="1" s="1"/>
  <c r="G870" i="1"/>
  <c r="D870" i="1"/>
  <c r="C870" i="1"/>
  <c r="AL869" i="1"/>
  <c r="AK869" i="1"/>
  <c r="AJ869" i="1" a="1"/>
  <c r="AJ869" i="1" s="1"/>
  <c r="AN869" i="1" s="1"/>
  <c r="AI869" i="1" a="1"/>
  <c r="AI869" i="1" s="1"/>
  <c r="AM869" i="1" s="1"/>
  <c r="AH869" i="1"/>
  <c r="AA869" i="1"/>
  <c r="Y869" i="1"/>
  <c r="Z869" i="1" s="1"/>
  <c r="G869" i="1"/>
  <c r="D869" i="1"/>
  <c r="C869" i="1"/>
  <c r="AL868" i="1"/>
  <c r="AK868" i="1"/>
  <c r="AJ868" i="1" a="1"/>
  <c r="AJ868" i="1" s="1"/>
  <c r="AN868" i="1" s="1"/>
  <c r="AI868" i="1" a="1"/>
  <c r="AI868" i="1" s="1"/>
  <c r="AM868" i="1" s="1"/>
  <c r="AH868" i="1"/>
  <c r="AA868" i="1"/>
  <c r="Y868" i="1"/>
  <c r="Z868" i="1" s="1"/>
  <c r="G868" i="1"/>
  <c r="D868" i="1"/>
  <c r="C868" i="1"/>
  <c r="AL867" i="1"/>
  <c r="AK867" i="1"/>
  <c r="AJ867" i="1" a="1"/>
  <c r="AJ867" i="1" s="1"/>
  <c r="AN867" i="1" s="1"/>
  <c r="AI867" i="1" a="1"/>
  <c r="AI867" i="1" s="1"/>
  <c r="AM867" i="1" s="1"/>
  <c r="AH867" i="1"/>
  <c r="AA867" i="1"/>
  <c r="Y867" i="1"/>
  <c r="Z867" i="1" s="1"/>
  <c r="G867" i="1"/>
  <c r="D867" i="1"/>
  <c r="C867" i="1"/>
  <c r="AL866" i="1"/>
  <c r="AK866" i="1"/>
  <c r="AJ866" i="1" a="1"/>
  <c r="AJ866" i="1" s="1"/>
  <c r="AN866" i="1" s="1"/>
  <c r="AI866" i="1" a="1"/>
  <c r="AI866" i="1" s="1"/>
  <c r="AM866" i="1" s="1"/>
  <c r="AH866" i="1"/>
  <c r="AA866" i="1"/>
  <c r="Y866" i="1"/>
  <c r="Z866" i="1" s="1"/>
  <c r="G866" i="1"/>
  <c r="D866" i="1"/>
  <c r="C866" i="1"/>
  <c r="AL865" i="1"/>
  <c r="AK865" i="1"/>
  <c r="AJ865" i="1" a="1"/>
  <c r="AJ865" i="1" s="1"/>
  <c r="AN865" i="1" s="1"/>
  <c r="AI865" i="1" a="1"/>
  <c r="AI865" i="1" s="1"/>
  <c r="AM865" i="1" s="1"/>
  <c r="AH865" i="1"/>
  <c r="AA865" i="1"/>
  <c r="Y865" i="1"/>
  <c r="Z865" i="1" s="1"/>
  <c r="G865" i="1"/>
  <c r="D865" i="1"/>
  <c r="C865" i="1"/>
  <c r="AL864" i="1"/>
  <c r="AK864" i="1"/>
  <c r="AJ864" i="1" a="1"/>
  <c r="AJ864" i="1" s="1"/>
  <c r="AN864" i="1" s="1"/>
  <c r="AI864" i="1" a="1"/>
  <c r="AI864" i="1" s="1"/>
  <c r="AM864" i="1" s="1"/>
  <c r="AH864" i="1"/>
  <c r="AA864" i="1"/>
  <c r="Y864" i="1"/>
  <c r="Z864" i="1" s="1"/>
  <c r="G864" i="1"/>
  <c r="D864" i="1"/>
  <c r="C864" i="1"/>
  <c r="AL863" i="1"/>
  <c r="AK863" i="1"/>
  <c r="AJ863" i="1" a="1"/>
  <c r="AJ863" i="1" s="1"/>
  <c r="AN863" i="1" s="1"/>
  <c r="AI863" i="1" a="1"/>
  <c r="AI863" i="1" s="1"/>
  <c r="AM863" i="1" s="1"/>
  <c r="AH863" i="1"/>
  <c r="AA863" i="1"/>
  <c r="Y863" i="1"/>
  <c r="Z863" i="1" s="1"/>
  <c r="G863" i="1"/>
  <c r="D863" i="1"/>
  <c r="C863" i="1"/>
  <c r="AL862" i="1"/>
  <c r="AK862" i="1"/>
  <c r="AJ862" i="1" a="1"/>
  <c r="AJ862" i="1" s="1"/>
  <c r="AN862" i="1" s="1"/>
  <c r="AI862" i="1" a="1"/>
  <c r="AI862" i="1" s="1"/>
  <c r="AM862" i="1" s="1"/>
  <c r="AH862" i="1"/>
  <c r="AA862" i="1"/>
  <c r="Y862" i="1"/>
  <c r="Z862" i="1" s="1"/>
  <c r="G862" i="1"/>
  <c r="D862" i="1"/>
  <c r="C862" i="1"/>
  <c r="AL861" i="1"/>
  <c r="AK861" i="1"/>
  <c r="AJ861" i="1" a="1"/>
  <c r="AJ861" i="1" s="1"/>
  <c r="AN861" i="1" s="1"/>
  <c r="AI861" i="1" a="1"/>
  <c r="AI861" i="1" s="1"/>
  <c r="AM861" i="1" s="1"/>
  <c r="AH861" i="1"/>
  <c r="AA861" i="1"/>
  <c r="Y861" i="1"/>
  <c r="Z861" i="1" s="1"/>
  <c r="G861" i="1"/>
  <c r="D861" i="1"/>
  <c r="C861" i="1"/>
  <c r="AL860" i="1"/>
  <c r="AK860" i="1"/>
  <c r="AJ860" i="1" a="1"/>
  <c r="AJ860" i="1" s="1"/>
  <c r="AN860" i="1" s="1"/>
  <c r="AI860" i="1" a="1"/>
  <c r="AI860" i="1" s="1"/>
  <c r="AM860" i="1" s="1"/>
  <c r="AH860" i="1"/>
  <c r="AA860" i="1"/>
  <c r="Y860" i="1"/>
  <c r="Z860" i="1" s="1"/>
  <c r="G860" i="1"/>
  <c r="D860" i="1"/>
  <c r="C860" i="1"/>
  <c r="AL859" i="1"/>
  <c r="AK859" i="1"/>
  <c r="AJ859" i="1" a="1"/>
  <c r="AJ859" i="1" s="1"/>
  <c r="AN859" i="1" s="1"/>
  <c r="AI859" i="1" a="1"/>
  <c r="AI859" i="1" s="1"/>
  <c r="AM859" i="1" s="1"/>
  <c r="AH859" i="1"/>
  <c r="AA859" i="1"/>
  <c r="Y859" i="1"/>
  <c r="Z859" i="1" s="1"/>
  <c r="G859" i="1"/>
  <c r="D859" i="1"/>
  <c r="C859" i="1"/>
  <c r="AL858" i="1"/>
  <c r="AK858" i="1"/>
  <c r="AJ858" i="1" a="1"/>
  <c r="AJ858" i="1" s="1"/>
  <c r="AN858" i="1" s="1"/>
  <c r="AI858" i="1" a="1"/>
  <c r="AI858" i="1" s="1"/>
  <c r="AM858" i="1" s="1"/>
  <c r="AH858" i="1"/>
  <c r="AA858" i="1"/>
  <c r="Y858" i="1"/>
  <c r="Z858" i="1" s="1"/>
  <c r="G858" i="1"/>
  <c r="D858" i="1"/>
  <c r="C858" i="1"/>
  <c r="AL857" i="1"/>
  <c r="AK857" i="1"/>
  <c r="AJ857" i="1" a="1"/>
  <c r="AJ857" i="1" s="1"/>
  <c r="AN857" i="1" s="1"/>
  <c r="AI857" i="1" a="1"/>
  <c r="AI857" i="1" s="1"/>
  <c r="AM857" i="1" s="1"/>
  <c r="AH857" i="1"/>
  <c r="AA857" i="1"/>
  <c r="Y857" i="1"/>
  <c r="Z857" i="1" s="1"/>
  <c r="G857" i="1"/>
  <c r="D857" i="1"/>
  <c r="C857" i="1"/>
  <c r="AL856" i="1"/>
  <c r="AK856" i="1"/>
  <c r="AJ856" i="1" a="1"/>
  <c r="AJ856" i="1" s="1"/>
  <c r="AN856" i="1" s="1"/>
  <c r="AI856" i="1" a="1"/>
  <c r="AI856" i="1" s="1"/>
  <c r="AM856" i="1" s="1"/>
  <c r="AH856" i="1"/>
  <c r="AA856" i="1"/>
  <c r="Y856" i="1"/>
  <c r="Z856" i="1" s="1"/>
  <c r="G856" i="1"/>
  <c r="D856" i="1"/>
  <c r="C856" i="1"/>
  <c r="AL855" i="1"/>
  <c r="AK855" i="1"/>
  <c r="AJ855" i="1" a="1"/>
  <c r="AJ855" i="1" s="1"/>
  <c r="AN855" i="1" s="1"/>
  <c r="AI855" i="1" a="1"/>
  <c r="AI855" i="1" s="1"/>
  <c r="AM855" i="1" s="1"/>
  <c r="AH855" i="1"/>
  <c r="AA855" i="1"/>
  <c r="Y855" i="1"/>
  <c r="Z855" i="1" s="1"/>
  <c r="G855" i="1"/>
  <c r="D855" i="1"/>
  <c r="C855" i="1"/>
  <c r="AL854" i="1"/>
  <c r="AK854" i="1"/>
  <c r="AJ854" i="1" a="1"/>
  <c r="AJ854" i="1" s="1"/>
  <c r="AN854" i="1" s="1"/>
  <c r="AI854" i="1" a="1"/>
  <c r="AI854" i="1" s="1"/>
  <c r="AM854" i="1" s="1"/>
  <c r="AH854" i="1"/>
  <c r="AA854" i="1"/>
  <c r="Y854" i="1"/>
  <c r="Z854" i="1" s="1"/>
  <c r="G854" i="1"/>
  <c r="D854" i="1"/>
  <c r="C854" i="1"/>
  <c r="AL853" i="1"/>
  <c r="AK853" i="1"/>
  <c r="AJ853" i="1" a="1"/>
  <c r="AJ853" i="1" s="1"/>
  <c r="AN853" i="1" s="1"/>
  <c r="AI853" i="1" a="1"/>
  <c r="AI853" i="1" s="1"/>
  <c r="AM853" i="1" s="1"/>
  <c r="AH853" i="1"/>
  <c r="AA853" i="1"/>
  <c r="Y853" i="1"/>
  <c r="Z853" i="1" s="1"/>
  <c r="G853" i="1"/>
  <c r="D853" i="1"/>
  <c r="C853" i="1"/>
  <c r="AL852" i="1"/>
  <c r="AK852" i="1"/>
  <c r="AJ852" i="1" a="1"/>
  <c r="AJ852" i="1" s="1"/>
  <c r="AN852" i="1" s="1"/>
  <c r="AI852" i="1" a="1"/>
  <c r="AI852" i="1" s="1"/>
  <c r="AM852" i="1" s="1"/>
  <c r="AH852" i="1"/>
  <c r="AA852" i="1"/>
  <c r="Y852" i="1"/>
  <c r="Z852" i="1" s="1"/>
  <c r="G852" i="1"/>
  <c r="D852" i="1"/>
  <c r="C852" i="1"/>
  <c r="AL851" i="1"/>
  <c r="AK851" i="1"/>
  <c r="AJ851" i="1" a="1"/>
  <c r="AJ851" i="1" s="1"/>
  <c r="AN851" i="1" s="1"/>
  <c r="AI851" i="1" a="1"/>
  <c r="AI851" i="1" s="1"/>
  <c r="AM851" i="1" s="1"/>
  <c r="AH851" i="1"/>
  <c r="AA851" i="1"/>
  <c r="Y851" i="1"/>
  <c r="Z851" i="1" s="1"/>
  <c r="G851" i="1"/>
  <c r="D851" i="1"/>
  <c r="C851" i="1"/>
  <c r="AL850" i="1"/>
  <c r="AK850" i="1"/>
  <c r="AJ850" i="1" a="1"/>
  <c r="AJ850" i="1" s="1"/>
  <c r="AN850" i="1" s="1"/>
  <c r="AI850" i="1" a="1"/>
  <c r="AI850" i="1" s="1"/>
  <c r="AM850" i="1" s="1"/>
  <c r="AH850" i="1"/>
  <c r="AA850" i="1"/>
  <c r="Y850" i="1"/>
  <c r="Z850" i="1" s="1"/>
  <c r="G850" i="1"/>
  <c r="D850" i="1"/>
  <c r="C850" i="1"/>
  <c r="AL849" i="1"/>
  <c r="AK849" i="1"/>
  <c r="AJ849" i="1" a="1"/>
  <c r="AJ849" i="1" s="1"/>
  <c r="AN849" i="1" s="1"/>
  <c r="AI849" i="1" a="1"/>
  <c r="AI849" i="1" s="1"/>
  <c r="AM849" i="1" s="1"/>
  <c r="AH849" i="1"/>
  <c r="AA849" i="1"/>
  <c r="Y849" i="1"/>
  <c r="Z849" i="1" s="1"/>
  <c r="G849" i="1"/>
  <c r="D849" i="1"/>
  <c r="C849" i="1"/>
  <c r="AL848" i="1"/>
  <c r="AK848" i="1"/>
  <c r="AJ848" i="1" a="1"/>
  <c r="AJ848" i="1" s="1"/>
  <c r="AN848" i="1" s="1"/>
  <c r="AI848" i="1" a="1"/>
  <c r="AI848" i="1" s="1"/>
  <c r="AM848" i="1" s="1"/>
  <c r="AH848" i="1"/>
  <c r="AA848" i="1"/>
  <c r="Y848" i="1"/>
  <c r="Z848" i="1" s="1"/>
  <c r="G848" i="1"/>
  <c r="D848" i="1"/>
  <c r="C848" i="1"/>
  <c r="AL847" i="1"/>
  <c r="AK847" i="1"/>
  <c r="AJ847" i="1" a="1"/>
  <c r="AJ847" i="1" s="1"/>
  <c r="AN847" i="1" s="1"/>
  <c r="AI847" i="1" a="1"/>
  <c r="AI847" i="1" s="1"/>
  <c r="AM847" i="1" s="1"/>
  <c r="AH847" i="1"/>
  <c r="AA847" i="1"/>
  <c r="Y847" i="1"/>
  <c r="Z847" i="1" s="1"/>
  <c r="G847" i="1"/>
  <c r="D847" i="1"/>
  <c r="C847" i="1"/>
  <c r="AL846" i="1"/>
  <c r="AK846" i="1"/>
  <c r="AJ846" i="1" a="1"/>
  <c r="AJ846" i="1" s="1"/>
  <c r="AN846" i="1" s="1"/>
  <c r="AI846" i="1" a="1"/>
  <c r="AI846" i="1" s="1"/>
  <c r="AM846" i="1" s="1"/>
  <c r="AH846" i="1"/>
  <c r="AA846" i="1"/>
  <c r="Y846" i="1"/>
  <c r="Z846" i="1" s="1"/>
  <c r="G846" i="1"/>
  <c r="D846" i="1"/>
  <c r="C846" i="1"/>
  <c r="AL845" i="1"/>
  <c r="AK845" i="1"/>
  <c r="AJ845" i="1" a="1"/>
  <c r="AJ845" i="1" s="1"/>
  <c r="AN845" i="1" s="1"/>
  <c r="AI845" i="1" a="1"/>
  <c r="AI845" i="1" s="1"/>
  <c r="AM845" i="1" s="1"/>
  <c r="AH845" i="1"/>
  <c r="AA845" i="1"/>
  <c r="Y845" i="1"/>
  <c r="Z845" i="1" s="1"/>
  <c r="G845" i="1"/>
  <c r="D845" i="1"/>
  <c r="C845" i="1"/>
  <c r="AL844" i="1"/>
  <c r="AK844" i="1"/>
  <c r="AJ844" i="1" a="1"/>
  <c r="AJ844" i="1" s="1"/>
  <c r="AN844" i="1" s="1"/>
  <c r="AI844" i="1" a="1"/>
  <c r="AI844" i="1" s="1"/>
  <c r="AM844" i="1" s="1"/>
  <c r="AH844" i="1"/>
  <c r="AA844" i="1"/>
  <c r="Y844" i="1"/>
  <c r="Z844" i="1" s="1"/>
  <c r="G844" i="1"/>
  <c r="D844" i="1"/>
  <c r="C844" i="1"/>
  <c r="AL843" i="1"/>
  <c r="AK843" i="1"/>
  <c r="AJ843" i="1" a="1"/>
  <c r="AJ843" i="1" s="1"/>
  <c r="AN843" i="1" s="1"/>
  <c r="AI843" i="1" a="1"/>
  <c r="AI843" i="1" s="1"/>
  <c r="AM843" i="1" s="1"/>
  <c r="AH843" i="1"/>
  <c r="AA843" i="1"/>
  <c r="Y843" i="1"/>
  <c r="Z843" i="1" s="1"/>
  <c r="G843" i="1"/>
  <c r="D843" i="1"/>
  <c r="C843" i="1"/>
  <c r="AL842" i="1"/>
  <c r="AK842" i="1"/>
  <c r="AJ842" i="1" a="1"/>
  <c r="AJ842" i="1" s="1"/>
  <c r="AN842" i="1" s="1"/>
  <c r="AI842" i="1" a="1"/>
  <c r="AI842" i="1" s="1"/>
  <c r="AM842" i="1" s="1"/>
  <c r="AH842" i="1"/>
  <c r="AA842" i="1"/>
  <c r="Y842" i="1"/>
  <c r="Z842" i="1" s="1"/>
  <c r="G842" i="1"/>
  <c r="D842" i="1"/>
  <c r="C842" i="1"/>
  <c r="AL841" i="1"/>
  <c r="AK841" i="1"/>
  <c r="AJ841" i="1" a="1"/>
  <c r="AJ841" i="1" s="1"/>
  <c r="AN841" i="1" s="1"/>
  <c r="AI841" i="1" a="1"/>
  <c r="AI841" i="1" s="1"/>
  <c r="AM841" i="1" s="1"/>
  <c r="AH841" i="1"/>
  <c r="AA841" i="1"/>
  <c r="Y841" i="1"/>
  <c r="Z841" i="1" s="1"/>
  <c r="G841" i="1"/>
  <c r="D841" i="1"/>
  <c r="C841" i="1"/>
  <c r="AL840" i="1"/>
  <c r="AK840" i="1"/>
  <c r="AJ840" i="1" a="1"/>
  <c r="AJ840" i="1" s="1"/>
  <c r="AN840" i="1" s="1"/>
  <c r="AI840" i="1" a="1"/>
  <c r="AI840" i="1" s="1"/>
  <c r="AM840" i="1" s="1"/>
  <c r="AH840" i="1"/>
  <c r="AA840" i="1"/>
  <c r="Y840" i="1"/>
  <c r="Z840" i="1" s="1"/>
  <c r="G840" i="1"/>
  <c r="D840" i="1"/>
  <c r="C840" i="1"/>
  <c r="AL839" i="1"/>
  <c r="AK839" i="1"/>
  <c r="AJ839" i="1" a="1"/>
  <c r="AJ839" i="1" s="1"/>
  <c r="AN839" i="1" s="1"/>
  <c r="AI839" i="1" a="1"/>
  <c r="AI839" i="1" s="1"/>
  <c r="AM839" i="1" s="1"/>
  <c r="AH839" i="1"/>
  <c r="AA839" i="1"/>
  <c r="Y839" i="1"/>
  <c r="Z839" i="1" s="1"/>
  <c r="G839" i="1"/>
  <c r="D839" i="1"/>
  <c r="C839" i="1"/>
  <c r="AL838" i="1"/>
  <c r="AK838" i="1"/>
  <c r="AJ838" i="1" a="1"/>
  <c r="AJ838" i="1" s="1"/>
  <c r="AN838" i="1" s="1"/>
  <c r="AI838" i="1" a="1"/>
  <c r="AI838" i="1" s="1"/>
  <c r="AM838" i="1" s="1"/>
  <c r="AH838" i="1"/>
  <c r="AA838" i="1"/>
  <c r="Y838" i="1"/>
  <c r="Z838" i="1" s="1"/>
  <c r="G838" i="1"/>
  <c r="D838" i="1"/>
  <c r="C838" i="1"/>
  <c r="AL837" i="1"/>
  <c r="AK837" i="1"/>
  <c r="AJ837" i="1" a="1"/>
  <c r="AJ837" i="1" s="1"/>
  <c r="AN837" i="1" s="1"/>
  <c r="AI837" i="1" a="1"/>
  <c r="AI837" i="1" s="1"/>
  <c r="AM837" i="1" s="1"/>
  <c r="AH837" i="1"/>
  <c r="AA837" i="1"/>
  <c r="Y837" i="1"/>
  <c r="Z837" i="1" s="1"/>
  <c r="G837" i="1"/>
  <c r="D837" i="1"/>
  <c r="C837" i="1"/>
  <c r="AL836" i="1"/>
  <c r="AK836" i="1"/>
  <c r="AJ836" i="1" a="1"/>
  <c r="AJ836" i="1" s="1"/>
  <c r="AN836" i="1" s="1"/>
  <c r="AI836" i="1" a="1"/>
  <c r="AI836" i="1" s="1"/>
  <c r="AM836" i="1" s="1"/>
  <c r="AH836" i="1"/>
  <c r="AA836" i="1"/>
  <c r="Y836" i="1"/>
  <c r="Z836" i="1" s="1"/>
  <c r="G836" i="1"/>
  <c r="D836" i="1"/>
  <c r="C836" i="1"/>
  <c r="AL835" i="1"/>
  <c r="AK835" i="1"/>
  <c r="AJ835" i="1" a="1"/>
  <c r="AJ835" i="1" s="1"/>
  <c r="AN835" i="1" s="1"/>
  <c r="AI835" i="1" a="1"/>
  <c r="AI835" i="1" s="1"/>
  <c r="AM835" i="1" s="1"/>
  <c r="AH835" i="1"/>
  <c r="AA835" i="1"/>
  <c r="Y835" i="1"/>
  <c r="Z835" i="1" s="1"/>
  <c r="G835" i="1"/>
  <c r="D835" i="1"/>
  <c r="C835" i="1"/>
  <c r="AL834" i="1"/>
  <c r="AK834" i="1"/>
  <c r="AJ834" i="1" a="1"/>
  <c r="AJ834" i="1" s="1"/>
  <c r="AN834" i="1" s="1"/>
  <c r="AI834" i="1" a="1"/>
  <c r="AI834" i="1" s="1"/>
  <c r="AM834" i="1" s="1"/>
  <c r="AH834" i="1"/>
  <c r="AA834" i="1"/>
  <c r="Y834" i="1"/>
  <c r="Z834" i="1" s="1"/>
  <c r="G834" i="1"/>
  <c r="D834" i="1"/>
  <c r="C834" i="1"/>
  <c r="AL833" i="1"/>
  <c r="AK833" i="1"/>
  <c r="AJ833" i="1" a="1"/>
  <c r="AJ833" i="1" s="1"/>
  <c r="AN833" i="1" s="1"/>
  <c r="AI833" i="1" a="1"/>
  <c r="AI833" i="1" s="1"/>
  <c r="AM833" i="1" s="1"/>
  <c r="AH833" i="1"/>
  <c r="AA833" i="1"/>
  <c r="Y833" i="1"/>
  <c r="Z833" i="1" s="1"/>
  <c r="G833" i="1"/>
  <c r="D833" i="1"/>
  <c r="C833" i="1"/>
  <c r="AL832" i="1"/>
  <c r="AK832" i="1"/>
  <c r="AJ832" i="1" a="1"/>
  <c r="AJ832" i="1" s="1"/>
  <c r="AN832" i="1" s="1"/>
  <c r="AI832" i="1" a="1"/>
  <c r="AI832" i="1" s="1"/>
  <c r="AM832" i="1" s="1"/>
  <c r="AH832" i="1"/>
  <c r="AA832" i="1"/>
  <c r="Y832" i="1"/>
  <c r="Z832" i="1" s="1"/>
  <c r="G832" i="1"/>
  <c r="D832" i="1"/>
  <c r="C832" i="1"/>
  <c r="AL831" i="1"/>
  <c r="AK831" i="1"/>
  <c r="AJ831" i="1" a="1"/>
  <c r="AJ831" i="1" s="1"/>
  <c r="AN831" i="1" s="1"/>
  <c r="AI831" i="1" a="1"/>
  <c r="AI831" i="1" s="1"/>
  <c r="AM831" i="1" s="1"/>
  <c r="AH831" i="1"/>
  <c r="AA831" i="1"/>
  <c r="Y831" i="1"/>
  <c r="Z831" i="1" s="1"/>
  <c r="G831" i="1"/>
  <c r="D831" i="1"/>
  <c r="C831" i="1"/>
  <c r="AL830" i="1"/>
  <c r="AK830" i="1"/>
  <c r="AJ830" i="1" a="1"/>
  <c r="AJ830" i="1" s="1"/>
  <c r="AN830" i="1" s="1"/>
  <c r="AI830" i="1" a="1"/>
  <c r="AI830" i="1" s="1"/>
  <c r="AM830" i="1" s="1"/>
  <c r="AH830" i="1"/>
  <c r="AA830" i="1"/>
  <c r="Y830" i="1"/>
  <c r="Z830" i="1" s="1"/>
  <c r="G830" i="1"/>
  <c r="D830" i="1"/>
  <c r="C830" i="1"/>
  <c r="AL829" i="1"/>
  <c r="AK829" i="1"/>
  <c r="AJ829" i="1" a="1"/>
  <c r="AJ829" i="1" s="1"/>
  <c r="AN829" i="1" s="1"/>
  <c r="AI829" i="1" a="1"/>
  <c r="AI829" i="1" s="1"/>
  <c r="AM829" i="1" s="1"/>
  <c r="AH829" i="1"/>
  <c r="AA829" i="1"/>
  <c r="Y829" i="1"/>
  <c r="Z829" i="1" s="1"/>
  <c r="G829" i="1"/>
  <c r="D829" i="1"/>
  <c r="C829" i="1"/>
  <c r="AL828" i="1"/>
  <c r="AK828" i="1"/>
  <c r="AJ828" i="1" a="1"/>
  <c r="AJ828" i="1" s="1"/>
  <c r="AN828" i="1" s="1"/>
  <c r="AI828" i="1" a="1"/>
  <c r="AI828" i="1" s="1"/>
  <c r="AM828" i="1" s="1"/>
  <c r="AH828" i="1"/>
  <c r="AA828" i="1"/>
  <c r="Y828" i="1"/>
  <c r="Z828" i="1" s="1"/>
  <c r="G828" i="1"/>
  <c r="D828" i="1"/>
  <c r="C828" i="1"/>
  <c r="AL827" i="1"/>
  <c r="AK827" i="1"/>
  <c r="AJ827" i="1" a="1"/>
  <c r="AJ827" i="1" s="1"/>
  <c r="AN827" i="1" s="1"/>
  <c r="AI827" i="1" a="1"/>
  <c r="AI827" i="1" s="1"/>
  <c r="AM827" i="1" s="1"/>
  <c r="AH827" i="1"/>
  <c r="AA827" i="1"/>
  <c r="Y827" i="1"/>
  <c r="Z827" i="1" s="1"/>
  <c r="G827" i="1"/>
  <c r="D827" i="1"/>
  <c r="C827" i="1"/>
  <c r="AL826" i="1"/>
  <c r="AK826" i="1"/>
  <c r="AJ826" i="1" a="1"/>
  <c r="AJ826" i="1" s="1"/>
  <c r="AN826" i="1" s="1"/>
  <c r="AI826" i="1" a="1"/>
  <c r="AI826" i="1" s="1"/>
  <c r="AM826" i="1" s="1"/>
  <c r="AH826" i="1"/>
  <c r="AA826" i="1"/>
  <c r="Y826" i="1"/>
  <c r="Z826" i="1" s="1"/>
  <c r="G826" i="1"/>
  <c r="D826" i="1"/>
  <c r="C826" i="1"/>
  <c r="AL825" i="1"/>
  <c r="AK825" i="1"/>
  <c r="AJ825" i="1" a="1"/>
  <c r="AJ825" i="1" s="1"/>
  <c r="AN825" i="1" s="1"/>
  <c r="AI825" i="1" a="1"/>
  <c r="AI825" i="1" s="1"/>
  <c r="AM825" i="1" s="1"/>
  <c r="AH825" i="1"/>
  <c r="AA825" i="1"/>
  <c r="Y825" i="1"/>
  <c r="Z825" i="1" s="1"/>
  <c r="G825" i="1"/>
  <c r="D825" i="1"/>
  <c r="C825" i="1"/>
  <c r="AL824" i="1"/>
  <c r="AK824" i="1"/>
  <c r="AJ824" i="1" a="1"/>
  <c r="AJ824" i="1" s="1"/>
  <c r="AN824" i="1" s="1"/>
  <c r="AI824" i="1" a="1"/>
  <c r="AI824" i="1" s="1"/>
  <c r="AM824" i="1" s="1"/>
  <c r="AH824" i="1"/>
  <c r="AA824" i="1"/>
  <c r="Y824" i="1"/>
  <c r="Z824" i="1" s="1"/>
  <c r="G824" i="1"/>
  <c r="D824" i="1"/>
  <c r="C824" i="1"/>
  <c r="AL823" i="1"/>
  <c r="AK823" i="1"/>
  <c r="AJ823" i="1" a="1"/>
  <c r="AJ823" i="1" s="1"/>
  <c r="AN823" i="1" s="1"/>
  <c r="AI823" i="1" a="1"/>
  <c r="AI823" i="1" s="1"/>
  <c r="AM823" i="1" s="1"/>
  <c r="AH823" i="1"/>
  <c r="AA823" i="1"/>
  <c r="Y823" i="1"/>
  <c r="Z823" i="1" s="1"/>
  <c r="G823" i="1"/>
  <c r="D823" i="1"/>
  <c r="C823" i="1"/>
  <c r="AL822" i="1"/>
  <c r="AK822" i="1"/>
  <c r="AJ822" i="1" a="1"/>
  <c r="AJ822" i="1" s="1"/>
  <c r="AN822" i="1" s="1"/>
  <c r="AI822" i="1" a="1"/>
  <c r="AI822" i="1" s="1"/>
  <c r="AM822" i="1" s="1"/>
  <c r="AH822" i="1"/>
  <c r="AA822" i="1"/>
  <c r="Y822" i="1"/>
  <c r="Z822" i="1" s="1"/>
  <c r="G822" i="1"/>
  <c r="D822" i="1"/>
  <c r="C822" i="1"/>
  <c r="AL821" i="1"/>
  <c r="AK821" i="1"/>
  <c r="AJ821" i="1" a="1"/>
  <c r="AJ821" i="1" s="1"/>
  <c r="AN821" i="1" s="1"/>
  <c r="AI821" i="1" a="1"/>
  <c r="AI821" i="1" s="1"/>
  <c r="AM821" i="1" s="1"/>
  <c r="AH821" i="1"/>
  <c r="AA821" i="1"/>
  <c r="Y821" i="1"/>
  <c r="Z821" i="1" s="1"/>
  <c r="G821" i="1"/>
  <c r="D821" i="1"/>
  <c r="C821" i="1"/>
  <c r="AL820" i="1"/>
  <c r="AK820" i="1"/>
  <c r="AJ820" i="1" a="1"/>
  <c r="AJ820" i="1" s="1"/>
  <c r="AN820" i="1" s="1"/>
  <c r="AI820" i="1" a="1"/>
  <c r="AI820" i="1" s="1"/>
  <c r="AM820" i="1" s="1"/>
  <c r="AH820" i="1"/>
  <c r="AA820" i="1"/>
  <c r="Y820" i="1"/>
  <c r="Z820" i="1" s="1"/>
  <c r="G820" i="1"/>
  <c r="D820" i="1"/>
  <c r="C820" i="1"/>
  <c r="AL819" i="1"/>
  <c r="AK819" i="1"/>
  <c r="AJ819" i="1" a="1"/>
  <c r="AJ819" i="1" s="1"/>
  <c r="AN819" i="1" s="1"/>
  <c r="AI819" i="1" a="1"/>
  <c r="AI819" i="1" s="1"/>
  <c r="AM819" i="1" s="1"/>
  <c r="AH819" i="1"/>
  <c r="AA819" i="1"/>
  <c r="Y819" i="1"/>
  <c r="Z819" i="1" s="1"/>
  <c r="G819" i="1"/>
  <c r="D819" i="1"/>
  <c r="C819" i="1"/>
  <c r="AL818" i="1"/>
  <c r="AK818" i="1"/>
  <c r="AJ818" i="1" a="1"/>
  <c r="AJ818" i="1" s="1"/>
  <c r="AN818" i="1" s="1"/>
  <c r="AI818" i="1" a="1"/>
  <c r="AI818" i="1" s="1"/>
  <c r="AM818" i="1" s="1"/>
  <c r="AH818" i="1"/>
  <c r="AA818" i="1"/>
  <c r="Y818" i="1"/>
  <c r="Z818" i="1" s="1"/>
  <c r="G818" i="1"/>
  <c r="D818" i="1"/>
  <c r="C818" i="1"/>
  <c r="AL817" i="1"/>
  <c r="AK817" i="1"/>
  <c r="AJ817" i="1" a="1"/>
  <c r="AJ817" i="1" s="1"/>
  <c r="AN817" i="1" s="1"/>
  <c r="AI817" i="1" a="1"/>
  <c r="AI817" i="1" s="1"/>
  <c r="AM817" i="1" s="1"/>
  <c r="AH817" i="1"/>
  <c r="AA817" i="1"/>
  <c r="Y817" i="1"/>
  <c r="Z817" i="1" s="1"/>
  <c r="G817" i="1"/>
  <c r="D817" i="1"/>
  <c r="C817" i="1"/>
  <c r="AL816" i="1"/>
  <c r="AK816" i="1"/>
  <c r="AJ816" i="1" a="1"/>
  <c r="AJ816" i="1" s="1"/>
  <c r="AN816" i="1" s="1"/>
  <c r="AI816" i="1" a="1"/>
  <c r="AI816" i="1" s="1"/>
  <c r="AM816" i="1" s="1"/>
  <c r="AH816" i="1"/>
  <c r="AA816" i="1"/>
  <c r="Y816" i="1"/>
  <c r="Z816" i="1" s="1"/>
  <c r="G816" i="1"/>
  <c r="D816" i="1"/>
  <c r="C816" i="1"/>
  <c r="AL815" i="1"/>
  <c r="AK815" i="1"/>
  <c r="AJ815" i="1" a="1"/>
  <c r="AJ815" i="1" s="1"/>
  <c r="AN815" i="1" s="1"/>
  <c r="AI815" i="1" a="1"/>
  <c r="AI815" i="1" s="1"/>
  <c r="AM815" i="1" s="1"/>
  <c r="AH815" i="1"/>
  <c r="AA815" i="1"/>
  <c r="Y815" i="1"/>
  <c r="Z815" i="1" s="1"/>
  <c r="G815" i="1"/>
  <c r="D815" i="1"/>
  <c r="C815" i="1"/>
  <c r="AL814" i="1"/>
  <c r="AK814" i="1"/>
  <c r="AJ814" i="1" a="1"/>
  <c r="AJ814" i="1" s="1"/>
  <c r="AN814" i="1" s="1"/>
  <c r="AI814" i="1" a="1"/>
  <c r="AI814" i="1" s="1"/>
  <c r="AM814" i="1" s="1"/>
  <c r="AH814" i="1"/>
  <c r="AA814" i="1"/>
  <c r="Y814" i="1"/>
  <c r="Z814" i="1" s="1"/>
  <c r="G814" i="1"/>
  <c r="D814" i="1"/>
  <c r="C814" i="1"/>
  <c r="AL813" i="1"/>
  <c r="AK813" i="1"/>
  <c r="AJ813" i="1" a="1"/>
  <c r="AJ813" i="1" s="1"/>
  <c r="AN813" i="1" s="1"/>
  <c r="AI813" i="1" a="1"/>
  <c r="AI813" i="1" s="1"/>
  <c r="AM813" i="1" s="1"/>
  <c r="AH813" i="1"/>
  <c r="AA813" i="1"/>
  <c r="Y813" i="1"/>
  <c r="Z813" i="1" s="1"/>
  <c r="G813" i="1"/>
  <c r="D813" i="1"/>
  <c r="C813" i="1"/>
  <c r="AL812" i="1"/>
  <c r="AK812" i="1"/>
  <c r="AJ812" i="1" a="1"/>
  <c r="AJ812" i="1" s="1"/>
  <c r="AN812" i="1" s="1"/>
  <c r="AI812" i="1" a="1"/>
  <c r="AI812" i="1" s="1"/>
  <c r="AM812" i="1" s="1"/>
  <c r="AH812" i="1"/>
  <c r="AA812" i="1"/>
  <c r="Y812" i="1"/>
  <c r="Z812" i="1" s="1"/>
  <c r="G812" i="1"/>
  <c r="D812" i="1"/>
  <c r="C812" i="1"/>
  <c r="AL811" i="1"/>
  <c r="AK811" i="1"/>
  <c r="AJ811" i="1" a="1"/>
  <c r="AJ811" i="1" s="1"/>
  <c r="AN811" i="1" s="1"/>
  <c r="AI811" i="1" a="1"/>
  <c r="AI811" i="1" s="1"/>
  <c r="AM811" i="1" s="1"/>
  <c r="AH811" i="1"/>
  <c r="AA811" i="1"/>
  <c r="Y811" i="1"/>
  <c r="Z811" i="1" s="1"/>
  <c r="G811" i="1"/>
  <c r="D811" i="1"/>
  <c r="C811" i="1"/>
  <c r="AL810" i="1"/>
  <c r="AK810" i="1"/>
  <c r="AJ810" i="1" a="1"/>
  <c r="AJ810" i="1" s="1"/>
  <c r="AN810" i="1" s="1"/>
  <c r="AI810" i="1" a="1"/>
  <c r="AI810" i="1" s="1"/>
  <c r="AM810" i="1" s="1"/>
  <c r="AH810" i="1"/>
  <c r="AA810" i="1"/>
  <c r="Y810" i="1"/>
  <c r="Z810" i="1" s="1"/>
  <c r="G810" i="1"/>
  <c r="D810" i="1"/>
  <c r="C810" i="1"/>
  <c r="AL809" i="1"/>
  <c r="AK809" i="1"/>
  <c r="AJ809" i="1" a="1"/>
  <c r="AJ809" i="1" s="1"/>
  <c r="AN809" i="1" s="1"/>
  <c r="AI809" i="1" a="1"/>
  <c r="AI809" i="1" s="1"/>
  <c r="AM809" i="1" s="1"/>
  <c r="AH809" i="1"/>
  <c r="AA809" i="1"/>
  <c r="Y809" i="1"/>
  <c r="Z809" i="1" s="1"/>
  <c r="G809" i="1"/>
  <c r="D809" i="1"/>
  <c r="C809" i="1"/>
  <c r="AL808" i="1"/>
  <c r="AK808" i="1"/>
  <c r="AJ808" i="1" a="1"/>
  <c r="AJ808" i="1" s="1"/>
  <c r="AN808" i="1" s="1"/>
  <c r="AI808" i="1" a="1"/>
  <c r="AI808" i="1" s="1"/>
  <c r="AM808" i="1" s="1"/>
  <c r="AH808" i="1"/>
  <c r="AA808" i="1"/>
  <c r="Y808" i="1"/>
  <c r="Z808" i="1" s="1"/>
  <c r="G808" i="1"/>
  <c r="D808" i="1"/>
  <c r="C808" i="1"/>
  <c r="AL807" i="1"/>
  <c r="AK807" i="1"/>
  <c r="AJ807" i="1" a="1"/>
  <c r="AJ807" i="1" s="1"/>
  <c r="AN807" i="1" s="1"/>
  <c r="AI807" i="1" a="1"/>
  <c r="AI807" i="1" s="1"/>
  <c r="AM807" i="1" s="1"/>
  <c r="AH807" i="1"/>
  <c r="AA807" i="1"/>
  <c r="Y807" i="1"/>
  <c r="Z807" i="1" s="1"/>
  <c r="G807" i="1"/>
  <c r="D807" i="1"/>
  <c r="C807" i="1"/>
  <c r="AL806" i="1"/>
  <c r="AK806" i="1"/>
  <c r="AJ806" i="1" a="1"/>
  <c r="AJ806" i="1" s="1"/>
  <c r="AN806" i="1" s="1"/>
  <c r="AI806" i="1" a="1"/>
  <c r="AI806" i="1" s="1"/>
  <c r="AM806" i="1" s="1"/>
  <c r="AH806" i="1"/>
  <c r="AA806" i="1"/>
  <c r="Y806" i="1"/>
  <c r="Z806" i="1" s="1"/>
  <c r="G806" i="1"/>
  <c r="D806" i="1"/>
  <c r="C806" i="1"/>
  <c r="AL805" i="1"/>
  <c r="AK805" i="1"/>
  <c r="AJ805" i="1" a="1"/>
  <c r="AJ805" i="1" s="1"/>
  <c r="AN805" i="1" s="1"/>
  <c r="AI805" i="1" a="1"/>
  <c r="AI805" i="1" s="1"/>
  <c r="AM805" i="1" s="1"/>
  <c r="AH805" i="1"/>
  <c r="AA805" i="1"/>
  <c r="Y805" i="1"/>
  <c r="Z805" i="1" s="1"/>
  <c r="G805" i="1"/>
  <c r="D805" i="1"/>
  <c r="C805" i="1"/>
  <c r="AL804" i="1"/>
  <c r="AK804" i="1"/>
  <c r="AJ804" i="1" a="1"/>
  <c r="AJ804" i="1" s="1"/>
  <c r="AN804" i="1" s="1"/>
  <c r="AI804" i="1" a="1"/>
  <c r="AI804" i="1" s="1"/>
  <c r="AM804" i="1" s="1"/>
  <c r="AH804" i="1"/>
  <c r="AA804" i="1"/>
  <c r="Y804" i="1"/>
  <c r="Z804" i="1" s="1"/>
  <c r="G804" i="1"/>
  <c r="D804" i="1"/>
  <c r="C804" i="1"/>
  <c r="AL803" i="1"/>
  <c r="AK803" i="1"/>
  <c r="AJ803" i="1" a="1"/>
  <c r="AJ803" i="1" s="1"/>
  <c r="AN803" i="1" s="1"/>
  <c r="AI803" i="1" a="1"/>
  <c r="AI803" i="1" s="1"/>
  <c r="AM803" i="1" s="1"/>
  <c r="AH803" i="1"/>
  <c r="AA803" i="1"/>
  <c r="Y803" i="1"/>
  <c r="Z803" i="1" s="1"/>
  <c r="G803" i="1"/>
  <c r="D803" i="1"/>
  <c r="C803" i="1"/>
  <c r="AL802" i="1"/>
  <c r="AK802" i="1"/>
  <c r="AJ802" i="1" a="1"/>
  <c r="AJ802" i="1" s="1"/>
  <c r="AN802" i="1" s="1"/>
  <c r="AI802" i="1" a="1"/>
  <c r="AI802" i="1" s="1"/>
  <c r="AM802" i="1" s="1"/>
  <c r="AH802" i="1"/>
  <c r="AA802" i="1"/>
  <c r="Y802" i="1"/>
  <c r="Z802" i="1" s="1"/>
  <c r="G802" i="1"/>
  <c r="D802" i="1"/>
  <c r="C802" i="1"/>
  <c r="AL801" i="1"/>
  <c r="AK801" i="1"/>
  <c r="AJ801" i="1" a="1"/>
  <c r="AJ801" i="1" s="1"/>
  <c r="AN801" i="1" s="1"/>
  <c r="AI801" i="1" a="1"/>
  <c r="AI801" i="1" s="1"/>
  <c r="AM801" i="1" s="1"/>
  <c r="AH801" i="1"/>
  <c r="AA801" i="1"/>
  <c r="Y801" i="1"/>
  <c r="Z801" i="1" s="1"/>
  <c r="G801" i="1"/>
  <c r="D801" i="1"/>
  <c r="C801" i="1"/>
  <c r="AL800" i="1"/>
  <c r="AK800" i="1"/>
  <c r="AJ800" i="1" a="1"/>
  <c r="AJ800" i="1" s="1"/>
  <c r="AN800" i="1" s="1"/>
  <c r="AI800" i="1" a="1"/>
  <c r="AI800" i="1" s="1"/>
  <c r="AM800" i="1" s="1"/>
  <c r="AH800" i="1"/>
  <c r="AA800" i="1"/>
  <c r="Y800" i="1"/>
  <c r="Z800" i="1" s="1"/>
  <c r="G800" i="1"/>
  <c r="D800" i="1"/>
  <c r="C800" i="1"/>
  <c r="AL799" i="1"/>
  <c r="AK799" i="1"/>
  <c r="AJ799" i="1" a="1"/>
  <c r="AJ799" i="1" s="1"/>
  <c r="AN799" i="1" s="1"/>
  <c r="AI799" i="1" a="1"/>
  <c r="AI799" i="1" s="1"/>
  <c r="AM799" i="1" s="1"/>
  <c r="AH799" i="1"/>
  <c r="AA799" i="1"/>
  <c r="Y799" i="1"/>
  <c r="Z799" i="1" s="1"/>
  <c r="G799" i="1"/>
  <c r="D799" i="1"/>
  <c r="C799" i="1"/>
  <c r="AL798" i="1"/>
  <c r="AK798" i="1"/>
  <c r="AJ798" i="1" a="1"/>
  <c r="AJ798" i="1" s="1"/>
  <c r="AN798" i="1" s="1"/>
  <c r="AI798" i="1" a="1"/>
  <c r="AI798" i="1" s="1"/>
  <c r="AM798" i="1" s="1"/>
  <c r="AH798" i="1"/>
  <c r="AA798" i="1"/>
  <c r="Y798" i="1"/>
  <c r="Z798" i="1" s="1"/>
  <c r="G798" i="1"/>
  <c r="D798" i="1"/>
  <c r="C798" i="1"/>
  <c r="AL797" i="1"/>
  <c r="AK797" i="1"/>
  <c r="AJ797" i="1" a="1"/>
  <c r="AJ797" i="1" s="1"/>
  <c r="AN797" i="1" s="1"/>
  <c r="AI797" i="1" a="1"/>
  <c r="AI797" i="1" s="1"/>
  <c r="AM797" i="1" s="1"/>
  <c r="AH797" i="1"/>
  <c r="AA797" i="1"/>
  <c r="Y797" i="1"/>
  <c r="Z797" i="1" s="1"/>
  <c r="G797" i="1"/>
  <c r="D797" i="1"/>
  <c r="C797" i="1"/>
  <c r="AL796" i="1"/>
  <c r="AK796" i="1"/>
  <c r="AJ796" i="1" a="1"/>
  <c r="AJ796" i="1" s="1"/>
  <c r="AN796" i="1" s="1"/>
  <c r="AI796" i="1" a="1"/>
  <c r="AI796" i="1" s="1"/>
  <c r="AM796" i="1" s="1"/>
  <c r="AH796" i="1"/>
  <c r="AA796" i="1"/>
  <c r="Y796" i="1"/>
  <c r="Z796" i="1" s="1"/>
  <c r="G796" i="1"/>
  <c r="D796" i="1"/>
  <c r="C796" i="1"/>
  <c r="AL795" i="1"/>
  <c r="AK795" i="1"/>
  <c r="AJ795" i="1" a="1"/>
  <c r="AJ795" i="1" s="1"/>
  <c r="AN795" i="1" s="1"/>
  <c r="AI795" i="1" a="1"/>
  <c r="AI795" i="1" s="1"/>
  <c r="AM795" i="1" s="1"/>
  <c r="AH795" i="1"/>
  <c r="AA795" i="1"/>
  <c r="Y795" i="1"/>
  <c r="Z795" i="1" s="1"/>
  <c r="G795" i="1"/>
  <c r="D795" i="1"/>
  <c r="C795" i="1"/>
  <c r="AL794" i="1"/>
  <c r="AK794" i="1"/>
  <c r="AJ794" i="1" a="1"/>
  <c r="AJ794" i="1" s="1"/>
  <c r="AN794" i="1" s="1"/>
  <c r="AI794" i="1" a="1"/>
  <c r="AI794" i="1" s="1"/>
  <c r="AM794" i="1" s="1"/>
  <c r="AH794" i="1"/>
  <c r="AA794" i="1"/>
  <c r="Y794" i="1"/>
  <c r="Z794" i="1" s="1"/>
  <c r="G794" i="1"/>
  <c r="D794" i="1"/>
  <c r="C794" i="1"/>
  <c r="AL793" i="1"/>
  <c r="AK793" i="1"/>
  <c r="AJ793" i="1" a="1"/>
  <c r="AJ793" i="1" s="1"/>
  <c r="AN793" i="1" s="1"/>
  <c r="AI793" i="1" a="1"/>
  <c r="AI793" i="1" s="1"/>
  <c r="AM793" i="1" s="1"/>
  <c r="AH793" i="1"/>
  <c r="AA793" i="1"/>
  <c r="Y793" i="1"/>
  <c r="Z793" i="1" s="1"/>
  <c r="G793" i="1"/>
  <c r="D793" i="1"/>
  <c r="C793" i="1"/>
  <c r="AL792" i="1"/>
  <c r="AK792" i="1"/>
  <c r="AJ792" i="1" a="1"/>
  <c r="AJ792" i="1" s="1"/>
  <c r="AN792" i="1" s="1"/>
  <c r="AI792" i="1" a="1"/>
  <c r="AI792" i="1" s="1"/>
  <c r="AM792" i="1" s="1"/>
  <c r="AH792" i="1"/>
  <c r="AA792" i="1"/>
  <c r="Y792" i="1"/>
  <c r="Z792" i="1" s="1"/>
  <c r="G792" i="1"/>
  <c r="D792" i="1"/>
  <c r="C792" i="1"/>
  <c r="AL791" i="1"/>
  <c r="AK791" i="1"/>
  <c r="AJ791" i="1" a="1"/>
  <c r="AJ791" i="1" s="1"/>
  <c r="AN791" i="1" s="1"/>
  <c r="AI791" i="1" a="1"/>
  <c r="AI791" i="1" s="1"/>
  <c r="AM791" i="1" s="1"/>
  <c r="AH791" i="1"/>
  <c r="AA791" i="1"/>
  <c r="Y791" i="1"/>
  <c r="Z791" i="1" s="1"/>
  <c r="G791" i="1"/>
  <c r="D791" i="1"/>
  <c r="C791" i="1"/>
  <c r="AL790" i="1"/>
  <c r="AK790" i="1"/>
  <c r="AJ790" i="1" a="1"/>
  <c r="AJ790" i="1" s="1"/>
  <c r="AN790" i="1" s="1"/>
  <c r="AI790" i="1" a="1"/>
  <c r="AI790" i="1" s="1"/>
  <c r="AM790" i="1" s="1"/>
  <c r="AH790" i="1"/>
  <c r="AA790" i="1"/>
  <c r="Y790" i="1"/>
  <c r="Z790" i="1" s="1"/>
  <c r="G790" i="1"/>
  <c r="D790" i="1"/>
  <c r="C790" i="1"/>
  <c r="AL789" i="1"/>
  <c r="AK789" i="1"/>
  <c r="AJ789" i="1" a="1"/>
  <c r="AJ789" i="1" s="1"/>
  <c r="AN789" i="1" s="1"/>
  <c r="AI789" i="1" a="1"/>
  <c r="AI789" i="1" s="1"/>
  <c r="AM789" i="1" s="1"/>
  <c r="AH789" i="1"/>
  <c r="AA789" i="1"/>
  <c r="Y789" i="1"/>
  <c r="Z789" i="1" s="1"/>
  <c r="G789" i="1"/>
  <c r="D789" i="1"/>
  <c r="C789" i="1"/>
  <c r="AL788" i="1"/>
  <c r="AK788" i="1"/>
  <c r="AJ788" i="1" a="1"/>
  <c r="AJ788" i="1" s="1"/>
  <c r="AN788" i="1" s="1"/>
  <c r="AI788" i="1" a="1"/>
  <c r="AI788" i="1" s="1"/>
  <c r="AM788" i="1" s="1"/>
  <c r="AH788" i="1"/>
  <c r="AA788" i="1"/>
  <c r="Y788" i="1"/>
  <c r="Z788" i="1" s="1"/>
  <c r="G788" i="1"/>
  <c r="D788" i="1"/>
  <c r="C788" i="1"/>
  <c r="AL787" i="1"/>
  <c r="AK787" i="1"/>
  <c r="AJ787" i="1" a="1"/>
  <c r="AJ787" i="1" s="1"/>
  <c r="AN787" i="1" s="1"/>
  <c r="AI787" i="1" a="1"/>
  <c r="AI787" i="1" s="1"/>
  <c r="AM787" i="1" s="1"/>
  <c r="AH787" i="1"/>
  <c r="AA787" i="1"/>
  <c r="Y787" i="1"/>
  <c r="Z787" i="1" s="1"/>
  <c r="G787" i="1"/>
  <c r="D787" i="1"/>
  <c r="C787" i="1"/>
  <c r="AL786" i="1"/>
  <c r="AK786" i="1"/>
  <c r="AJ786" i="1" a="1"/>
  <c r="AJ786" i="1" s="1"/>
  <c r="AN786" i="1" s="1"/>
  <c r="AI786" i="1" a="1"/>
  <c r="AI786" i="1" s="1"/>
  <c r="AM786" i="1" s="1"/>
  <c r="AH786" i="1"/>
  <c r="AA786" i="1"/>
  <c r="Y786" i="1"/>
  <c r="Z786" i="1" s="1"/>
  <c r="G786" i="1"/>
  <c r="D786" i="1"/>
  <c r="C786" i="1"/>
  <c r="AL785" i="1"/>
  <c r="AK785" i="1"/>
  <c r="AJ785" i="1" a="1"/>
  <c r="AJ785" i="1" s="1"/>
  <c r="AN785" i="1" s="1"/>
  <c r="AI785" i="1" a="1"/>
  <c r="AI785" i="1" s="1"/>
  <c r="AM785" i="1" s="1"/>
  <c r="AH785" i="1"/>
  <c r="AA785" i="1"/>
  <c r="Y785" i="1"/>
  <c r="Z785" i="1" s="1"/>
  <c r="G785" i="1"/>
  <c r="D785" i="1"/>
  <c r="C785" i="1"/>
  <c r="AL784" i="1"/>
  <c r="AK784" i="1"/>
  <c r="AJ784" i="1" a="1"/>
  <c r="AJ784" i="1" s="1"/>
  <c r="AN784" i="1" s="1"/>
  <c r="AI784" i="1" a="1"/>
  <c r="AI784" i="1" s="1"/>
  <c r="AM784" i="1" s="1"/>
  <c r="AH784" i="1"/>
  <c r="AA784" i="1"/>
  <c r="Y784" i="1"/>
  <c r="Z784" i="1" s="1"/>
  <c r="G784" i="1"/>
  <c r="D784" i="1"/>
  <c r="C784" i="1"/>
  <c r="AL783" i="1"/>
  <c r="AK783" i="1"/>
  <c r="AJ783" i="1" a="1"/>
  <c r="AJ783" i="1" s="1"/>
  <c r="AN783" i="1" s="1"/>
  <c r="AI783" i="1" a="1"/>
  <c r="AI783" i="1" s="1"/>
  <c r="AM783" i="1" s="1"/>
  <c r="AH783" i="1"/>
  <c r="AA783" i="1"/>
  <c r="Y783" i="1"/>
  <c r="Z783" i="1" s="1"/>
  <c r="G783" i="1"/>
  <c r="D783" i="1"/>
  <c r="C783" i="1"/>
  <c r="AL782" i="1"/>
  <c r="AK782" i="1"/>
  <c r="AJ782" i="1" a="1"/>
  <c r="AJ782" i="1" s="1"/>
  <c r="AN782" i="1" s="1"/>
  <c r="AI782" i="1" a="1"/>
  <c r="AI782" i="1" s="1"/>
  <c r="AM782" i="1" s="1"/>
  <c r="AH782" i="1"/>
  <c r="AA782" i="1"/>
  <c r="Y782" i="1"/>
  <c r="Z782" i="1" s="1"/>
  <c r="G782" i="1"/>
  <c r="D782" i="1"/>
  <c r="C782" i="1"/>
  <c r="AL781" i="1"/>
  <c r="AK781" i="1"/>
  <c r="AJ781" i="1" a="1"/>
  <c r="AJ781" i="1" s="1"/>
  <c r="AN781" i="1" s="1"/>
  <c r="AI781" i="1" a="1"/>
  <c r="AI781" i="1" s="1"/>
  <c r="AM781" i="1" s="1"/>
  <c r="AH781" i="1"/>
  <c r="AA781" i="1"/>
  <c r="Y781" i="1"/>
  <c r="Z781" i="1" s="1"/>
  <c r="G781" i="1"/>
  <c r="D781" i="1"/>
  <c r="C781" i="1"/>
  <c r="AL780" i="1"/>
  <c r="AK780" i="1"/>
  <c r="AJ780" i="1" a="1"/>
  <c r="AJ780" i="1" s="1"/>
  <c r="AN780" i="1" s="1"/>
  <c r="AI780" i="1" a="1"/>
  <c r="AI780" i="1" s="1"/>
  <c r="AM780" i="1" s="1"/>
  <c r="AH780" i="1"/>
  <c r="AA780" i="1"/>
  <c r="Y780" i="1"/>
  <c r="Z780" i="1" s="1"/>
  <c r="G780" i="1"/>
  <c r="D780" i="1"/>
  <c r="C780" i="1"/>
  <c r="AL779" i="1"/>
  <c r="AK779" i="1"/>
  <c r="AJ779" i="1" a="1"/>
  <c r="AJ779" i="1" s="1"/>
  <c r="AN779" i="1" s="1"/>
  <c r="AI779" i="1" a="1"/>
  <c r="AI779" i="1" s="1"/>
  <c r="AM779" i="1" s="1"/>
  <c r="AH779" i="1"/>
  <c r="AA779" i="1"/>
  <c r="Y779" i="1"/>
  <c r="Z779" i="1" s="1"/>
  <c r="G779" i="1"/>
  <c r="D779" i="1"/>
  <c r="C779" i="1"/>
  <c r="AL778" i="1"/>
  <c r="AK778" i="1"/>
  <c r="AJ778" i="1" a="1"/>
  <c r="AJ778" i="1" s="1"/>
  <c r="AN778" i="1" s="1"/>
  <c r="AI778" i="1" a="1"/>
  <c r="AI778" i="1" s="1"/>
  <c r="AM778" i="1" s="1"/>
  <c r="AH778" i="1"/>
  <c r="AA778" i="1"/>
  <c r="Y778" i="1"/>
  <c r="Z778" i="1" s="1"/>
  <c r="G778" i="1"/>
  <c r="D778" i="1"/>
  <c r="C778" i="1"/>
  <c r="AL777" i="1"/>
  <c r="AK777" i="1"/>
  <c r="AJ777" i="1" a="1"/>
  <c r="AJ777" i="1" s="1"/>
  <c r="AN777" i="1" s="1"/>
  <c r="AI777" i="1" a="1"/>
  <c r="AI777" i="1" s="1"/>
  <c r="AM777" i="1" s="1"/>
  <c r="AH777" i="1"/>
  <c r="AA777" i="1"/>
  <c r="Y777" i="1"/>
  <c r="Z777" i="1" s="1"/>
  <c r="G777" i="1"/>
  <c r="D777" i="1"/>
  <c r="C777" i="1"/>
  <c r="AL776" i="1"/>
  <c r="AK776" i="1"/>
  <c r="AJ776" i="1" a="1"/>
  <c r="AJ776" i="1" s="1"/>
  <c r="AN776" i="1" s="1"/>
  <c r="AI776" i="1" a="1"/>
  <c r="AI776" i="1" s="1"/>
  <c r="AM776" i="1" s="1"/>
  <c r="AH776" i="1"/>
  <c r="AA776" i="1"/>
  <c r="Y776" i="1"/>
  <c r="Z776" i="1" s="1"/>
  <c r="G776" i="1"/>
  <c r="D776" i="1"/>
  <c r="C776" i="1"/>
  <c r="AL775" i="1"/>
  <c r="AK775" i="1"/>
  <c r="AJ775" i="1" a="1"/>
  <c r="AJ775" i="1" s="1"/>
  <c r="AN775" i="1" s="1"/>
  <c r="AI775" i="1" a="1"/>
  <c r="AI775" i="1" s="1"/>
  <c r="AM775" i="1" s="1"/>
  <c r="AH775" i="1"/>
  <c r="AA775" i="1"/>
  <c r="Y775" i="1"/>
  <c r="Z775" i="1" s="1"/>
  <c r="G775" i="1"/>
  <c r="D775" i="1"/>
  <c r="C775" i="1"/>
  <c r="AL774" i="1"/>
  <c r="AK774" i="1"/>
  <c r="AJ774" i="1" a="1"/>
  <c r="AJ774" i="1" s="1"/>
  <c r="AN774" i="1" s="1"/>
  <c r="AI774" i="1" a="1"/>
  <c r="AI774" i="1" s="1"/>
  <c r="AM774" i="1" s="1"/>
  <c r="AH774" i="1"/>
  <c r="AA774" i="1"/>
  <c r="Y774" i="1"/>
  <c r="Z774" i="1" s="1"/>
  <c r="G774" i="1"/>
  <c r="D774" i="1"/>
  <c r="C774" i="1"/>
  <c r="AL773" i="1"/>
  <c r="AK773" i="1"/>
  <c r="AJ773" i="1" a="1"/>
  <c r="AJ773" i="1" s="1"/>
  <c r="AN773" i="1" s="1"/>
  <c r="AI773" i="1" a="1"/>
  <c r="AI773" i="1" s="1"/>
  <c r="AM773" i="1" s="1"/>
  <c r="AH773" i="1"/>
  <c r="AA773" i="1"/>
  <c r="Y773" i="1"/>
  <c r="Z773" i="1" s="1"/>
  <c r="G773" i="1"/>
  <c r="D773" i="1"/>
  <c r="C773" i="1"/>
  <c r="AL772" i="1"/>
  <c r="AK772" i="1"/>
  <c r="AJ772" i="1" a="1"/>
  <c r="AJ772" i="1" s="1"/>
  <c r="AN772" i="1" s="1"/>
  <c r="AI772" i="1" a="1"/>
  <c r="AI772" i="1" s="1"/>
  <c r="AM772" i="1" s="1"/>
  <c r="AH772" i="1"/>
  <c r="AA772" i="1"/>
  <c r="Y772" i="1"/>
  <c r="Z772" i="1" s="1"/>
  <c r="G772" i="1"/>
  <c r="D772" i="1"/>
  <c r="C772" i="1"/>
  <c r="AL771" i="1"/>
  <c r="AK771" i="1"/>
  <c r="AJ771" i="1" a="1"/>
  <c r="AJ771" i="1" s="1"/>
  <c r="AN771" i="1" s="1"/>
  <c r="AI771" i="1" a="1"/>
  <c r="AI771" i="1" s="1"/>
  <c r="AM771" i="1" s="1"/>
  <c r="AH771" i="1"/>
  <c r="AA771" i="1"/>
  <c r="Y771" i="1"/>
  <c r="Z771" i="1" s="1"/>
  <c r="G771" i="1"/>
  <c r="D771" i="1"/>
  <c r="C771" i="1"/>
  <c r="AL770" i="1"/>
  <c r="AK770" i="1"/>
  <c r="AJ770" i="1" a="1"/>
  <c r="AJ770" i="1" s="1"/>
  <c r="AN770" i="1" s="1"/>
  <c r="AI770" i="1" a="1"/>
  <c r="AI770" i="1" s="1"/>
  <c r="AM770" i="1" s="1"/>
  <c r="AH770" i="1"/>
  <c r="AA770" i="1"/>
  <c r="Y770" i="1"/>
  <c r="Z770" i="1" s="1"/>
  <c r="G770" i="1"/>
  <c r="D770" i="1"/>
  <c r="C770" i="1"/>
  <c r="AL769" i="1"/>
  <c r="AK769" i="1"/>
  <c r="AJ769" i="1" a="1"/>
  <c r="AJ769" i="1" s="1"/>
  <c r="AN769" i="1" s="1"/>
  <c r="AI769" i="1" a="1"/>
  <c r="AI769" i="1" s="1"/>
  <c r="AM769" i="1" s="1"/>
  <c r="AH769" i="1"/>
  <c r="AA769" i="1"/>
  <c r="Y769" i="1"/>
  <c r="Z769" i="1" s="1"/>
  <c r="G769" i="1"/>
  <c r="D769" i="1"/>
  <c r="C769" i="1"/>
  <c r="AL768" i="1"/>
  <c r="AK768" i="1"/>
  <c r="AJ768" i="1" a="1"/>
  <c r="AJ768" i="1" s="1"/>
  <c r="AN768" i="1" s="1"/>
  <c r="AI768" i="1" a="1"/>
  <c r="AI768" i="1" s="1"/>
  <c r="AM768" i="1" s="1"/>
  <c r="AH768" i="1"/>
  <c r="AA768" i="1"/>
  <c r="Y768" i="1"/>
  <c r="Z768" i="1" s="1"/>
  <c r="G768" i="1"/>
  <c r="D768" i="1"/>
  <c r="C768" i="1"/>
  <c r="AL767" i="1"/>
  <c r="AK767" i="1"/>
  <c r="AJ767" i="1" a="1"/>
  <c r="AJ767" i="1" s="1"/>
  <c r="AN767" i="1" s="1"/>
  <c r="AI767" i="1" a="1"/>
  <c r="AI767" i="1" s="1"/>
  <c r="AM767" i="1" s="1"/>
  <c r="AH767" i="1"/>
  <c r="AA767" i="1"/>
  <c r="Y767" i="1"/>
  <c r="Z767" i="1" s="1"/>
  <c r="G767" i="1"/>
  <c r="D767" i="1"/>
  <c r="C767" i="1"/>
  <c r="AL766" i="1"/>
  <c r="AK766" i="1"/>
  <c r="AJ766" i="1" a="1"/>
  <c r="AJ766" i="1" s="1"/>
  <c r="AN766" i="1" s="1"/>
  <c r="AI766" i="1" a="1"/>
  <c r="AI766" i="1" s="1"/>
  <c r="AM766" i="1" s="1"/>
  <c r="AH766" i="1"/>
  <c r="AA766" i="1"/>
  <c r="Y766" i="1"/>
  <c r="Z766" i="1" s="1"/>
  <c r="G766" i="1"/>
  <c r="D766" i="1"/>
  <c r="C766" i="1"/>
  <c r="AL765" i="1"/>
  <c r="AK765" i="1"/>
  <c r="AJ765" i="1" a="1"/>
  <c r="AJ765" i="1" s="1"/>
  <c r="AN765" i="1" s="1"/>
  <c r="AI765" i="1" a="1"/>
  <c r="AI765" i="1" s="1"/>
  <c r="AM765" i="1" s="1"/>
  <c r="AH765" i="1"/>
  <c r="AA765" i="1"/>
  <c r="Y765" i="1"/>
  <c r="Z765" i="1" s="1"/>
  <c r="G765" i="1"/>
  <c r="D765" i="1"/>
  <c r="C765" i="1"/>
  <c r="AL764" i="1"/>
  <c r="AK764" i="1"/>
  <c r="AJ764" i="1" a="1"/>
  <c r="AJ764" i="1" s="1"/>
  <c r="AN764" i="1" s="1"/>
  <c r="AI764" i="1" a="1"/>
  <c r="AI764" i="1" s="1"/>
  <c r="AM764" i="1" s="1"/>
  <c r="AH764" i="1"/>
  <c r="AA764" i="1"/>
  <c r="Y764" i="1"/>
  <c r="Z764" i="1" s="1"/>
  <c r="G764" i="1"/>
  <c r="D764" i="1"/>
  <c r="C764" i="1"/>
  <c r="AL763" i="1"/>
  <c r="AK763" i="1"/>
  <c r="AJ763" i="1" a="1"/>
  <c r="AJ763" i="1" s="1"/>
  <c r="AN763" i="1" s="1"/>
  <c r="AI763" i="1" a="1"/>
  <c r="AI763" i="1" s="1"/>
  <c r="AM763" i="1" s="1"/>
  <c r="AH763" i="1"/>
  <c r="AA763" i="1"/>
  <c r="Y763" i="1"/>
  <c r="Z763" i="1" s="1"/>
  <c r="G763" i="1"/>
  <c r="D763" i="1"/>
  <c r="C763" i="1"/>
  <c r="AL762" i="1"/>
  <c r="AK762" i="1"/>
  <c r="AJ762" i="1" a="1"/>
  <c r="AJ762" i="1" s="1"/>
  <c r="AN762" i="1" s="1"/>
  <c r="AI762" i="1" a="1"/>
  <c r="AI762" i="1" s="1"/>
  <c r="AM762" i="1" s="1"/>
  <c r="AH762" i="1"/>
  <c r="AA762" i="1"/>
  <c r="Y762" i="1"/>
  <c r="Z762" i="1" s="1"/>
  <c r="G762" i="1"/>
  <c r="D762" i="1"/>
  <c r="C762" i="1"/>
  <c r="AL761" i="1"/>
  <c r="AK761" i="1"/>
  <c r="AJ761" i="1" a="1"/>
  <c r="AJ761" i="1" s="1"/>
  <c r="AN761" i="1" s="1"/>
  <c r="AI761" i="1" a="1"/>
  <c r="AI761" i="1" s="1"/>
  <c r="AM761" i="1" s="1"/>
  <c r="AH761" i="1"/>
  <c r="AA761" i="1"/>
  <c r="Y761" i="1"/>
  <c r="Z761" i="1" s="1"/>
  <c r="G761" i="1"/>
  <c r="D761" i="1"/>
  <c r="C761" i="1"/>
  <c r="AL760" i="1"/>
  <c r="AK760" i="1"/>
  <c r="AJ760" i="1" a="1"/>
  <c r="AJ760" i="1" s="1"/>
  <c r="AN760" i="1" s="1"/>
  <c r="AI760" i="1" a="1"/>
  <c r="AI760" i="1" s="1"/>
  <c r="AM760" i="1" s="1"/>
  <c r="AH760" i="1"/>
  <c r="AA760" i="1"/>
  <c r="Y760" i="1"/>
  <c r="Z760" i="1" s="1"/>
  <c r="G760" i="1"/>
  <c r="D760" i="1"/>
  <c r="C760" i="1"/>
  <c r="AL759" i="1"/>
  <c r="AK759" i="1"/>
  <c r="AJ759" i="1" a="1"/>
  <c r="AJ759" i="1" s="1"/>
  <c r="AN759" i="1" s="1"/>
  <c r="AI759" i="1" a="1"/>
  <c r="AI759" i="1" s="1"/>
  <c r="AM759" i="1" s="1"/>
  <c r="AH759" i="1"/>
  <c r="AA759" i="1"/>
  <c r="Y759" i="1"/>
  <c r="Z759" i="1" s="1"/>
  <c r="G759" i="1"/>
  <c r="D759" i="1"/>
  <c r="C759" i="1"/>
  <c r="AL758" i="1"/>
  <c r="AK758" i="1"/>
  <c r="AJ758" i="1" a="1"/>
  <c r="AJ758" i="1" s="1"/>
  <c r="AN758" i="1" s="1"/>
  <c r="AI758" i="1" a="1"/>
  <c r="AI758" i="1" s="1"/>
  <c r="AM758" i="1" s="1"/>
  <c r="AH758" i="1"/>
  <c r="AA758" i="1"/>
  <c r="Y758" i="1"/>
  <c r="Z758" i="1" s="1"/>
  <c r="G758" i="1"/>
  <c r="D758" i="1"/>
  <c r="C758" i="1"/>
  <c r="AL757" i="1"/>
  <c r="AK757" i="1"/>
  <c r="AJ757" i="1" a="1"/>
  <c r="AJ757" i="1" s="1"/>
  <c r="AN757" i="1" s="1"/>
  <c r="AI757" i="1" a="1"/>
  <c r="AI757" i="1" s="1"/>
  <c r="AM757" i="1" s="1"/>
  <c r="AH757" i="1"/>
  <c r="AA757" i="1"/>
  <c r="Y757" i="1"/>
  <c r="Z757" i="1" s="1"/>
  <c r="G757" i="1"/>
  <c r="D757" i="1"/>
  <c r="C757" i="1"/>
  <c r="AL756" i="1"/>
  <c r="AK756" i="1"/>
  <c r="AJ756" i="1" a="1"/>
  <c r="AJ756" i="1" s="1"/>
  <c r="AN756" i="1" s="1"/>
  <c r="AI756" i="1" a="1"/>
  <c r="AI756" i="1" s="1"/>
  <c r="AM756" i="1" s="1"/>
  <c r="AH756" i="1"/>
  <c r="AA756" i="1"/>
  <c r="Y756" i="1"/>
  <c r="Z756" i="1" s="1"/>
  <c r="G756" i="1"/>
  <c r="D756" i="1"/>
  <c r="C756" i="1"/>
  <c r="AL755" i="1"/>
  <c r="AK755" i="1"/>
  <c r="AJ755" i="1" a="1"/>
  <c r="AJ755" i="1" s="1"/>
  <c r="AN755" i="1" s="1"/>
  <c r="AI755" i="1" a="1"/>
  <c r="AI755" i="1" s="1"/>
  <c r="AM755" i="1" s="1"/>
  <c r="AH755" i="1"/>
  <c r="AA755" i="1"/>
  <c r="Y755" i="1"/>
  <c r="Z755" i="1" s="1"/>
  <c r="G755" i="1"/>
  <c r="D755" i="1"/>
  <c r="C755" i="1"/>
  <c r="AL754" i="1"/>
  <c r="AK754" i="1"/>
  <c r="AJ754" i="1" a="1"/>
  <c r="AJ754" i="1" s="1"/>
  <c r="AN754" i="1" s="1"/>
  <c r="AI754" i="1" a="1"/>
  <c r="AI754" i="1" s="1"/>
  <c r="AM754" i="1" s="1"/>
  <c r="AH754" i="1"/>
  <c r="AA754" i="1"/>
  <c r="Y754" i="1"/>
  <c r="Z754" i="1" s="1"/>
  <c r="G754" i="1"/>
  <c r="D754" i="1"/>
  <c r="C754" i="1"/>
  <c r="AL753" i="1"/>
  <c r="AK753" i="1"/>
  <c r="AJ753" i="1" a="1"/>
  <c r="AJ753" i="1" s="1"/>
  <c r="AN753" i="1" s="1"/>
  <c r="AI753" i="1" a="1"/>
  <c r="AI753" i="1" s="1"/>
  <c r="AM753" i="1" s="1"/>
  <c r="AH753" i="1"/>
  <c r="AA753" i="1"/>
  <c r="Y753" i="1"/>
  <c r="Z753" i="1" s="1"/>
  <c r="G753" i="1"/>
  <c r="D753" i="1"/>
  <c r="C753" i="1"/>
  <c r="AL752" i="1"/>
  <c r="AK752" i="1"/>
  <c r="AJ752" i="1" a="1"/>
  <c r="AJ752" i="1" s="1"/>
  <c r="AN752" i="1" s="1"/>
  <c r="AI752" i="1" a="1"/>
  <c r="AI752" i="1" s="1"/>
  <c r="AM752" i="1" s="1"/>
  <c r="AH752" i="1"/>
  <c r="AA752" i="1"/>
  <c r="Y752" i="1"/>
  <c r="Z752" i="1" s="1"/>
  <c r="G752" i="1"/>
  <c r="D752" i="1"/>
  <c r="C752" i="1"/>
  <c r="AL751" i="1"/>
  <c r="AK751" i="1"/>
  <c r="AJ751" i="1" a="1"/>
  <c r="AJ751" i="1" s="1"/>
  <c r="AN751" i="1" s="1"/>
  <c r="AI751" i="1" a="1"/>
  <c r="AI751" i="1" s="1"/>
  <c r="AM751" i="1" s="1"/>
  <c r="AH751" i="1"/>
  <c r="AA751" i="1"/>
  <c r="Y751" i="1"/>
  <c r="Z751" i="1" s="1"/>
  <c r="G751" i="1"/>
  <c r="D751" i="1"/>
  <c r="C751" i="1"/>
  <c r="AL750" i="1"/>
  <c r="AK750" i="1"/>
  <c r="AJ750" i="1" a="1"/>
  <c r="AJ750" i="1" s="1"/>
  <c r="AN750" i="1" s="1"/>
  <c r="AI750" i="1" a="1"/>
  <c r="AI750" i="1" s="1"/>
  <c r="AM750" i="1" s="1"/>
  <c r="AH750" i="1"/>
  <c r="AA750" i="1"/>
  <c r="Y750" i="1"/>
  <c r="Z750" i="1" s="1"/>
  <c r="G750" i="1"/>
  <c r="D750" i="1"/>
  <c r="C750" i="1"/>
  <c r="AL749" i="1"/>
  <c r="AK749" i="1"/>
  <c r="AJ749" i="1" a="1"/>
  <c r="AJ749" i="1" s="1"/>
  <c r="AN749" i="1" s="1"/>
  <c r="AI749" i="1" a="1"/>
  <c r="AI749" i="1" s="1"/>
  <c r="AM749" i="1" s="1"/>
  <c r="AH749" i="1"/>
  <c r="AA749" i="1"/>
  <c r="Y749" i="1"/>
  <c r="Z749" i="1" s="1"/>
  <c r="G749" i="1"/>
  <c r="D749" i="1"/>
  <c r="C749" i="1"/>
  <c r="AL748" i="1"/>
  <c r="AK748" i="1"/>
  <c r="AJ748" i="1" a="1"/>
  <c r="AJ748" i="1" s="1"/>
  <c r="AN748" i="1" s="1"/>
  <c r="AI748" i="1" a="1"/>
  <c r="AI748" i="1" s="1"/>
  <c r="AM748" i="1" s="1"/>
  <c r="AH748" i="1"/>
  <c r="AA748" i="1"/>
  <c r="Y748" i="1"/>
  <c r="Z748" i="1" s="1"/>
  <c r="G748" i="1"/>
  <c r="D748" i="1"/>
  <c r="C748" i="1"/>
  <c r="AL747" i="1"/>
  <c r="AK747" i="1"/>
  <c r="AJ747" i="1" a="1"/>
  <c r="AJ747" i="1" s="1"/>
  <c r="AN747" i="1" s="1"/>
  <c r="AI747" i="1" a="1"/>
  <c r="AI747" i="1" s="1"/>
  <c r="AM747" i="1" s="1"/>
  <c r="AH747" i="1"/>
  <c r="AA747" i="1"/>
  <c r="Y747" i="1"/>
  <c r="Z747" i="1" s="1"/>
  <c r="G747" i="1"/>
  <c r="D747" i="1"/>
  <c r="C747" i="1"/>
  <c r="AL746" i="1"/>
  <c r="AK746" i="1"/>
  <c r="AJ746" i="1" a="1"/>
  <c r="AJ746" i="1" s="1"/>
  <c r="AN746" i="1" s="1"/>
  <c r="AI746" i="1" a="1"/>
  <c r="AI746" i="1" s="1"/>
  <c r="AM746" i="1" s="1"/>
  <c r="AH746" i="1"/>
  <c r="AA746" i="1"/>
  <c r="Y746" i="1"/>
  <c r="Z746" i="1" s="1"/>
  <c r="G746" i="1"/>
  <c r="D746" i="1"/>
  <c r="C746" i="1"/>
  <c r="AL745" i="1"/>
  <c r="AK745" i="1"/>
  <c r="AJ745" i="1" a="1"/>
  <c r="AJ745" i="1" s="1"/>
  <c r="AN745" i="1" s="1"/>
  <c r="AI745" i="1" a="1"/>
  <c r="AI745" i="1" s="1"/>
  <c r="AM745" i="1" s="1"/>
  <c r="AH745" i="1"/>
  <c r="AA745" i="1"/>
  <c r="Y745" i="1"/>
  <c r="Z745" i="1" s="1"/>
  <c r="G745" i="1"/>
  <c r="D745" i="1"/>
  <c r="C745" i="1"/>
  <c r="AL744" i="1"/>
  <c r="AK744" i="1"/>
  <c r="AJ744" i="1" a="1"/>
  <c r="AJ744" i="1" s="1"/>
  <c r="AN744" i="1" s="1"/>
  <c r="AI744" i="1" a="1"/>
  <c r="AI744" i="1" s="1"/>
  <c r="AM744" i="1" s="1"/>
  <c r="AH744" i="1"/>
  <c r="AA744" i="1"/>
  <c r="Y744" i="1"/>
  <c r="Z744" i="1" s="1"/>
  <c r="G744" i="1"/>
  <c r="D744" i="1"/>
  <c r="C744" i="1"/>
  <c r="AL743" i="1"/>
  <c r="AK743" i="1"/>
  <c r="AJ743" i="1" a="1"/>
  <c r="AJ743" i="1" s="1"/>
  <c r="AN743" i="1" s="1"/>
  <c r="AI743" i="1" a="1"/>
  <c r="AI743" i="1" s="1"/>
  <c r="AM743" i="1" s="1"/>
  <c r="AH743" i="1"/>
  <c r="AA743" i="1"/>
  <c r="Y743" i="1"/>
  <c r="Z743" i="1" s="1"/>
  <c r="G743" i="1"/>
  <c r="D743" i="1"/>
  <c r="C743" i="1"/>
  <c r="AL742" i="1"/>
  <c r="AK742" i="1"/>
  <c r="AJ742" i="1" a="1"/>
  <c r="AJ742" i="1" s="1"/>
  <c r="AN742" i="1" s="1"/>
  <c r="AI742" i="1" a="1"/>
  <c r="AI742" i="1" s="1"/>
  <c r="AM742" i="1" s="1"/>
  <c r="AH742" i="1"/>
  <c r="AA742" i="1"/>
  <c r="Y742" i="1"/>
  <c r="Z742" i="1" s="1"/>
  <c r="G742" i="1"/>
  <c r="D742" i="1"/>
  <c r="C742" i="1"/>
  <c r="AL741" i="1"/>
  <c r="AK741" i="1"/>
  <c r="AJ741" i="1" a="1"/>
  <c r="AJ741" i="1" s="1"/>
  <c r="AN741" i="1" s="1"/>
  <c r="AI741" i="1" a="1"/>
  <c r="AI741" i="1" s="1"/>
  <c r="AM741" i="1" s="1"/>
  <c r="AH741" i="1"/>
  <c r="AA741" i="1"/>
  <c r="Y741" i="1"/>
  <c r="Z741" i="1" s="1"/>
  <c r="G741" i="1"/>
  <c r="D741" i="1"/>
  <c r="C741" i="1"/>
  <c r="AL740" i="1"/>
  <c r="AK740" i="1"/>
  <c r="AJ740" i="1" a="1"/>
  <c r="AJ740" i="1" s="1"/>
  <c r="AN740" i="1" s="1"/>
  <c r="AI740" i="1" a="1"/>
  <c r="AI740" i="1" s="1"/>
  <c r="AM740" i="1" s="1"/>
  <c r="AH740" i="1"/>
  <c r="AA740" i="1"/>
  <c r="Y740" i="1"/>
  <c r="Z740" i="1" s="1"/>
  <c r="G740" i="1"/>
  <c r="D740" i="1"/>
  <c r="C740" i="1"/>
  <c r="AL739" i="1"/>
  <c r="AK739" i="1"/>
  <c r="AJ739" i="1" a="1"/>
  <c r="AJ739" i="1" s="1"/>
  <c r="AN739" i="1" s="1"/>
  <c r="AI739" i="1" a="1"/>
  <c r="AI739" i="1" s="1"/>
  <c r="AM739" i="1" s="1"/>
  <c r="AH739" i="1"/>
  <c r="AA739" i="1"/>
  <c r="Y739" i="1"/>
  <c r="Z739" i="1" s="1"/>
  <c r="G739" i="1"/>
  <c r="D739" i="1"/>
  <c r="C739" i="1"/>
  <c r="AL738" i="1"/>
  <c r="AK738" i="1"/>
  <c r="AJ738" i="1" a="1"/>
  <c r="AJ738" i="1" s="1"/>
  <c r="AN738" i="1" s="1"/>
  <c r="AI738" i="1" a="1"/>
  <c r="AI738" i="1" s="1"/>
  <c r="AM738" i="1" s="1"/>
  <c r="AH738" i="1"/>
  <c r="AA738" i="1"/>
  <c r="Y738" i="1"/>
  <c r="Z738" i="1" s="1"/>
  <c r="G738" i="1"/>
  <c r="D738" i="1"/>
  <c r="C738" i="1"/>
  <c r="AL737" i="1"/>
  <c r="AK737" i="1"/>
  <c r="AJ737" i="1" a="1"/>
  <c r="AJ737" i="1" s="1"/>
  <c r="AN737" i="1" s="1"/>
  <c r="AI737" i="1" a="1"/>
  <c r="AI737" i="1" s="1"/>
  <c r="AM737" i="1" s="1"/>
  <c r="AH737" i="1"/>
  <c r="AA737" i="1"/>
  <c r="Y737" i="1"/>
  <c r="Z737" i="1" s="1"/>
  <c r="G737" i="1"/>
  <c r="D737" i="1"/>
  <c r="C737" i="1"/>
  <c r="AL736" i="1"/>
  <c r="AK736" i="1"/>
  <c r="AJ736" i="1" a="1"/>
  <c r="AJ736" i="1" s="1"/>
  <c r="AN736" i="1" s="1"/>
  <c r="AI736" i="1" a="1"/>
  <c r="AI736" i="1" s="1"/>
  <c r="AM736" i="1" s="1"/>
  <c r="AH736" i="1"/>
  <c r="AA736" i="1"/>
  <c r="Y736" i="1"/>
  <c r="Z736" i="1" s="1"/>
  <c r="G736" i="1"/>
  <c r="D736" i="1"/>
  <c r="C736" i="1"/>
  <c r="AL735" i="1"/>
  <c r="AK735" i="1"/>
  <c r="AJ735" i="1" a="1"/>
  <c r="AJ735" i="1" s="1"/>
  <c r="AN735" i="1" s="1"/>
  <c r="AI735" i="1" a="1"/>
  <c r="AI735" i="1" s="1"/>
  <c r="AM735" i="1" s="1"/>
  <c r="AH735" i="1"/>
  <c r="AA735" i="1"/>
  <c r="Y735" i="1"/>
  <c r="Z735" i="1" s="1"/>
  <c r="G735" i="1"/>
  <c r="D735" i="1"/>
  <c r="C735" i="1"/>
  <c r="AL734" i="1"/>
  <c r="AK734" i="1"/>
  <c r="AJ734" i="1" a="1"/>
  <c r="AJ734" i="1" s="1"/>
  <c r="AN734" i="1" s="1"/>
  <c r="AI734" i="1" a="1"/>
  <c r="AI734" i="1" s="1"/>
  <c r="AM734" i="1" s="1"/>
  <c r="AH734" i="1"/>
  <c r="AA734" i="1"/>
  <c r="Y734" i="1"/>
  <c r="Z734" i="1" s="1"/>
  <c r="G734" i="1"/>
  <c r="D734" i="1"/>
  <c r="C734" i="1"/>
  <c r="AL733" i="1"/>
  <c r="AK733" i="1"/>
  <c r="AJ733" i="1" a="1"/>
  <c r="AJ733" i="1" s="1"/>
  <c r="AN733" i="1" s="1"/>
  <c r="AI733" i="1" a="1"/>
  <c r="AI733" i="1" s="1"/>
  <c r="AM733" i="1" s="1"/>
  <c r="AH733" i="1"/>
  <c r="AA733" i="1"/>
  <c r="Y733" i="1"/>
  <c r="Z733" i="1" s="1"/>
  <c r="G733" i="1"/>
  <c r="D733" i="1"/>
  <c r="C733" i="1"/>
  <c r="AL732" i="1"/>
  <c r="AK732" i="1"/>
  <c r="AJ732" i="1" a="1"/>
  <c r="AJ732" i="1" s="1"/>
  <c r="AN732" i="1" s="1"/>
  <c r="AI732" i="1" a="1"/>
  <c r="AI732" i="1" s="1"/>
  <c r="AM732" i="1" s="1"/>
  <c r="AH732" i="1"/>
  <c r="AA732" i="1"/>
  <c r="Y732" i="1"/>
  <c r="Z732" i="1" s="1"/>
  <c r="G732" i="1"/>
  <c r="D732" i="1"/>
  <c r="C732" i="1"/>
  <c r="AL731" i="1"/>
  <c r="AK731" i="1"/>
  <c r="AJ731" i="1" a="1"/>
  <c r="AJ731" i="1" s="1"/>
  <c r="AN731" i="1" s="1"/>
  <c r="AI731" i="1" a="1"/>
  <c r="AI731" i="1" s="1"/>
  <c r="AM731" i="1" s="1"/>
  <c r="AH731" i="1"/>
  <c r="AA731" i="1"/>
  <c r="Y731" i="1"/>
  <c r="Z731" i="1" s="1"/>
  <c r="G731" i="1"/>
  <c r="D731" i="1"/>
  <c r="C731" i="1"/>
  <c r="AL730" i="1"/>
  <c r="AK730" i="1"/>
  <c r="AJ730" i="1" a="1"/>
  <c r="AJ730" i="1" s="1"/>
  <c r="AN730" i="1" s="1"/>
  <c r="AI730" i="1" a="1"/>
  <c r="AI730" i="1" s="1"/>
  <c r="AM730" i="1" s="1"/>
  <c r="AH730" i="1"/>
  <c r="AA730" i="1"/>
  <c r="Y730" i="1"/>
  <c r="Z730" i="1" s="1"/>
  <c r="G730" i="1"/>
  <c r="D730" i="1"/>
  <c r="C730" i="1"/>
  <c r="AL729" i="1"/>
  <c r="AK729" i="1"/>
  <c r="AJ729" i="1" a="1"/>
  <c r="AJ729" i="1" s="1"/>
  <c r="AN729" i="1" s="1"/>
  <c r="AI729" i="1" a="1"/>
  <c r="AI729" i="1" s="1"/>
  <c r="AM729" i="1" s="1"/>
  <c r="AH729" i="1"/>
  <c r="AA729" i="1"/>
  <c r="Y729" i="1"/>
  <c r="Z729" i="1" s="1"/>
  <c r="G729" i="1"/>
  <c r="D729" i="1"/>
  <c r="C729" i="1"/>
  <c r="AL728" i="1"/>
  <c r="AK728" i="1"/>
  <c r="AJ728" i="1" a="1"/>
  <c r="AJ728" i="1" s="1"/>
  <c r="AN728" i="1" s="1"/>
  <c r="AI728" i="1" a="1"/>
  <c r="AI728" i="1" s="1"/>
  <c r="AM728" i="1" s="1"/>
  <c r="AH728" i="1"/>
  <c r="AA728" i="1"/>
  <c r="Y728" i="1"/>
  <c r="Z728" i="1" s="1"/>
  <c r="G728" i="1"/>
  <c r="D728" i="1"/>
  <c r="C728" i="1"/>
  <c r="AL727" i="1"/>
  <c r="AK727" i="1"/>
  <c r="AJ727" i="1" a="1"/>
  <c r="AJ727" i="1" s="1"/>
  <c r="AN727" i="1" s="1"/>
  <c r="AI727" i="1" a="1"/>
  <c r="AI727" i="1" s="1"/>
  <c r="AM727" i="1" s="1"/>
  <c r="AH727" i="1"/>
  <c r="AA727" i="1"/>
  <c r="Y727" i="1"/>
  <c r="Z727" i="1" s="1"/>
  <c r="G727" i="1"/>
  <c r="D727" i="1"/>
  <c r="C727" i="1"/>
  <c r="AL726" i="1"/>
  <c r="AK726" i="1"/>
  <c r="AJ726" i="1" a="1"/>
  <c r="AJ726" i="1" s="1"/>
  <c r="AN726" i="1" s="1"/>
  <c r="AI726" i="1" a="1"/>
  <c r="AI726" i="1" s="1"/>
  <c r="AM726" i="1" s="1"/>
  <c r="AH726" i="1"/>
  <c r="AA726" i="1"/>
  <c r="Y726" i="1"/>
  <c r="Z726" i="1" s="1"/>
  <c r="G726" i="1"/>
  <c r="D726" i="1"/>
  <c r="C726" i="1"/>
  <c r="AL725" i="1"/>
  <c r="AK725" i="1"/>
  <c r="AJ725" i="1" a="1"/>
  <c r="AJ725" i="1" s="1"/>
  <c r="AN725" i="1" s="1"/>
  <c r="AI725" i="1" a="1"/>
  <c r="AI725" i="1" s="1"/>
  <c r="AM725" i="1" s="1"/>
  <c r="AH725" i="1"/>
  <c r="AA725" i="1"/>
  <c r="Y725" i="1"/>
  <c r="Z725" i="1" s="1"/>
  <c r="G725" i="1"/>
  <c r="D725" i="1"/>
  <c r="C725" i="1"/>
  <c r="AL724" i="1"/>
  <c r="AK724" i="1"/>
  <c r="AJ724" i="1" a="1"/>
  <c r="AJ724" i="1" s="1"/>
  <c r="AN724" i="1" s="1"/>
  <c r="AI724" i="1" a="1"/>
  <c r="AI724" i="1" s="1"/>
  <c r="AM724" i="1" s="1"/>
  <c r="AH724" i="1"/>
  <c r="AA724" i="1"/>
  <c r="Y724" i="1"/>
  <c r="Z724" i="1" s="1"/>
  <c r="G724" i="1"/>
  <c r="D724" i="1"/>
  <c r="C724" i="1"/>
  <c r="AL723" i="1"/>
  <c r="AK723" i="1"/>
  <c r="AJ723" i="1" a="1"/>
  <c r="AJ723" i="1" s="1"/>
  <c r="AN723" i="1" s="1"/>
  <c r="AI723" i="1" a="1"/>
  <c r="AI723" i="1" s="1"/>
  <c r="AM723" i="1" s="1"/>
  <c r="AH723" i="1"/>
  <c r="AA723" i="1"/>
  <c r="Y723" i="1"/>
  <c r="Z723" i="1" s="1"/>
  <c r="G723" i="1"/>
  <c r="D723" i="1"/>
  <c r="C723" i="1"/>
  <c r="AL722" i="1"/>
  <c r="AK722" i="1"/>
  <c r="AJ722" i="1" a="1"/>
  <c r="AJ722" i="1" s="1"/>
  <c r="AN722" i="1" s="1"/>
  <c r="AI722" i="1" a="1"/>
  <c r="AI722" i="1" s="1"/>
  <c r="AM722" i="1" s="1"/>
  <c r="AH722" i="1"/>
  <c r="AA722" i="1"/>
  <c r="Y722" i="1"/>
  <c r="Z722" i="1" s="1"/>
  <c r="G722" i="1"/>
  <c r="D722" i="1"/>
  <c r="C722" i="1"/>
  <c r="AL721" i="1"/>
  <c r="AK721" i="1"/>
  <c r="AJ721" i="1" a="1"/>
  <c r="AJ721" i="1" s="1"/>
  <c r="AN721" i="1" s="1"/>
  <c r="AI721" i="1" a="1"/>
  <c r="AI721" i="1" s="1"/>
  <c r="AM721" i="1" s="1"/>
  <c r="AH721" i="1"/>
  <c r="AA721" i="1"/>
  <c r="Y721" i="1"/>
  <c r="Z721" i="1" s="1"/>
  <c r="G721" i="1"/>
  <c r="D721" i="1"/>
  <c r="C721" i="1"/>
  <c r="AL720" i="1"/>
  <c r="AK720" i="1"/>
  <c r="AJ720" i="1" a="1"/>
  <c r="AJ720" i="1" s="1"/>
  <c r="AN720" i="1" s="1"/>
  <c r="AI720" i="1" a="1"/>
  <c r="AI720" i="1" s="1"/>
  <c r="AM720" i="1" s="1"/>
  <c r="AH720" i="1"/>
  <c r="AA720" i="1"/>
  <c r="Y720" i="1"/>
  <c r="Z720" i="1" s="1"/>
  <c r="G720" i="1"/>
  <c r="D720" i="1"/>
  <c r="C720" i="1"/>
  <c r="AL719" i="1"/>
  <c r="AK719" i="1"/>
  <c r="AJ719" i="1" a="1"/>
  <c r="AJ719" i="1" s="1"/>
  <c r="AN719" i="1" s="1"/>
  <c r="AI719" i="1" a="1"/>
  <c r="AI719" i="1" s="1"/>
  <c r="AM719" i="1" s="1"/>
  <c r="AH719" i="1"/>
  <c r="AA719" i="1"/>
  <c r="Y719" i="1"/>
  <c r="Z719" i="1" s="1"/>
  <c r="G719" i="1"/>
  <c r="D719" i="1"/>
  <c r="C719" i="1"/>
  <c r="AL718" i="1"/>
  <c r="AK718" i="1"/>
  <c r="AJ718" i="1" a="1"/>
  <c r="AJ718" i="1" s="1"/>
  <c r="AN718" i="1" s="1"/>
  <c r="AI718" i="1" a="1"/>
  <c r="AI718" i="1" s="1"/>
  <c r="AM718" i="1" s="1"/>
  <c r="AH718" i="1"/>
  <c r="AA718" i="1"/>
  <c r="Y718" i="1"/>
  <c r="Z718" i="1" s="1"/>
  <c r="G718" i="1"/>
  <c r="D718" i="1"/>
  <c r="C718" i="1"/>
  <c r="AL717" i="1"/>
  <c r="AK717" i="1"/>
  <c r="AJ717" i="1" a="1"/>
  <c r="AJ717" i="1" s="1"/>
  <c r="AN717" i="1" s="1"/>
  <c r="AI717" i="1" a="1"/>
  <c r="AI717" i="1" s="1"/>
  <c r="AM717" i="1" s="1"/>
  <c r="AH717" i="1"/>
  <c r="AA717" i="1"/>
  <c r="Y717" i="1"/>
  <c r="Z717" i="1" s="1"/>
  <c r="G717" i="1"/>
  <c r="D717" i="1"/>
  <c r="C717" i="1"/>
  <c r="AL716" i="1"/>
  <c r="AK716" i="1"/>
  <c r="AJ716" i="1" a="1"/>
  <c r="AJ716" i="1" s="1"/>
  <c r="AN716" i="1" s="1"/>
  <c r="AI716" i="1" a="1"/>
  <c r="AI716" i="1" s="1"/>
  <c r="AM716" i="1" s="1"/>
  <c r="AH716" i="1"/>
  <c r="AA716" i="1"/>
  <c r="Y716" i="1"/>
  <c r="Z716" i="1" s="1"/>
  <c r="G716" i="1"/>
  <c r="D716" i="1"/>
  <c r="C716" i="1"/>
  <c r="AL715" i="1"/>
  <c r="AK715" i="1"/>
  <c r="AJ715" i="1" a="1"/>
  <c r="AJ715" i="1" s="1"/>
  <c r="AN715" i="1" s="1"/>
  <c r="AI715" i="1" a="1"/>
  <c r="AI715" i="1" s="1"/>
  <c r="AM715" i="1" s="1"/>
  <c r="AH715" i="1"/>
  <c r="AA715" i="1"/>
  <c r="Y715" i="1"/>
  <c r="Z715" i="1" s="1"/>
  <c r="G715" i="1"/>
  <c r="D715" i="1"/>
  <c r="C715" i="1"/>
  <c r="AL714" i="1"/>
  <c r="AK714" i="1"/>
  <c r="AJ714" i="1" a="1"/>
  <c r="AJ714" i="1" s="1"/>
  <c r="AN714" i="1" s="1"/>
  <c r="AI714" i="1" a="1"/>
  <c r="AI714" i="1" s="1"/>
  <c r="AM714" i="1" s="1"/>
  <c r="AH714" i="1"/>
  <c r="AA714" i="1"/>
  <c r="Y714" i="1"/>
  <c r="Z714" i="1" s="1"/>
  <c r="G714" i="1"/>
  <c r="D714" i="1"/>
  <c r="C714" i="1"/>
  <c r="AL713" i="1"/>
  <c r="AK713" i="1"/>
  <c r="AJ713" i="1" a="1"/>
  <c r="AJ713" i="1" s="1"/>
  <c r="AN713" i="1" s="1"/>
  <c r="AI713" i="1" a="1"/>
  <c r="AI713" i="1" s="1"/>
  <c r="AM713" i="1" s="1"/>
  <c r="AH713" i="1"/>
  <c r="AA713" i="1"/>
  <c r="Y713" i="1"/>
  <c r="Z713" i="1" s="1"/>
  <c r="G713" i="1"/>
  <c r="D713" i="1"/>
  <c r="C713" i="1"/>
  <c r="AL712" i="1"/>
  <c r="AK712" i="1"/>
  <c r="AJ712" i="1" a="1"/>
  <c r="AJ712" i="1" s="1"/>
  <c r="AN712" i="1" s="1"/>
  <c r="AI712" i="1" a="1"/>
  <c r="AI712" i="1" s="1"/>
  <c r="AM712" i="1" s="1"/>
  <c r="AH712" i="1"/>
  <c r="AA712" i="1"/>
  <c r="Y712" i="1"/>
  <c r="Z712" i="1" s="1"/>
  <c r="G712" i="1"/>
  <c r="D712" i="1"/>
  <c r="C712" i="1"/>
  <c r="AL711" i="1"/>
  <c r="AK711" i="1"/>
  <c r="AJ711" i="1" a="1"/>
  <c r="AJ711" i="1" s="1"/>
  <c r="AN711" i="1" s="1"/>
  <c r="AI711" i="1" a="1"/>
  <c r="AI711" i="1" s="1"/>
  <c r="AM711" i="1" s="1"/>
  <c r="AH711" i="1"/>
  <c r="AA711" i="1"/>
  <c r="Y711" i="1"/>
  <c r="Z711" i="1" s="1"/>
  <c r="G711" i="1"/>
  <c r="D711" i="1"/>
  <c r="C711" i="1"/>
  <c r="AL710" i="1"/>
  <c r="AK710" i="1"/>
  <c r="AJ710" i="1" a="1"/>
  <c r="AJ710" i="1" s="1"/>
  <c r="AN710" i="1" s="1"/>
  <c r="AI710" i="1" a="1"/>
  <c r="AI710" i="1" s="1"/>
  <c r="AM710" i="1" s="1"/>
  <c r="AH710" i="1"/>
  <c r="AA710" i="1"/>
  <c r="Y710" i="1"/>
  <c r="Z710" i="1" s="1"/>
  <c r="G710" i="1"/>
  <c r="D710" i="1"/>
  <c r="C710" i="1"/>
  <c r="AL709" i="1"/>
  <c r="AK709" i="1"/>
  <c r="AJ709" i="1" a="1"/>
  <c r="AJ709" i="1" s="1"/>
  <c r="AN709" i="1" s="1"/>
  <c r="AI709" i="1" a="1"/>
  <c r="AI709" i="1" s="1"/>
  <c r="AM709" i="1" s="1"/>
  <c r="AH709" i="1"/>
  <c r="AA709" i="1"/>
  <c r="Y709" i="1"/>
  <c r="Z709" i="1" s="1"/>
  <c r="G709" i="1"/>
  <c r="D709" i="1"/>
  <c r="C709" i="1"/>
  <c r="AL708" i="1"/>
  <c r="AK708" i="1"/>
  <c r="AJ708" i="1" a="1"/>
  <c r="AJ708" i="1" s="1"/>
  <c r="AN708" i="1" s="1"/>
  <c r="AI708" i="1" a="1"/>
  <c r="AI708" i="1" s="1"/>
  <c r="AM708" i="1" s="1"/>
  <c r="AH708" i="1"/>
  <c r="AA708" i="1"/>
  <c r="Y708" i="1"/>
  <c r="Z708" i="1" s="1"/>
  <c r="G708" i="1"/>
  <c r="D708" i="1"/>
  <c r="C708" i="1"/>
  <c r="AL707" i="1"/>
  <c r="AK707" i="1"/>
  <c r="AJ707" i="1" a="1"/>
  <c r="AJ707" i="1" s="1"/>
  <c r="AN707" i="1" s="1"/>
  <c r="AI707" i="1" a="1"/>
  <c r="AI707" i="1" s="1"/>
  <c r="AM707" i="1" s="1"/>
  <c r="AH707" i="1"/>
  <c r="AA707" i="1"/>
  <c r="Y707" i="1"/>
  <c r="Z707" i="1" s="1"/>
  <c r="G707" i="1"/>
  <c r="D707" i="1"/>
  <c r="C707" i="1"/>
  <c r="AL706" i="1"/>
  <c r="AK706" i="1"/>
  <c r="AJ706" i="1" a="1"/>
  <c r="AJ706" i="1" s="1"/>
  <c r="AN706" i="1" s="1"/>
  <c r="AI706" i="1" a="1"/>
  <c r="AI706" i="1" s="1"/>
  <c r="AM706" i="1" s="1"/>
  <c r="AH706" i="1"/>
  <c r="AA706" i="1"/>
  <c r="Y706" i="1"/>
  <c r="Z706" i="1" s="1"/>
  <c r="G706" i="1"/>
  <c r="D706" i="1"/>
  <c r="C706" i="1"/>
  <c r="AL705" i="1"/>
  <c r="AK705" i="1"/>
  <c r="AJ705" i="1" a="1"/>
  <c r="AJ705" i="1" s="1"/>
  <c r="AN705" i="1" s="1"/>
  <c r="AI705" i="1" a="1"/>
  <c r="AI705" i="1" s="1"/>
  <c r="AM705" i="1" s="1"/>
  <c r="AH705" i="1"/>
  <c r="AA705" i="1"/>
  <c r="Y705" i="1"/>
  <c r="Z705" i="1" s="1"/>
  <c r="G705" i="1"/>
  <c r="D705" i="1"/>
  <c r="C705" i="1"/>
  <c r="AL704" i="1"/>
  <c r="AK704" i="1"/>
  <c r="AJ704" i="1" a="1"/>
  <c r="AJ704" i="1" s="1"/>
  <c r="AN704" i="1" s="1"/>
  <c r="AI704" i="1" a="1"/>
  <c r="AI704" i="1" s="1"/>
  <c r="AM704" i="1" s="1"/>
  <c r="AH704" i="1"/>
  <c r="AA704" i="1"/>
  <c r="Y704" i="1"/>
  <c r="Z704" i="1" s="1"/>
  <c r="G704" i="1"/>
  <c r="D704" i="1"/>
  <c r="C704" i="1"/>
  <c r="AL703" i="1"/>
  <c r="AK703" i="1"/>
  <c r="AJ703" i="1" a="1"/>
  <c r="AJ703" i="1" s="1"/>
  <c r="AN703" i="1" s="1"/>
  <c r="AI703" i="1" a="1"/>
  <c r="AI703" i="1" s="1"/>
  <c r="AM703" i="1" s="1"/>
  <c r="AH703" i="1"/>
  <c r="AA703" i="1"/>
  <c r="Y703" i="1"/>
  <c r="Z703" i="1" s="1"/>
  <c r="G703" i="1"/>
  <c r="D703" i="1"/>
  <c r="C703" i="1"/>
  <c r="AL702" i="1"/>
  <c r="AK702" i="1"/>
  <c r="AJ702" i="1" a="1"/>
  <c r="AJ702" i="1" s="1"/>
  <c r="AN702" i="1" s="1"/>
  <c r="AI702" i="1" a="1"/>
  <c r="AI702" i="1" s="1"/>
  <c r="AM702" i="1" s="1"/>
  <c r="AH702" i="1"/>
  <c r="AA702" i="1"/>
  <c r="Y702" i="1"/>
  <c r="Z702" i="1" s="1"/>
  <c r="G702" i="1"/>
  <c r="D702" i="1"/>
  <c r="C702" i="1"/>
  <c r="AL701" i="1"/>
  <c r="AK701" i="1"/>
  <c r="AJ701" i="1" a="1"/>
  <c r="AJ701" i="1" s="1"/>
  <c r="AN701" i="1" s="1"/>
  <c r="AI701" i="1" a="1"/>
  <c r="AI701" i="1" s="1"/>
  <c r="AM701" i="1" s="1"/>
  <c r="AH701" i="1"/>
  <c r="AA701" i="1"/>
  <c r="Y701" i="1"/>
  <c r="Z701" i="1" s="1"/>
  <c r="G701" i="1"/>
  <c r="D701" i="1"/>
  <c r="C701" i="1"/>
  <c r="AL700" i="1"/>
  <c r="AK700" i="1"/>
  <c r="AJ700" i="1" a="1"/>
  <c r="AJ700" i="1" s="1"/>
  <c r="AN700" i="1" s="1"/>
  <c r="AI700" i="1" a="1"/>
  <c r="AI700" i="1" s="1"/>
  <c r="AM700" i="1" s="1"/>
  <c r="AH700" i="1"/>
  <c r="AA700" i="1"/>
  <c r="Y700" i="1"/>
  <c r="Z700" i="1" s="1"/>
  <c r="G700" i="1"/>
  <c r="D700" i="1"/>
  <c r="C700" i="1"/>
  <c r="AL699" i="1"/>
  <c r="AK699" i="1"/>
  <c r="AJ699" i="1" a="1"/>
  <c r="AJ699" i="1" s="1"/>
  <c r="AN699" i="1" s="1"/>
  <c r="AI699" i="1" a="1"/>
  <c r="AI699" i="1" s="1"/>
  <c r="AM699" i="1" s="1"/>
  <c r="AH699" i="1"/>
  <c r="AA699" i="1"/>
  <c r="Y699" i="1"/>
  <c r="Z699" i="1" s="1"/>
  <c r="G699" i="1"/>
  <c r="D699" i="1"/>
  <c r="C699" i="1"/>
  <c r="AL698" i="1"/>
  <c r="AK698" i="1"/>
  <c r="AJ698" i="1" a="1"/>
  <c r="AJ698" i="1" s="1"/>
  <c r="AN698" i="1" s="1"/>
  <c r="AI698" i="1" a="1"/>
  <c r="AI698" i="1" s="1"/>
  <c r="AM698" i="1" s="1"/>
  <c r="AH698" i="1"/>
  <c r="AA698" i="1"/>
  <c r="Y698" i="1"/>
  <c r="Z698" i="1" s="1"/>
  <c r="G698" i="1"/>
  <c r="D698" i="1"/>
  <c r="C698" i="1"/>
  <c r="AL697" i="1"/>
  <c r="AK697" i="1"/>
  <c r="AJ697" i="1" a="1"/>
  <c r="AJ697" i="1" s="1"/>
  <c r="AN697" i="1" s="1"/>
  <c r="AI697" i="1" a="1"/>
  <c r="AI697" i="1" s="1"/>
  <c r="AM697" i="1" s="1"/>
  <c r="AH697" i="1"/>
  <c r="AA697" i="1"/>
  <c r="Y697" i="1"/>
  <c r="Z697" i="1" s="1"/>
  <c r="G697" i="1"/>
  <c r="D697" i="1"/>
  <c r="C697" i="1"/>
  <c r="AL696" i="1"/>
  <c r="AK696" i="1"/>
  <c r="AJ696" i="1" a="1"/>
  <c r="AJ696" i="1" s="1"/>
  <c r="AN696" i="1" s="1"/>
  <c r="AI696" i="1" a="1"/>
  <c r="AI696" i="1" s="1"/>
  <c r="AM696" i="1" s="1"/>
  <c r="AH696" i="1"/>
  <c r="AA696" i="1"/>
  <c r="Y696" i="1"/>
  <c r="Z696" i="1" s="1"/>
  <c r="G696" i="1"/>
  <c r="D696" i="1"/>
  <c r="C696" i="1"/>
  <c r="AL695" i="1"/>
  <c r="AK695" i="1"/>
  <c r="AJ695" i="1" a="1"/>
  <c r="AJ695" i="1" s="1"/>
  <c r="AN695" i="1" s="1"/>
  <c r="AI695" i="1" a="1"/>
  <c r="AI695" i="1" s="1"/>
  <c r="AM695" i="1" s="1"/>
  <c r="AH695" i="1"/>
  <c r="AA695" i="1"/>
  <c r="Y695" i="1"/>
  <c r="Z695" i="1" s="1"/>
  <c r="G695" i="1"/>
  <c r="D695" i="1"/>
  <c r="C695" i="1"/>
  <c r="AL694" i="1"/>
  <c r="AK694" i="1"/>
  <c r="AJ694" i="1" a="1"/>
  <c r="AJ694" i="1" s="1"/>
  <c r="AN694" i="1" s="1"/>
  <c r="AI694" i="1" a="1"/>
  <c r="AI694" i="1" s="1"/>
  <c r="AM694" i="1" s="1"/>
  <c r="AH694" i="1"/>
  <c r="AA694" i="1"/>
  <c r="Y694" i="1"/>
  <c r="Z694" i="1" s="1"/>
  <c r="G694" i="1"/>
  <c r="D694" i="1"/>
  <c r="C694" i="1"/>
  <c r="AL693" i="1"/>
  <c r="AK693" i="1"/>
  <c r="AJ693" i="1" a="1"/>
  <c r="AJ693" i="1" s="1"/>
  <c r="AN693" i="1" s="1"/>
  <c r="AI693" i="1" a="1"/>
  <c r="AI693" i="1" s="1"/>
  <c r="AM693" i="1" s="1"/>
  <c r="AH693" i="1"/>
  <c r="AA693" i="1"/>
  <c r="Y693" i="1"/>
  <c r="Z693" i="1" s="1"/>
  <c r="G693" i="1"/>
  <c r="D693" i="1"/>
  <c r="C693" i="1"/>
  <c r="AL692" i="1"/>
  <c r="AK692" i="1"/>
  <c r="AJ692" i="1" a="1"/>
  <c r="AJ692" i="1" s="1"/>
  <c r="AN692" i="1" s="1"/>
  <c r="AI692" i="1" a="1"/>
  <c r="AI692" i="1" s="1"/>
  <c r="AM692" i="1" s="1"/>
  <c r="AH692" i="1"/>
  <c r="AA692" i="1"/>
  <c r="Y692" i="1"/>
  <c r="Z692" i="1" s="1"/>
  <c r="G692" i="1"/>
  <c r="D692" i="1"/>
  <c r="C692" i="1"/>
  <c r="AL691" i="1"/>
  <c r="AK691" i="1"/>
  <c r="AJ691" i="1" a="1"/>
  <c r="AJ691" i="1" s="1"/>
  <c r="AN691" i="1" s="1"/>
  <c r="AI691" i="1" a="1"/>
  <c r="AI691" i="1" s="1"/>
  <c r="AM691" i="1" s="1"/>
  <c r="AH691" i="1"/>
  <c r="AA691" i="1"/>
  <c r="Y691" i="1"/>
  <c r="Z691" i="1" s="1"/>
  <c r="G691" i="1"/>
  <c r="D691" i="1"/>
  <c r="C691" i="1"/>
  <c r="AL690" i="1"/>
  <c r="AK690" i="1"/>
  <c r="AJ690" i="1" a="1"/>
  <c r="AJ690" i="1" s="1"/>
  <c r="AN690" i="1" s="1"/>
  <c r="AI690" i="1" a="1"/>
  <c r="AI690" i="1" s="1"/>
  <c r="AM690" i="1" s="1"/>
  <c r="AH690" i="1"/>
  <c r="AA690" i="1"/>
  <c r="Y690" i="1"/>
  <c r="Z690" i="1" s="1"/>
  <c r="G690" i="1"/>
  <c r="D690" i="1"/>
  <c r="C690" i="1"/>
  <c r="AL689" i="1"/>
  <c r="AK689" i="1"/>
  <c r="AJ689" i="1" a="1"/>
  <c r="AJ689" i="1" s="1"/>
  <c r="AN689" i="1" s="1"/>
  <c r="AI689" i="1" a="1"/>
  <c r="AI689" i="1" s="1"/>
  <c r="AM689" i="1" s="1"/>
  <c r="AH689" i="1"/>
  <c r="AA689" i="1"/>
  <c r="Y689" i="1"/>
  <c r="Z689" i="1" s="1"/>
  <c r="G689" i="1"/>
  <c r="D689" i="1"/>
  <c r="C689" i="1"/>
  <c r="AL688" i="1"/>
  <c r="AK688" i="1"/>
  <c r="AJ688" i="1" a="1"/>
  <c r="AJ688" i="1" s="1"/>
  <c r="AN688" i="1" s="1"/>
  <c r="AI688" i="1" a="1"/>
  <c r="AI688" i="1" s="1"/>
  <c r="AM688" i="1" s="1"/>
  <c r="AH688" i="1"/>
  <c r="AA688" i="1"/>
  <c r="Y688" i="1"/>
  <c r="Z688" i="1" s="1"/>
  <c r="G688" i="1"/>
  <c r="D688" i="1"/>
  <c r="C688" i="1"/>
  <c r="AL687" i="1"/>
  <c r="AK687" i="1"/>
  <c r="AJ687" i="1" a="1"/>
  <c r="AJ687" i="1" s="1"/>
  <c r="AN687" i="1" s="1"/>
  <c r="AI687" i="1" a="1"/>
  <c r="AI687" i="1" s="1"/>
  <c r="AM687" i="1" s="1"/>
  <c r="AH687" i="1"/>
  <c r="AA687" i="1"/>
  <c r="Y687" i="1"/>
  <c r="Z687" i="1" s="1"/>
  <c r="G687" i="1"/>
  <c r="D687" i="1"/>
  <c r="C687" i="1"/>
  <c r="AL686" i="1"/>
  <c r="AK686" i="1"/>
  <c r="AJ686" i="1" a="1"/>
  <c r="AJ686" i="1" s="1"/>
  <c r="AN686" i="1" s="1"/>
  <c r="AI686" i="1" a="1"/>
  <c r="AI686" i="1" s="1"/>
  <c r="AM686" i="1" s="1"/>
  <c r="AH686" i="1"/>
  <c r="AA686" i="1"/>
  <c r="Y686" i="1"/>
  <c r="Z686" i="1" s="1"/>
  <c r="G686" i="1"/>
  <c r="D686" i="1"/>
  <c r="C686" i="1"/>
  <c r="AL685" i="1"/>
  <c r="AK685" i="1"/>
  <c r="AJ685" i="1" a="1"/>
  <c r="AJ685" i="1" s="1"/>
  <c r="AN685" i="1" s="1"/>
  <c r="AI685" i="1" a="1"/>
  <c r="AI685" i="1" s="1"/>
  <c r="AM685" i="1" s="1"/>
  <c r="AH685" i="1"/>
  <c r="AA685" i="1"/>
  <c r="Y685" i="1"/>
  <c r="Z685" i="1" s="1"/>
  <c r="G685" i="1"/>
  <c r="D685" i="1"/>
  <c r="C685" i="1"/>
  <c r="AL684" i="1"/>
  <c r="AK684" i="1"/>
  <c r="AJ684" i="1" a="1"/>
  <c r="AJ684" i="1" s="1"/>
  <c r="AN684" i="1" s="1"/>
  <c r="AI684" i="1" a="1"/>
  <c r="AI684" i="1" s="1"/>
  <c r="AM684" i="1" s="1"/>
  <c r="AH684" i="1"/>
  <c r="AA684" i="1"/>
  <c r="Y684" i="1"/>
  <c r="Z684" i="1" s="1"/>
  <c r="G684" i="1"/>
  <c r="D684" i="1"/>
  <c r="C684" i="1"/>
  <c r="AL683" i="1"/>
  <c r="AK683" i="1"/>
  <c r="AJ683" i="1" a="1"/>
  <c r="AJ683" i="1" s="1"/>
  <c r="AN683" i="1" s="1"/>
  <c r="AI683" i="1" a="1"/>
  <c r="AI683" i="1" s="1"/>
  <c r="AM683" i="1" s="1"/>
  <c r="AH683" i="1"/>
  <c r="AA683" i="1"/>
  <c r="Y683" i="1"/>
  <c r="Z683" i="1" s="1"/>
  <c r="G683" i="1"/>
  <c r="D683" i="1"/>
  <c r="C683" i="1"/>
  <c r="AL682" i="1"/>
  <c r="AK682" i="1"/>
  <c r="AJ682" i="1" a="1"/>
  <c r="AJ682" i="1" s="1"/>
  <c r="AN682" i="1" s="1"/>
  <c r="AI682" i="1" a="1"/>
  <c r="AI682" i="1" s="1"/>
  <c r="AM682" i="1" s="1"/>
  <c r="AH682" i="1"/>
  <c r="AA682" i="1"/>
  <c r="Y682" i="1"/>
  <c r="Z682" i="1" s="1"/>
  <c r="G682" i="1"/>
  <c r="D682" i="1"/>
  <c r="C682" i="1"/>
  <c r="AL681" i="1"/>
  <c r="AK681" i="1"/>
  <c r="AJ681" i="1" a="1"/>
  <c r="AJ681" i="1" s="1"/>
  <c r="AN681" i="1" s="1"/>
  <c r="AI681" i="1" a="1"/>
  <c r="AI681" i="1" s="1"/>
  <c r="AM681" i="1" s="1"/>
  <c r="AH681" i="1"/>
  <c r="AA681" i="1"/>
  <c r="Y681" i="1"/>
  <c r="Z681" i="1" s="1"/>
  <c r="G681" i="1"/>
  <c r="D681" i="1"/>
  <c r="C681" i="1"/>
  <c r="AL680" i="1"/>
  <c r="AK680" i="1"/>
  <c r="AJ680" i="1" a="1"/>
  <c r="AJ680" i="1" s="1"/>
  <c r="AN680" i="1" s="1"/>
  <c r="AI680" i="1" a="1"/>
  <c r="AI680" i="1" s="1"/>
  <c r="AM680" i="1" s="1"/>
  <c r="AH680" i="1"/>
  <c r="AA680" i="1"/>
  <c r="Y680" i="1"/>
  <c r="Z680" i="1" s="1"/>
  <c r="G680" i="1"/>
  <c r="D680" i="1"/>
  <c r="C680" i="1"/>
  <c r="AL679" i="1"/>
  <c r="AK679" i="1"/>
  <c r="AJ679" i="1" a="1"/>
  <c r="AJ679" i="1" s="1"/>
  <c r="AN679" i="1" s="1"/>
  <c r="AI679" i="1" a="1"/>
  <c r="AI679" i="1" s="1"/>
  <c r="AM679" i="1" s="1"/>
  <c r="AH679" i="1"/>
  <c r="AA679" i="1"/>
  <c r="Y679" i="1"/>
  <c r="Z679" i="1" s="1"/>
  <c r="G679" i="1"/>
  <c r="D679" i="1"/>
  <c r="C679" i="1"/>
  <c r="AL678" i="1"/>
  <c r="AK678" i="1"/>
  <c r="AJ678" i="1" a="1"/>
  <c r="AJ678" i="1" s="1"/>
  <c r="AN678" i="1" s="1"/>
  <c r="AI678" i="1" a="1"/>
  <c r="AI678" i="1" s="1"/>
  <c r="AM678" i="1" s="1"/>
  <c r="AH678" i="1"/>
  <c r="AA678" i="1"/>
  <c r="Y678" i="1"/>
  <c r="Z678" i="1" s="1"/>
  <c r="G678" i="1"/>
  <c r="D678" i="1"/>
  <c r="C678" i="1"/>
  <c r="AL677" i="1"/>
  <c r="AK677" i="1"/>
  <c r="AJ677" i="1" a="1"/>
  <c r="AJ677" i="1" s="1"/>
  <c r="AN677" i="1" s="1"/>
  <c r="AI677" i="1" a="1"/>
  <c r="AI677" i="1" s="1"/>
  <c r="AM677" i="1" s="1"/>
  <c r="AH677" i="1"/>
  <c r="AA677" i="1"/>
  <c r="Y677" i="1"/>
  <c r="Z677" i="1" s="1"/>
  <c r="G677" i="1"/>
  <c r="D677" i="1"/>
  <c r="C677" i="1"/>
  <c r="AL676" i="1"/>
  <c r="AK676" i="1"/>
  <c r="AJ676" i="1" a="1"/>
  <c r="AJ676" i="1" s="1"/>
  <c r="AN676" i="1" s="1"/>
  <c r="AI676" i="1" a="1"/>
  <c r="AI676" i="1" s="1"/>
  <c r="AM676" i="1" s="1"/>
  <c r="AH676" i="1"/>
  <c r="AA676" i="1"/>
  <c r="Y676" i="1"/>
  <c r="Z676" i="1" s="1"/>
  <c r="G676" i="1"/>
  <c r="D676" i="1"/>
  <c r="C676" i="1"/>
  <c r="AL675" i="1"/>
  <c r="AK675" i="1"/>
  <c r="AJ675" i="1" a="1"/>
  <c r="AJ675" i="1" s="1"/>
  <c r="AN675" i="1" s="1"/>
  <c r="AI675" i="1" a="1"/>
  <c r="AI675" i="1" s="1"/>
  <c r="AM675" i="1" s="1"/>
  <c r="AH675" i="1"/>
  <c r="AA675" i="1"/>
  <c r="Y675" i="1"/>
  <c r="Z675" i="1" s="1"/>
  <c r="G675" i="1"/>
  <c r="D675" i="1"/>
  <c r="C675" i="1"/>
  <c r="AL674" i="1"/>
  <c r="AK674" i="1"/>
  <c r="AJ674" i="1" a="1"/>
  <c r="AJ674" i="1" s="1"/>
  <c r="AN674" i="1" s="1"/>
  <c r="AI674" i="1" a="1"/>
  <c r="AI674" i="1" s="1"/>
  <c r="AM674" i="1" s="1"/>
  <c r="AH674" i="1"/>
  <c r="AA674" i="1"/>
  <c r="Y674" i="1"/>
  <c r="Z674" i="1" s="1"/>
  <c r="G674" i="1"/>
  <c r="D674" i="1"/>
  <c r="C674" i="1"/>
  <c r="AL673" i="1"/>
  <c r="AK673" i="1"/>
  <c r="AJ673" i="1" a="1"/>
  <c r="AJ673" i="1" s="1"/>
  <c r="AN673" i="1" s="1"/>
  <c r="AI673" i="1" a="1"/>
  <c r="AI673" i="1" s="1"/>
  <c r="AM673" i="1" s="1"/>
  <c r="AH673" i="1"/>
  <c r="AA673" i="1"/>
  <c r="Y673" i="1"/>
  <c r="Z673" i="1" s="1"/>
  <c r="G673" i="1"/>
  <c r="D673" i="1"/>
  <c r="C673" i="1"/>
  <c r="AL672" i="1"/>
  <c r="AK672" i="1"/>
  <c r="AJ672" i="1" a="1"/>
  <c r="AJ672" i="1" s="1"/>
  <c r="AN672" i="1" s="1"/>
  <c r="AI672" i="1" a="1"/>
  <c r="AI672" i="1" s="1"/>
  <c r="AM672" i="1" s="1"/>
  <c r="AH672" i="1"/>
  <c r="AA672" i="1"/>
  <c r="Y672" i="1"/>
  <c r="Z672" i="1" s="1"/>
  <c r="G672" i="1"/>
  <c r="D672" i="1"/>
  <c r="C672" i="1"/>
  <c r="AL671" i="1"/>
  <c r="AK671" i="1"/>
  <c r="AJ671" i="1" a="1"/>
  <c r="AJ671" i="1" s="1"/>
  <c r="AN671" i="1" s="1"/>
  <c r="AI671" i="1" a="1"/>
  <c r="AI671" i="1" s="1"/>
  <c r="AM671" i="1" s="1"/>
  <c r="AH671" i="1"/>
  <c r="AA671" i="1"/>
  <c r="Y671" i="1"/>
  <c r="Z671" i="1" s="1"/>
  <c r="G671" i="1"/>
  <c r="D671" i="1"/>
  <c r="C671" i="1"/>
  <c r="AL670" i="1"/>
  <c r="AK670" i="1"/>
  <c r="AJ670" i="1" a="1"/>
  <c r="AJ670" i="1" s="1"/>
  <c r="AN670" i="1" s="1"/>
  <c r="AI670" i="1" a="1"/>
  <c r="AI670" i="1" s="1"/>
  <c r="AM670" i="1" s="1"/>
  <c r="AH670" i="1"/>
  <c r="AA670" i="1"/>
  <c r="Y670" i="1"/>
  <c r="Z670" i="1" s="1"/>
  <c r="G670" i="1"/>
  <c r="D670" i="1"/>
  <c r="C670" i="1"/>
  <c r="AL669" i="1"/>
  <c r="AK669" i="1"/>
  <c r="AJ669" i="1" a="1"/>
  <c r="AJ669" i="1" s="1"/>
  <c r="AN669" i="1" s="1"/>
  <c r="AI669" i="1" a="1"/>
  <c r="AI669" i="1" s="1"/>
  <c r="AM669" i="1" s="1"/>
  <c r="AH669" i="1"/>
  <c r="AA669" i="1"/>
  <c r="Y669" i="1"/>
  <c r="Z669" i="1" s="1"/>
  <c r="G669" i="1"/>
  <c r="D669" i="1"/>
  <c r="C669" i="1"/>
  <c r="AL668" i="1"/>
  <c r="AK668" i="1"/>
  <c r="AJ668" i="1" a="1"/>
  <c r="AJ668" i="1" s="1"/>
  <c r="AN668" i="1" s="1"/>
  <c r="AI668" i="1" a="1"/>
  <c r="AI668" i="1" s="1"/>
  <c r="AM668" i="1" s="1"/>
  <c r="AH668" i="1"/>
  <c r="AA668" i="1"/>
  <c r="Y668" i="1"/>
  <c r="Z668" i="1" s="1"/>
  <c r="G668" i="1"/>
  <c r="D668" i="1"/>
  <c r="C668" i="1"/>
  <c r="AL667" i="1"/>
  <c r="AK667" i="1"/>
  <c r="AJ667" i="1" a="1"/>
  <c r="AJ667" i="1" s="1"/>
  <c r="AN667" i="1" s="1"/>
  <c r="AI667" i="1" a="1"/>
  <c r="AI667" i="1" s="1"/>
  <c r="AM667" i="1" s="1"/>
  <c r="AH667" i="1"/>
  <c r="AA667" i="1"/>
  <c r="Y667" i="1"/>
  <c r="Z667" i="1" s="1"/>
  <c r="G667" i="1"/>
  <c r="D667" i="1"/>
  <c r="C667" i="1"/>
  <c r="AL666" i="1"/>
  <c r="AK666" i="1"/>
  <c r="AJ666" i="1" a="1"/>
  <c r="AJ666" i="1" s="1"/>
  <c r="AN666" i="1" s="1"/>
  <c r="AI666" i="1" a="1"/>
  <c r="AI666" i="1" s="1"/>
  <c r="AM666" i="1" s="1"/>
  <c r="AH666" i="1"/>
  <c r="AA666" i="1"/>
  <c r="Y666" i="1"/>
  <c r="Z666" i="1" s="1"/>
  <c r="G666" i="1"/>
  <c r="D666" i="1"/>
  <c r="C666" i="1"/>
  <c r="AL665" i="1"/>
  <c r="AK665" i="1"/>
  <c r="AJ665" i="1" a="1"/>
  <c r="AJ665" i="1" s="1"/>
  <c r="AN665" i="1" s="1"/>
  <c r="AI665" i="1" a="1"/>
  <c r="AI665" i="1" s="1"/>
  <c r="AM665" i="1" s="1"/>
  <c r="AH665" i="1"/>
  <c r="AA665" i="1"/>
  <c r="Y665" i="1"/>
  <c r="Z665" i="1" s="1"/>
  <c r="G665" i="1"/>
  <c r="D665" i="1"/>
  <c r="C665" i="1"/>
  <c r="AL664" i="1"/>
  <c r="AK664" i="1"/>
  <c r="AJ664" i="1" a="1"/>
  <c r="AJ664" i="1" s="1"/>
  <c r="AN664" i="1" s="1"/>
  <c r="AI664" i="1" a="1"/>
  <c r="AI664" i="1" s="1"/>
  <c r="AM664" i="1" s="1"/>
  <c r="AH664" i="1"/>
  <c r="AA664" i="1"/>
  <c r="Y664" i="1"/>
  <c r="Z664" i="1" s="1"/>
  <c r="G664" i="1"/>
  <c r="D664" i="1"/>
  <c r="C664" i="1"/>
  <c r="AL663" i="1"/>
  <c r="AK663" i="1"/>
  <c r="AJ663" i="1" a="1"/>
  <c r="AJ663" i="1" s="1"/>
  <c r="AN663" i="1" s="1"/>
  <c r="AI663" i="1" a="1"/>
  <c r="AI663" i="1" s="1"/>
  <c r="AM663" i="1" s="1"/>
  <c r="AH663" i="1"/>
  <c r="AA663" i="1"/>
  <c r="Y663" i="1"/>
  <c r="Z663" i="1" s="1"/>
  <c r="G663" i="1"/>
  <c r="D663" i="1"/>
  <c r="C663" i="1"/>
  <c r="AL662" i="1"/>
  <c r="AK662" i="1"/>
  <c r="AJ662" i="1" a="1"/>
  <c r="AJ662" i="1" s="1"/>
  <c r="AN662" i="1" s="1"/>
  <c r="AI662" i="1" a="1"/>
  <c r="AI662" i="1" s="1"/>
  <c r="AM662" i="1" s="1"/>
  <c r="AH662" i="1"/>
  <c r="AA662" i="1"/>
  <c r="Y662" i="1"/>
  <c r="Z662" i="1" s="1"/>
  <c r="G662" i="1"/>
  <c r="D662" i="1"/>
  <c r="C662" i="1"/>
  <c r="AL661" i="1"/>
  <c r="AK661" i="1"/>
  <c r="AJ661" i="1" a="1"/>
  <c r="AJ661" i="1" s="1"/>
  <c r="AN661" i="1" s="1"/>
  <c r="AI661" i="1" a="1"/>
  <c r="AI661" i="1" s="1"/>
  <c r="AM661" i="1" s="1"/>
  <c r="AH661" i="1"/>
  <c r="AA661" i="1"/>
  <c r="Y661" i="1"/>
  <c r="Z661" i="1" s="1"/>
  <c r="G661" i="1"/>
  <c r="D661" i="1"/>
  <c r="C661" i="1"/>
  <c r="AL660" i="1"/>
  <c r="AK660" i="1"/>
  <c r="AJ660" i="1" a="1"/>
  <c r="AJ660" i="1" s="1"/>
  <c r="AN660" i="1" s="1"/>
  <c r="AI660" i="1" a="1"/>
  <c r="AI660" i="1" s="1"/>
  <c r="AM660" i="1" s="1"/>
  <c r="AH660" i="1"/>
  <c r="AA660" i="1"/>
  <c r="Y660" i="1"/>
  <c r="Z660" i="1" s="1"/>
  <c r="G660" i="1"/>
  <c r="D660" i="1"/>
  <c r="C660" i="1"/>
  <c r="AL659" i="1"/>
  <c r="AK659" i="1"/>
  <c r="AJ659" i="1" a="1"/>
  <c r="AJ659" i="1" s="1"/>
  <c r="AN659" i="1" s="1"/>
  <c r="AI659" i="1" a="1"/>
  <c r="AI659" i="1" s="1"/>
  <c r="AM659" i="1" s="1"/>
  <c r="AH659" i="1"/>
  <c r="AA659" i="1"/>
  <c r="Y659" i="1"/>
  <c r="Z659" i="1" s="1"/>
  <c r="G659" i="1"/>
  <c r="D659" i="1"/>
  <c r="C659" i="1"/>
  <c r="AL658" i="1"/>
  <c r="AK658" i="1"/>
  <c r="AJ658" i="1" a="1"/>
  <c r="AJ658" i="1" s="1"/>
  <c r="AN658" i="1" s="1"/>
  <c r="AI658" i="1" a="1"/>
  <c r="AI658" i="1" s="1"/>
  <c r="AM658" i="1" s="1"/>
  <c r="AH658" i="1"/>
  <c r="AA658" i="1"/>
  <c r="Y658" i="1"/>
  <c r="Z658" i="1" s="1"/>
  <c r="G658" i="1"/>
  <c r="D658" i="1"/>
  <c r="C658" i="1"/>
  <c r="AL657" i="1"/>
  <c r="AK657" i="1"/>
  <c r="AJ657" i="1" a="1"/>
  <c r="AJ657" i="1" s="1"/>
  <c r="AN657" i="1" s="1"/>
  <c r="AI657" i="1" a="1"/>
  <c r="AI657" i="1" s="1"/>
  <c r="AM657" i="1" s="1"/>
  <c r="AH657" i="1"/>
  <c r="AA657" i="1"/>
  <c r="Y657" i="1"/>
  <c r="Z657" i="1" s="1"/>
  <c r="G657" i="1"/>
  <c r="D657" i="1"/>
  <c r="C657" i="1"/>
  <c r="AL656" i="1"/>
  <c r="AK656" i="1"/>
  <c r="AJ656" i="1" a="1"/>
  <c r="AJ656" i="1" s="1"/>
  <c r="AN656" i="1" s="1"/>
  <c r="AI656" i="1" a="1"/>
  <c r="AI656" i="1" s="1"/>
  <c r="AM656" i="1" s="1"/>
  <c r="AH656" i="1"/>
  <c r="AA656" i="1"/>
  <c r="Y656" i="1"/>
  <c r="Z656" i="1" s="1"/>
  <c r="G656" i="1"/>
  <c r="D656" i="1"/>
  <c r="C656" i="1"/>
  <c r="AL655" i="1"/>
  <c r="AK655" i="1"/>
  <c r="AJ655" i="1" a="1"/>
  <c r="AJ655" i="1" s="1"/>
  <c r="AN655" i="1" s="1"/>
  <c r="AI655" i="1" a="1"/>
  <c r="AI655" i="1" s="1"/>
  <c r="AM655" i="1" s="1"/>
  <c r="AH655" i="1"/>
  <c r="AA655" i="1"/>
  <c r="Y655" i="1"/>
  <c r="Z655" i="1" s="1"/>
  <c r="G655" i="1"/>
  <c r="D655" i="1"/>
  <c r="C655" i="1"/>
  <c r="AL654" i="1"/>
  <c r="AK654" i="1"/>
  <c r="AJ654" i="1" a="1"/>
  <c r="AJ654" i="1" s="1"/>
  <c r="AN654" i="1" s="1"/>
  <c r="AI654" i="1" a="1"/>
  <c r="AI654" i="1" s="1"/>
  <c r="AM654" i="1" s="1"/>
  <c r="AH654" i="1"/>
  <c r="AA654" i="1"/>
  <c r="Y654" i="1"/>
  <c r="Z654" i="1" s="1"/>
  <c r="G654" i="1"/>
  <c r="D654" i="1"/>
  <c r="C654" i="1"/>
  <c r="AL653" i="1"/>
  <c r="AK653" i="1"/>
  <c r="AJ653" i="1" a="1"/>
  <c r="AJ653" i="1" s="1"/>
  <c r="AN653" i="1" s="1"/>
  <c r="AI653" i="1" a="1"/>
  <c r="AI653" i="1" s="1"/>
  <c r="AM653" i="1" s="1"/>
  <c r="AH653" i="1"/>
  <c r="AA653" i="1"/>
  <c r="Y653" i="1"/>
  <c r="Z653" i="1" s="1"/>
  <c r="G653" i="1"/>
  <c r="D653" i="1"/>
  <c r="C653" i="1"/>
  <c r="AL652" i="1"/>
  <c r="AK652" i="1"/>
  <c r="AJ652" i="1" a="1"/>
  <c r="AJ652" i="1" s="1"/>
  <c r="AN652" i="1" s="1"/>
  <c r="AI652" i="1" a="1"/>
  <c r="AI652" i="1" s="1"/>
  <c r="AM652" i="1" s="1"/>
  <c r="AH652" i="1"/>
  <c r="AA652" i="1"/>
  <c r="Y652" i="1"/>
  <c r="Z652" i="1" s="1"/>
  <c r="G652" i="1"/>
  <c r="D652" i="1"/>
  <c r="C652" i="1"/>
  <c r="AL651" i="1"/>
  <c r="AK651" i="1"/>
  <c r="AJ651" i="1" a="1"/>
  <c r="AJ651" i="1" s="1"/>
  <c r="AN651" i="1" s="1"/>
  <c r="AI651" i="1" a="1"/>
  <c r="AI651" i="1" s="1"/>
  <c r="AM651" i="1" s="1"/>
  <c r="AH651" i="1"/>
  <c r="AA651" i="1"/>
  <c r="Y651" i="1"/>
  <c r="Z651" i="1" s="1"/>
  <c r="G651" i="1"/>
  <c r="D651" i="1"/>
  <c r="C651" i="1"/>
  <c r="AL650" i="1"/>
  <c r="AK650" i="1"/>
  <c r="AJ650" i="1" a="1"/>
  <c r="AJ650" i="1" s="1"/>
  <c r="AN650" i="1" s="1"/>
  <c r="AI650" i="1" a="1"/>
  <c r="AI650" i="1" s="1"/>
  <c r="AM650" i="1" s="1"/>
  <c r="AH650" i="1"/>
  <c r="AA650" i="1"/>
  <c r="Y650" i="1"/>
  <c r="Z650" i="1" s="1"/>
  <c r="G650" i="1"/>
  <c r="D650" i="1"/>
  <c r="C650" i="1"/>
  <c r="AL649" i="1"/>
  <c r="AK649" i="1"/>
  <c r="AJ649" i="1" a="1"/>
  <c r="AJ649" i="1" s="1"/>
  <c r="AN649" i="1" s="1"/>
  <c r="AI649" i="1" a="1"/>
  <c r="AI649" i="1" s="1"/>
  <c r="AM649" i="1" s="1"/>
  <c r="AH649" i="1"/>
  <c r="AA649" i="1"/>
  <c r="Y649" i="1"/>
  <c r="Z649" i="1" s="1"/>
  <c r="G649" i="1"/>
  <c r="D649" i="1"/>
  <c r="C649" i="1"/>
  <c r="AL648" i="1"/>
  <c r="AK648" i="1"/>
  <c r="AJ648" i="1" a="1"/>
  <c r="AJ648" i="1" s="1"/>
  <c r="AN648" i="1" s="1"/>
  <c r="AI648" i="1" a="1"/>
  <c r="AI648" i="1" s="1"/>
  <c r="AM648" i="1" s="1"/>
  <c r="AH648" i="1"/>
  <c r="AA648" i="1"/>
  <c r="Y648" i="1"/>
  <c r="Z648" i="1" s="1"/>
  <c r="G648" i="1"/>
  <c r="D648" i="1"/>
  <c r="C648" i="1"/>
  <c r="AL647" i="1"/>
  <c r="AK647" i="1"/>
  <c r="AJ647" i="1" a="1"/>
  <c r="AJ647" i="1" s="1"/>
  <c r="AN647" i="1" s="1"/>
  <c r="AI647" i="1" a="1"/>
  <c r="AI647" i="1" s="1"/>
  <c r="AM647" i="1" s="1"/>
  <c r="AH647" i="1"/>
  <c r="AA647" i="1"/>
  <c r="Y647" i="1"/>
  <c r="Z647" i="1" s="1"/>
  <c r="G647" i="1"/>
  <c r="D647" i="1"/>
  <c r="C647" i="1"/>
  <c r="AL646" i="1"/>
  <c r="AK646" i="1"/>
  <c r="AJ646" i="1" a="1"/>
  <c r="AJ646" i="1" s="1"/>
  <c r="AN646" i="1" s="1"/>
  <c r="AI646" i="1" a="1"/>
  <c r="AI646" i="1" s="1"/>
  <c r="AM646" i="1" s="1"/>
  <c r="AH646" i="1"/>
  <c r="AA646" i="1"/>
  <c r="Y646" i="1"/>
  <c r="Z646" i="1" s="1"/>
  <c r="G646" i="1"/>
  <c r="D646" i="1"/>
  <c r="C646" i="1"/>
  <c r="AL645" i="1"/>
  <c r="AK645" i="1"/>
  <c r="AJ645" i="1" a="1"/>
  <c r="AJ645" i="1" s="1"/>
  <c r="AN645" i="1" s="1"/>
  <c r="AI645" i="1" a="1"/>
  <c r="AI645" i="1" s="1"/>
  <c r="AM645" i="1" s="1"/>
  <c r="AH645" i="1"/>
  <c r="AA645" i="1"/>
  <c r="Y645" i="1"/>
  <c r="Z645" i="1" s="1"/>
  <c r="G645" i="1"/>
  <c r="D645" i="1"/>
  <c r="C645" i="1"/>
  <c r="AL644" i="1"/>
  <c r="AK644" i="1"/>
  <c r="AJ644" i="1" a="1"/>
  <c r="AJ644" i="1" s="1"/>
  <c r="AN644" i="1" s="1"/>
  <c r="AI644" i="1" a="1"/>
  <c r="AI644" i="1" s="1"/>
  <c r="AM644" i="1" s="1"/>
  <c r="AH644" i="1"/>
  <c r="AA644" i="1"/>
  <c r="Y644" i="1"/>
  <c r="Z644" i="1" s="1"/>
  <c r="G644" i="1"/>
  <c r="D644" i="1"/>
  <c r="C644" i="1"/>
  <c r="AL643" i="1"/>
  <c r="AK643" i="1"/>
  <c r="AJ643" i="1" a="1"/>
  <c r="AJ643" i="1" s="1"/>
  <c r="AN643" i="1" s="1"/>
  <c r="AI643" i="1" a="1"/>
  <c r="AI643" i="1" s="1"/>
  <c r="AM643" i="1" s="1"/>
  <c r="AH643" i="1"/>
  <c r="AA643" i="1"/>
  <c r="Y643" i="1"/>
  <c r="Z643" i="1" s="1"/>
  <c r="G643" i="1"/>
  <c r="D643" i="1"/>
  <c r="C643" i="1"/>
  <c r="AL642" i="1"/>
  <c r="AK642" i="1"/>
  <c r="AJ642" i="1" a="1"/>
  <c r="AJ642" i="1" s="1"/>
  <c r="AN642" i="1" s="1"/>
  <c r="AI642" i="1" a="1"/>
  <c r="AI642" i="1" s="1"/>
  <c r="AM642" i="1" s="1"/>
  <c r="AH642" i="1"/>
  <c r="AA642" i="1"/>
  <c r="Y642" i="1"/>
  <c r="Z642" i="1" s="1"/>
  <c r="G642" i="1"/>
  <c r="D642" i="1"/>
  <c r="C642" i="1"/>
  <c r="AL641" i="1"/>
  <c r="AK641" i="1"/>
  <c r="AJ641" i="1" a="1"/>
  <c r="AJ641" i="1" s="1"/>
  <c r="AN641" i="1" s="1"/>
  <c r="AI641" i="1" a="1"/>
  <c r="AI641" i="1" s="1"/>
  <c r="AM641" i="1" s="1"/>
  <c r="AH641" i="1"/>
  <c r="AA641" i="1"/>
  <c r="Y641" i="1"/>
  <c r="Z641" i="1" s="1"/>
  <c r="G641" i="1"/>
  <c r="D641" i="1"/>
  <c r="C641" i="1"/>
  <c r="AL640" i="1"/>
  <c r="AK640" i="1"/>
  <c r="AJ640" i="1" a="1"/>
  <c r="AJ640" i="1" s="1"/>
  <c r="AN640" i="1" s="1"/>
  <c r="AI640" i="1" a="1"/>
  <c r="AI640" i="1" s="1"/>
  <c r="AM640" i="1" s="1"/>
  <c r="AH640" i="1"/>
  <c r="AA640" i="1"/>
  <c r="Y640" i="1"/>
  <c r="Z640" i="1" s="1"/>
  <c r="G640" i="1"/>
  <c r="D640" i="1"/>
  <c r="C640" i="1"/>
  <c r="AL639" i="1"/>
  <c r="AK639" i="1"/>
  <c r="AJ639" i="1" a="1"/>
  <c r="AJ639" i="1" s="1"/>
  <c r="AN639" i="1" s="1"/>
  <c r="AI639" i="1" a="1"/>
  <c r="AI639" i="1" s="1"/>
  <c r="AM639" i="1" s="1"/>
  <c r="AH639" i="1"/>
  <c r="AA639" i="1"/>
  <c r="Y639" i="1"/>
  <c r="Z639" i="1" s="1"/>
  <c r="G639" i="1"/>
  <c r="D639" i="1"/>
  <c r="C639" i="1"/>
  <c r="AL638" i="1"/>
  <c r="AK638" i="1"/>
  <c r="AJ638" i="1" a="1"/>
  <c r="AJ638" i="1" s="1"/>
  <c r="AN638" i="1" s="1"/>
  <c r="AI638" i="1" a="1"/>
  <c r="AI638" i="1" s="1"/>
  <c r="AM638" i="1" s="1"/>
  <c r="AH638" i="1"/>
  <c r="AA638" i="1"/>
  <c r="Y638" i="1"/>
  <c r="Z638" i="1" s="1"/>
  <c r="G638" i="1"/>
  <c r="D638" i="1"/>
  <c r="C638" i="1"/>
  <c r="AL637" i="1"/>
  <c r="AK637" i="1"/>
  <c r="AJ637" i="1" a="1"/>
  <c r="AJ637" i="1" s="1"/>
  <c r="AN637" i="1" s="1"/>
  <c r="AI637" i="1" a="1"/>
  <c r="AI637" i="1" s="1"/>
  <c r="AM637" i="1" s="1"/>
  <c r="AH637" i="1"/>
  <c r="AA637" i="1"/>
  <c r="Y637" i="1"/>
  <c r="Z637" i="1" s="1"/>
  <c r="G637" i="1"/>
  <c r="D637" i="1"/>
  <c r="C637" i="1"/>
  <c r="AL636" i="1"/>
  <c r="AK636" i="1"/>
  <c r="AJ636" i="1" a="1"/>
  <c r="AJ636" i="1" s="1"/>
  <c r="AN636" i="1" s="1"/>
  <c r="AI636" i="1" a="1"/>
  <c r="AI636" i="1" s="1"/>
  <c r="AM636" i="1" s="1"/>
  <c r="AH636" i="1"/>
  <c r="AA636" i="1"/>
  <c r="Y636" i="1"/>
  <c r="Z636" i="1" s="1"/>
  <c r="G636" i="1"/>
  <c r="D636" i="1"/>
  <c r="C636" i="1"/>
  <c r="AL635" i="1"/>
  <c r="AK635" i="1"/>
  <c r="AJ635" i="1" a="1"/>
  <c r="AJ635" i="1" s="1"/>
  <c r="AN635" i="1" s="1"/>
  <c r="AI635" i="1" a="1"/>
  <c r="AI635" i="1" s="1"/>
  <c r="AM635" i="1" s="1"/>
  <c r="AH635" i="1"/>
  <c r="AA635" i="1"/>
  <c r="Y635" i="1"/>
  <c r="Z635" i="1" s="1"/>
  <c r="G635" i="1"/>
  <c r="D635" i="1"/>
  <c r="C635" i="1"/>
  <c r="AL634" i="1"/>
  <c r="AK634" i="1"/>
  <c r="AJ634" i="1" a="1"/>
  <c r="AJ634" i="1" s="1"/>
  <c r="AN634" i="1" s="1"/>
  <c r="AI634" i="1" a="1"/>
  <c r="AI634" i="1" s="1"/>
  <c r="AM634" i="1" s="1"/>
  <c r="AH634" i="1"/>
  <c r="AA634" i="1"/>
  <c r="Y634" i="1"/>
  <c r="Z634" i="1" s="1"/>
  <c r="G634" i="1"/>
  <c r="D634" i="1"/>
  <c r="C634" i="1"/>
  <c r="AL633" i="1"/>
  <c r="AK633" i="1"/>
  <c r="AJ633" i="1" a="1"/>
  <c r="AJ633" i="1" s="1"/>
  <c r="AN633" i="1" s="1"/>
  <c r="AI633" i="1" a="1"/>
  <c r="AI633" i="1" s="1"/>
  <c r="AM633" i="1" s="1"/>
  <c r="AH633" i="1"/>
  <c r="AA633" i="1"/>
  <c r="Y633" i="1"/>
  <c r="Z633" i="1" s="1"/>
  <c r="G633" i="1"/>
  <c r="D633" i="1"/>
  <c r="C633" i="1"/>
  <c r="AL632" i="1"/>
  <c r="AK632" i="1"/>
  <c r="AJ632" i="1" a="1"/>
  <c r="AJ632" i="1" s="1"/>
  <c r="AN632" i="1" s="1"/>
  <c r="AI632" i="1" a="1"/>
  <c r="AI632" i="1" s="1"/>
  <c r="AM632" i="1" s="1"/>
  <c r="AH632" i="1"/>
  <c r="AA632" i="1"/>
  <c r="Y632" i="1"/>
  <c r="Z632" i="1" s="1"/>
  <c r="G632" i="1"/>
  <c r="D632" i="1"/>
  <c r="C632" i="1"/>
  <c r="AL631" i="1"/>
  <c r="AK631" i="1"/>
  <c r="AJ631" i="1" a="1"/>
  <c r="AJ631" i="1" s="1"/>
  <c r="AN631" i="1" s="1"/>
  <c r="AI631" i="1" a="1"/>
  <c r="AI631" i="1" s="1"/>
  <c r="AM631" i="1" s="1"/>
  <c r="AH631" i="1"/>
  <c r="AA631" i="1"/>
  <c r="Y631" i="1"/>
  <c r="Z631" i="1" s="1"/>
  <c r="G631" i="1"/>
  <c r="D631" i="1"/>
  <c r="C631" i="1"/>
  <c r="AL630" i="1"/>
  <c r="AK630" i="1"/>
  <c r="AJ630" i="1" a="1"/>
  <c r="AJ630" i="1" s="1"/>
  <c r="AN630" i="1" s="1"/>
  <c r="AI630" i="1" a="1"/>
  <c r="AI630" i="1" s="1"/>
  <c r="AM630" i="1" s="1"/>
  <c r="AH630" i="1"/>
  <c r="AA630" i="1"/>
  <c r="Y630" i="1"/>
  <c r="Z630" i="1" s="1"/>
  <c r="G630" i="1"/>
  <c r="D630" i="1"/>
  <c r="C630" i="1"/>
  <c r="AL629" i="1"/>
  <c r="AK629" i="1"/>
  <c r="AJ629" i="1" a="1"/>
  <c r="AJ629" i="1" s="1"/>
  <c r="AN629" i="1" s="1"/>
  <c r="AI629" i="1" a="1"/>
  <c r="AI629" i="1" s="1"/>
  <c r="AM629" i="1" s="1"/>
  <c r="AH629" i="1"/>
  <c r="AA629" i="1"/>
  <c r="Y629" i="1"/>
  <c r="Z629" i="1" s="1"/>
  <c r="G629" i="1"/>
  <c r="D629" i="1"/>
  <c r="C629" i="1"/>
  <c r="AL628" i="1"/>
  <c r="AK628" i="1"/>
  <c r="AJ628" i="1" a="1"/>
  <c r="AJ628" i="1" s="1"/>
  <c r="AN628" i="1" s="1"/>
  <c r="AI628" i="1" a="1"/>
  <c r="AI628" i="1" s="1"/>
  <c r="AM628" i="1" s="1"/>
  <c r="AH628" i="1"/>
  <c r="AA628" i="1"/>
  <c r="Y628" i="1"/>
  <c r="Z628" i="1" s="1"/>
  <c r="G628" i="1"/>
  <c r="D628" i="1"/>
  <c r="C628" i="1"/>
  <c r="AL627" i="1"/>
  <c r="AK627" i="1"/>
  <c r="AJ627" i="1" a="1"/>
  <c r="AJ627" i="1" s="1"/>
  <c r="AN627" i="1" s="1"/>
  <c r="AI627" i="1" a="1"/>
  <c r="AI627" i="1" s="1"/>
  <c r="AM627" i="1" s="1"/>
  <c r="AH627" i="1"/>
  <c r="AA627" i="1"/>
  <c r="Y627" i="1"/>
  <c r="Z627" i="1" s="1"/>
  <c r="G627" i="1"/>
  <c r="D627" i="1"/>
  <c r="C627" i="1"/>
  <c r="AL626" i="1"/>
  <c r="AK626" i="1"/>
  <c r="AJ626" i="1" a="1"/>
  <c r="AJ626" i="1" s="1"/>
  <c r="AN626" i="1" s="1"/>
  <c r="AI626" i="1" a="1"/>
  <c r="AI626" i="1" s="1"/>
  <c r="AM626" i="1" s="1"/>
  <c r="AH626" i="1"/>
  <c r="AA626" i="1"/>
  <c r="Y626" i="1"/>
  <c r="Z626" i="1" s="1"/>
  <c r="G626" i="1"/>
  <c r="D626" i="1"/>
  <c r="C626" i="1"/>
  <c r="AL625" i="1"/>
  <c r="AK625" i="1"/>
  <c r="AJ625" i="1" a="1"/>
  <c r="AJ625" i="1" s="1"/>
  <c r="AN625" i="1" s="1"/>
  <c r="AI625" i="1" a="1"/>
  <c r="AI625" i="1" s="1"/>
  <c r="AM625" i="1" s="1"/>
  <c r="AH625" i="1"/>
  <c r="AA625" i="1"/>
  <c r="Y625" i="1"/>
  <c r="Z625" i="1" s="1"/>
  <c r="G625" i="1"/>
  <c r="D625" i="1"/>
  <c r="C625" i="1"/>
  <c r="AL624" i="1"/>
  <c r="AK624" i="1"/>
  <c r="AJ624" i="1" a="1"/>
  <c r="AJ624" i="1" s="1"/>
  <c r="AN624" i="1" s="1"/>
  <c r="AI624" i="1" a="1"/>
  <c r="AI624" i="1" s="1"/>
  <c r="AM624" i="1" s="1"/>
  <c r="AH624" i="1"/>
  <c r="AA624" i="1"/>
  <c r="Y624" i="1"/>
  <c r="Z624" i="1" s="1"/>
  <c r="G624" i="1"/>
  <c r="D624" i="1"/>
  <c r="C624" i="1"/>
  <c r="AL623" i="1"/>
  <c r="AK623" i="1"/>
  <c r="AJ623" i="1" a="1"/>
  <c r="AJ623" i="1" s="1"/>
  <c r="AN623" i="1" s="1"/>
  <c r="AI623" i="1" a="1"/>
  <c r="AI623" i="1" s="1"/>
  <c r="AM623" i="1" s="1"/>
  <c r="AH623" i="1"/>
  <c r="AA623" i="1"/>
  <c r="Y623" i="1"/>
  <c r="Z623" i="1" s="1"/>
  <c r="G623" i="1"/>
  <c r="D623" i="1"/>
  <c r="C623" i="1"/>
  <c r="AL622" i="1"/>
  <c r="AK622" i="1"/>
  <c r="AJ622" i="1" a="1"/>
  <c r="AJ622" i="1" s="1"/>
  <c r="AN622" i="1" s="1"/>
  <c r="AI622" i="1" a="1"/>
  <c r="AI622" i="1" s="1"/>
  <c r="AM622" i="1" s="1"/>
  <c r="AH622" i="1"/>
  <c r="AA622" i="1"/>
  <c r="Y622" i="1"/>
  <c r="Z622" i="1" s="1"/>
  <c r="G622" i="1"/>
  <c r="D622" i="1"/>
  <c r="C622" i="1"/>
  <c r="AL621" i="1"/>
  <c r="AK621" i="1"/>
  <c r="AJ621" i="1" a="1"/>
  <c r="AJ621" i="1" s="1"/>
  <c r="AN621" i="1" s="1"/>
  <c r="AI621" i="1" a="1"/>
  <c r="AI621" i="1" s="1"/>
  <c r="AM621" i="1" s="1"/>
  <c r="AH621" i="1"/>
  <c r="AA621" i="1"/>
  <c r="Y621" i="1"/>
  <c r="Z621" i="1" s="1"/>
  <c r="G621" i="1"/>
  <c r="D621" i="1"/>
  <c r="C621" i="1"/>
  <c r="AL620" i="1"/>
  <c r="AK620" i="1"/>
  <c r="AJ620" i="1" a="1"/>
  <c r="AJ620" i="1" s="1"/>
  <c r="AN620" i="1" s="1"/>
  <c r="AI620" i="1" a="1"/>
  <c r="AI620" i="1" s="1"/>
  <c r="AM620" i="1" s="1"/>
  <c r="AH620" i="1"/>
  <c r="AA620" i="1"/>
  <c r="Y620" i="1"/>
  <c r="Z620" i="1" s="1"/>
  <c r="G620" i="1"/>
  <c r="D620" i="1"/>
  <c r="C620" i="1"/>
  <c r="AL619" i="1"/>
  <c r="AK619" i="1"/>
  <c r="AJ619" i="1" a="1"/>
  <c r="AJ619" i="1" s="1"/>
  <c r="AN619" i="1" s="1"/>
  <c r="AI619" i="1" a="1"/>
  <c r="AI619" i="1" s="1"/>
  <c r="AM619" i="1" s="1"/>
  <c r="AH619" i="1"/>
  <c r="AA619" i="1"/>
  <c r="Y619" i="1"/>
  <c r="Z619" i="1" s="1"/>
  <c r="G619" i="1"/>
  <c r="D619" i="1"/>
  <c r="C619" i="1"/>
  <c r="AL618" i="1"/>
  <c r="AK618" i="1"/>
  <c r="AJ618" i="1" a="1"/>
  <c r="AJ618" i="1" s="1"/>
  <c r="AN618" i="1" s="1"/>
  <c r="AI618" i="1" a="1"/>
  <c r="AI618" i="1" s="1"/>
  <c r="AM618" i="1" s="1"/>
  <c r="AH618" i="1"/>
  <c r="AA618" i="1"/>
  <c r="Y618" i="1"/>
  <c r="Z618" i="1" s="1"/>
  <c r="G618" i="1"/>
  <c r="D618" i="1"/>
  <c r="C618" i="1"/>
  <c r="AL617" i="1"/>
  <c r="AK617" i="1"/>
  <c r="AJ617" i="1" a="1"/>
  <c r="AJ617" i="1" s="1"/>
  <c r="AN617" i="1" s="1"/>
  <c r="AI617" i="1" a="1"/>
  <c r="AI617" i="1" s="1"/>
  <c r="AM617" i="1" s="1"/>
  <c r="AH617" i="1"/>
  <c r="AA617" i="1"/>
  <c r="Y617" i="1"/>
  <c r="Z617" i="1" s="1"/>
  <c r="G617" i="1"/>
  <c r="D617" i="1"/>
  <c r="C617" i="1"/>
  <c r="AL616" i="1"/>
  <c r="AK616" i="1"/>
  <c r="AJ616" i="1" a="1"/>
  <c r="AJ616" i="1" s="1"/>
  <c r="AN616" i="1" s="1"/>
  <c r="AI616" i="1" a="1"/>
  <c r="AI616" i="1" s="1"/>
  <c r="AM616" i="1" s="1"/>
  <c r="AH616" i="1"/>
  <c r="AA616" i="1"/>
  <c r="Y616" i="1"/>
  <c r="Z616" i="1" s="1"/>
  <c r="G616" i="1"/>
  <c r="D616" i="1"/>
  <c r="C616" i="1"/>
  <c r="AL615" i="1"/>
  <c r="AK615" i="1"/>
  <c r="AJ615" i="1" a="1"/>
  <c r="AJ615" i="1" s="1"/>
  <c r="AN615" i="1" s="1"/>
  <c r="AI615" i="1" a="1"/>
  <c r="AI615" i="1" s="1"/>
  <c r="AM615" i="1" s="1"/>
  <c r="AH615" i="1"/>
  <c r="AA615" i="1"/>
  <c r="Y615" i="1"/>
  <c r="Z615" i="1" s="1"/>
  <c r="G615" i="1"/>
  <c r="D615" i="1"/>
  <c r="C615" i="1"/>
  <c r="AL614" i="1"/>
  <c r="AK614" i="1"/>
  <c r="AJ614" i="1" a="1"/>
  <c r="AJ614" i="1" s="1"/>
  <c r="AN614" i="1" s="1"/>
  <c r="AI614" i="1" a="1"/>
  <c r="AI614" i="1" s="1"/>
  <c r="AM614" i="1" s="1"/>
  <c r="AH614" i="1"/>
  <c r="AA614" i="1"/>
  <c r="Y614" i="1"/>
  <c r="Z614" i="1" s="1"/>
  <c r="G614" i="1"/>
  <c r="D614" i="1"/>
  <c r="C614" i="1"/>
  <c r="AL613" i="1"/>
  <c r="AK613" i="1"/>
  <c r="AJ613" i="1" a="1"/>
  <c r="AJ613" i="1" s="1"/>
  <c r="AN613" i="1" s="1"/>
  <c r="AI613" i="1" a="1"/>
  <c r="AI613" i="1" s="1"/>
  <c r="AM613" i="1" s="1"/>
  <c r="AH613" i="1"/>
  <c r="AA613" i="1"/>
  <c r="Y613" i="1"/>
  <c r="Z613" i="1" s="1"/>
  <c r="G613" i="1"/>
  <c r="D613" i="1"/>
  <c r="C613" i="1"/>
  <c r="AL612" i="1"/>
  <c r="AK612" i="1"/>
  <c r="AJ612" i="1" a="1"/>
  <c r="AJ612" i="1" s="1"/>
  <c r="AN612" i="1" s="1"/>
  <c r="AI612" i="1" a="1"/>
  <c r="AI612" i="1" s="1"/>
  <c r="AM612" i="1" s="1"/>
  <c r="AH612" i="1"/>
  <c r="AA612" i="1"/>
  <c r="Y612" i="1"/>
  <c r="Z612" i="1" s="1"/>
  <c r="G612" i="1"/>
  <c r="D612" i="1"/>
  <c r="C612" i="1"/>
  <c r="AL611" i="1"/>
  <c r="AK611" i="1"/>
  <c r="AJ611" i="1" a="1"/>
  <c r="AJ611" i="1" s="1"/>
  <c r="AN611" i="1" s="1"/>
  <c r="AI611" i="1" a="1"/>
  <c r="AI611" i="1" s="1"/>
  <c r="AM611" i="1" s="1"/>
  <c r="AH611" i="1"/>
  <c r="AA611" i="1"/>
  <c r="Y611" i="1"/>
  <c r="Z611" i="1" s="1"/>
  <c r="G611" i="1"/>
  <c r="D611" i="1"/>
  <c r="C611" i="1"/>
  <c r="AL610" i="1"/>
  <c r="AK610" i="1"/>
  <c r="AJ610" i="1" a="1"/>
  <c r="AJ610" i="1" s="1"/>
  <c r="AN610" i="1" s="1"/>
  <c r="AI610" i="1" a="1"/>
  <c r="AI610" i="1" s="1"/>
  <c r="AM610" i="1" s="1"/>
  <c r="AH610" i="1"/>
  <c r="AA610" i="1"/>
  <c r="Y610" i="1"/>
  <c r="Z610" i="1" s="1"/>
  <c r="G610" i="1"/>
  <c r="D610" i="1"/>
  <c r="C610" i="1"/>
  <c r="AL609" i="1"/>
  <c r="AK609" i="1"/>
  <c r="AJ609" i="1" a="1"/>
  <c r="AJ609" i="1" s="1"/>
  <c r="AN609" i="1" s="1"/>
  <c r="AI609" i="1" a="1"/>
  <c r="AI609" i="1" s="1"/>
  <c r="AM609" i="1" s="1"/>
  <c r="AH609" i="1"/>
  <c r="AA609" i="1"/>
  <c r="Y609" i="1"/>
  <c r="Z609" i="1" s="1"/>
  <c r="G609" i="1"/>
  <c r="D609" i="1"/>
  <c r="C609" i="1"/>
  <c r="AL608" i="1"/>
  <c r="AK608" i="1"/>
  <c r="AJ608" i="1" a="1"/>
  <c r="AJ608" i="1" s="1"/>
  <c r="AN608" i="1" s="1"/>
  <c r="AI608" i="1" a="1"/>
  <c r="AI608" i="1" s="1"/>
  <c r="AM608" i="1" s="1"/>
  <c r="AH608" i="1"/>
  <c r="AA608" i="1"/>
  <c r="Y608" i="1"/>
  <c r="Z608" i="1" s="1"/>
  <c r="G608" i="1"/>
  <c r="D608" i="1"/>
  <c r="C608" i="1"/>
  <c r="AL607" i="1"/>
  <c r="AK607" i="1"/>
  <c r="AJ607" i="1" a="1"/>
  <c r="AJ607" i="1" s="1"/>
  <c r="AN607" i="1" s="1"/>
  <c r="AI607" i="1" a="1"/>
  <c r="AI607" i="1" s="1"/>
  <c r="AM607" i="1" s="1"/>
  <c r="AH607" i="1"/>
  <c r="AA607" i="1"/>
  <c r="Y607" i="1"/>
  <c r="Z607" i="1" s="1"/>
  <c r="G607" i="1"/>
  <c r="D607" i="1"/>
  <c r="C607" i="1"/>
  <c r="AL606" i="1"/>
  <c r="AK606" i="1"/>
  <c r="AJ606" i="1" a="1"/>
  <c r="AJ606" i="1" s="1"/>
  <c r="AN606" i="1" s="1"/>
  <c r="AI606" i="1" a="1"/>
  <c r="AI606" i="1" s="1"/>
  <c r="AM606" i="1" s="1"/>
  <c r="AH606" i="1"/>
  <c r="AA606" i="1"/>
  <c r="Y606" i="1"/>
  <c r="Z606" i="1" s="1"/>
  <c r="G606" i="1"/>
  <c r="D606" i="1"/>
  <c r="C606" i="1"/>
  <c r="AL605" i="1"/>
  <c r="AK605" i="1"/>
  <c r="AJ605" i="1" a="1"/>
  <c r="AJ605" i="1" s="1"/>
  <c r="AN605" i="1" s="1"/>
  <c r="AI605" i="1" a="1"/>
  <c r="AI605" i="1" s="1"/>
  <c r="AM605" i="1" s="1"/>
  <c r="AH605" i="1"/>
  <c r="AA605" i="1"/>
  <c r="Y605" i="1"/>
  <c r="Z605" i="1" s="1"/>
  <c r="G605" i="1"/>
  <c r="D605" i="1"/>
  <c r="C605" i="1"/>
  <c r="AL604" i="1"/>
  <c r="AK604" i="1"/>
  <c r="AJ604" i="1" a="1"/>
  <c r="AJ604" i="1" s="1"/>
  <c r="AN604" i="1" s="1"/>
  <c r="AI604" i="1" a="1"/>
  <c r="AI604" i="1" s="1"/>
  <c r="AM604" i="1" s="1"/>
  <c r="AH604" i="1"/>
  <c r="AA604" i="1"/>
  <c r="Y604" i="1"/>
  <c r="Z604" i="1" s="1"/>
  <c r="G604" i="1"/>
  <c r="D604" i="1"/>
  <c r="C604" i="1"/>
  <c r="AL603" i="1"/>
  <c r="AK603" i="1"/>
  <c r="AJ603" i="1" a="1"/>
  <c r="AJ603" i="1" s="1"/>
  <c r="AN603" i="1" s="1"/>
  <c r="AI603" i="1" a="1"/>
  <c r="AI603" i="1" s="1"/>
  <c r="AM603" i="1" s="1"/>
  <c r="AH603" i="1"/>
  <c r="AA603" i="1"/>
  <c r="Y603" i="1"/>
  <c r="Z603" i="1" s="1"/>
  <c r="G603" i="1"/>
  <c r="D603" i="1"/>
  <c r="C603" i="1"/>
  <c r="AL602" i="1"/>
  <c r="AK602" i="1"/>
  <c r="AJ602" i="1" a="1"/>
  <c r="AJ602" i="1" s="1"/>
  <c r="AN602" i="1" s="1"/>
  <c r="AI602" i="1" a="1"/>
  <c r="AI602" i="1" s="1"/>
  <c r="AM602" i="1" s="1"/>
  <c r="AH602" i="1"/>
  <c r="AA602" i="1"/>
  <c r="Y602" i="1"/>
  <c r="Z602" i="1" s="1"/>
  <c r="G602" i="1"/>
  <c r="D602" i="1"/>
  <c r="C602" i="1"/>
  <c r="AL601" i="1"/>
  <c r="AK601" i="1"/>
  <c r="AJ601" i="1" a="1"/>
  <c r="AJ601" i="1" s="1"/>
  <c r="AN601" i="1" s="1"/>
  <c r="AI601" i="1" a="1"/>
  <c r="AI601" i="1" s="1"/>
  <c r="AM601" i="1" s="1"/>
  <c r="AH601" i="1"/>
  <c r="AA601" i="1"/>
  <c r="Y601" i="1"/>
  <c r="Z601" i="1" s="1"/>
  <c r="G601" i="1"/>
  <c r="D601" i="1"/>
  <c r="C601" i="1"/>
  <c r="AL600" i="1"/>
  <c r="AK600" i="1"/>
  <c r="AJ600" i="1" a="1"/>
  <c r="AJ600" i="1" s="1"/>
  <c r="AN600" i="1" s="1"/>
  <c r="AI600" i="1" a="1"/>
  <c r="AI600" i="1" s="1"/>
  <c r="AM600" i="1" s="1"/>
  <c r="AH600" i="1"/>
  <c r="AA600" i="1"/>
  <c r="Y600" i="1"/>
  <c r="Z600" i="1" s="1"/>
  <c r="G600" i="1"/>
  <c r="D600" i="1"/>
  <c r="C600" i="1"/>
  <c r="AL599" i="1"/>
  <c r="AK599" i="1"/>
  <c r="AJ599" i="1" a="1"/>
  <c r="AJ599" i="1" s="1"/>
  <c r="AN599" i="1" s="1"/>
  <c r="AI599" i="1" a="1"/>
  <c r="AI599" i="1" s="1"/>
  <c r="AM599" i="1" s="1"/>
  <c r="AH599" i="1"/>
  <c r="AA599" i="1"/>
  <c r="Y599" i="1"/>
  <c r="Z599" i="1" s="1"/>
  <c r="G599" i="1"/>
  <c r="D599" i="1"/>
  <c r="C599" i="1"/>
  <c r="AL598" i="1"/>
  <c r="AK598" i="1"/>
  <c r="AJ598" i="1" a="1"/>
  <c r="AJ598" i="1" s="1"/>
  <c r="AN598" i="1" s="1"/>
  <c r="AI598" i="1" a="1"/>
  <c r="AI598" i="1" s="1"/>
  <c r="AM598" i="1" s="1"/>
  <c r="AH598" i="1"/>
  <c r="AA598" i="1"/>
  <c r="Y598" i="1"/>
  <c r="Z598" i="1" s="1"/>
  <c r="G598" i="1"/>
  <c r="D598" i="1"/>
  <c r="C598" i="1"/>
  <c r="AL597" i="1"/>
  <c r="AK597" i="1"/>
  <c r="AJ597" i="1" a="1"/>
  <c r="AJ597" i="1" s="1"/>
  <c r="AN597" i="1" s="1"/>
  <c r="AI597" i="1" a="1"/>
  <c r="AI597" i="1" s="1"/>
  <c r="AM597" i="1" s="1"/>
  <c r="AH597" i="1"/>
  <c r="AA597" i="1"/>
  <c r="Y597" i="1"/>
  <c r="Z597" i="1" s="1"/>
  <c r="G597" i="1"/>
  <c r="D597" i="1"/>
  <c r="C597" i="1"/>
  <c r="AL596" i="1"/>
  <c r="AK596" i="1"/>
  <c r="AJ596" i="1" a="1"/>
  <c r="AJ596" i="1" s="1"/>
  <c r="AN596" i="1" s="1"/>
  <c r="AI596" i="1" a="1"/>
  <c r="AI596" i="1" s="1"/>
  <c r="AM596" i="1" s="1"/>
  <c r="AH596" i="1"/>
  <c r="AA596" i="1"/>
  <c r="Y596" i="1"/>
  <c r="Z596" i="1" s="1"/>
  <c r="G596" i="1"/>
  <c r="D596" i="1"/>
  <c r="C596" i="1"/>
  <c r="AL595" i="1"/>
  <c r="AK595" i="1"/>
  <c r="AJ595" i="1" a="1"/>
  <c r="AJ595" i="1" s="1"/>
  <c r="AN595" i="1" s="1"/>
  <c r="AI595" i="1" a="1"/>
  <c r="AI595" i="1" s="1"/>
  <c r="AM595" i="1" s="1"/>
  <c r="AH595" i="1"/>
  <c r="AA595" i="1"/>
  <c r="Y595" i="1"/>
  <c r="Z595" i="1" s="1"/>
  <c r="G595" i="1"/>
  <c r="D595" i="1"/>
  <c r="C595" i="1"/>
  <c r="AL594" i="1"/>
  <c r="AK594" i="1"/>
  <c r="AJ594" i="1" a="1"/>
  <c r="AJ594" i="1" s="1"/>
  <c r="AN594" i="1" s="1"/>
  <c r="AI594" i="1" a="1"/>
  <c r="AI594" i="1" s="1"/>
  <c r="AM594" i="1" s="1"/>
  <c r="AH594" i="1"/>
  <c r="AA594" i="1"/>
  <c r="Y594" i="1"/>
  <c r="Z594" i="1" s="1"/>
  <c r="G594" i="1"/>
  <c r="D594" i="1"/>
  <c r="C594" i="1"/>
  <c r="AL593" i="1"/>
  <c r="AK593" i="1"/>
  <c r="AJ593" i="1" a="1"/>
  <c r="AJ593" i="1" s="1"/>
  <c r="AN593" i="1" s="1"/>
  <c r="AI593" i="1" a="1"/>
  <c r="AI593" i="1" s="1"/>
  <c r="AM593" i="1" s="1"/>
  <c r="AH593" i="1"/>
  <c r="AA593" i="1"/>
  <c r="Y593" i="1"/>
  <c r="Z593" i="1" s="1"/>
  <c r="G593" i="1"/>
  <c r="D593" i="1"/>
  <c r="C593" i="1"/>
  <c r="AL592" i="1"/>
  <c r="AK592" i="1"/>
  <c r="AJ592" i="1" a="1"/>
  <c r="AJ592" i="1" s="1"/>
  <c r="AN592" i="1" s="1"/>
  <c r="AI592" i="1" a="1"/>
  <c r="AI592" i="1" s="1"/>
  <c r="AM592" i="1" s="1"/>
  <c r="AH592" i="1"/>
  <c r="AA592" i="1"/>
  <c r="Y592" i="1"/>
  <c r="Z592" i="1" s="1"/>
  <c r="G592" i="1"/>
  <c r="D592" i="1"/>
  <c r="C592" i="1"/>
  <c r="AL591" i="1"/>
  <c r="AK591" i="1"/>
  <c r="AJ591" i="1" a="1"/>
  <c r="AJ591" i="1" s="1"/>
  <c r="AN591" i="1" s="1"/>
  <c r="AI591" i="1" a="1"/>
  <c r="AI591" i="1" s="1"/>
  <c r="AM591" i="1" s="1"/>
  <c r="AH591" i="1"/>
  <c r="AA591" i="1"/>
  <c r="Y591" i="1"/>
  <c r="Z591" i="1" s="1"/>
  <c r="G591" i="1"/>
  <c r="D591" i="1"/>
  <c r="C591" i="1"/>
  <c r="AL590" i="1"/>
  <c r="AK590" i="1"/>
  <c r="AJ590" i="1" a="1"/>
  <c r="AJ590" i="1" s="1"/>
  <c r="AN590" i="1" s="1"/>
  <c r="AI590" i="1" a="1"/>
  <c r="AI590" i="1" s="1"/>
  <c r="AM590" i="1" s="1"/>
  <c r="AH590" i="1"/>
  <c r="AA590" i="1"/>
  <c r="Y590" i="1"/>
  <c r="Z590" i="1" s="1"/>
  <c r="G590" i="1"/>
  <c r="D590" i="1"/>
  <c r="C590" i="1"/>
  <c r="AL589" i="1"/>
  <c r="AK589" i="1"/>
  <c r="AJ589" i="1" a="1"/>
  <c r="AJ589" i="1" s="1"/>
  <c r="AN589" i="1" s="1"/>
  <c r="AI589" i="1" a="1"/>
  <c r="AI589" i="1" s="1"/>
  <c r="AM589" i="1" s="1"/>
  <c r="AH589" i="1"/>
  <c r="AA589" i="1"/>
  <c r="Y589" i="1"/>
  <c r="Z589" i="1" s="1"/>
  <c r="G589" i="1"/>
  <c r="D589" i="1"/>
  <c r="C589" i="1"/>
  <c r="AL588" i="1"/>
  <c r="AK588" i="1"/>
  <c r="AJ588" i="1" a="1"/>
  <c r="AJ588" i="1" s="1"/>
  <c r="AN588" i="1" s="1"/>
  <c r="AI588" i="1" a="1"/>
  <c r="AI588" i="1" s="1"/>
  <c r="AM588" i="1" s="1"/>
  <c r="AH588" i="1"/>
  <c r="AA588" i="1"/>
  <c r="Y588" i="1"/>
  <c r="Z588" i="1" s="1"/>
  <c r="G588" i="1"/>
  <c r="D588" i="1"/>
  <c r="C588" i="1"/>
  <c r="AL587" i="1"/>
  <c r="AK587" i="1"/>
  <c r="AJ587" i="1" a="1"/>
  <c r="AJ587" i="1" s="1"/>
  <c r="AN587" i="1" s="1"/>
  <c r="AI587" i="1" a="1"/>
  <c r="AI587" i="1" s="1"/>
  <c r="AM587" i="1" s="1"/>
  <c r="AH587" i="1"/>
  <c r="AA587" i="1"/>
  <c r="Y587" i="1"/>
  <c r="Z587" i="1" s="1"/>
  <c r="G587" i="1"/>
  <c r="D587" i="1"/>
  <c r="C587" i="1"/>
  <c r="AL586" i="1"/>
  <c r="AK586" i="1"/>
  <c r="AJ586" i="1" a="1"/>
  <c r="AJ586" i="1" s="1"/>
  <c r="AN586" i="1" s="1"/>
  <c r="AI586" i="1" a="1"/>
  <c r="AI586" i="1" s="1"/>
  <c r="AM586" i="1" s="1"/>
  <c r="AH586" i="1"/>
  <c r="AA586" i="1"/>
  <c r="Y586" i="1"/>
  <c r="Z586" i="1" s="1"/>
  <c r="G586" i="1"/>
  <c r="D586" i="1"/>
  <c r="C586" i="1"/>
  <c r="AL585" i="1"/>
  <c r="AK585" i="1"/>
  <c r="AJ585" i="1" a="1"/>
  <c r="AJ585" i="1" s="1"/>
  <c r="AN585" i="1" s="1"/>
  <c r="AI585" i="1" a="1"/>
  <c r="AI585" i="1" s="1"/>
  <c r="AM585" i="1" s="1"/>
  <c r="AH585" i="1"/>
  <c r="AA585" i="1"/>
  <c r="Y585" i="1"/>
  <c r="Z585" i="1" s="1"/>
  <c r="G585" i="1"/>
  <c r="D585" i="1"/>
  <c r="C585" i="1"/>
  <c r="AL584" i="1"/>
  <c r="AK584" i="1"/>
  <c r="AJ584" i="1" a="1"/>
  <c r="AJ584" i="1" s="1"/>
  <c r="AN584" i="1" s="1"/>
  <c r="AI584" i="1" a="1"/>
  <c r="AI584" i="1" s="1"/>
  <c r="AM584" i="1" s="1"/>
  <c r="AH584" i="1"/>
  <c r="AA584" i="1"/>
  <c r="Y584" i="1"/>
  <c r="Z584" i="1" s="1"/>
  <c r="G584" i="1"/>
  <c r="D584" i="1"/>
  <c r="C584" i="1"/>
  <c r="AL583" i="1"/>
  <c r="AK583" i="1"/>
  <c r="AJ583" i="1" a="1"/>
  <c r="AJ583" i="1" s="1"/>
  <c r="AN583" i="1" s="1"/>
  <c r="AI583" i="1" a="1"/>
  <c r="AI583" i="1" s="1"/>
  <c r="AM583" i="1" s="1"/>
  <c r="AH583" i="1"/>
  <c r="AA583" i="1"/>
  <c r="Y583" i="1"/>
  <c r="Z583" i="1" s="1"/>
  <c r="G583" i="1"/>
  <c r="D583" i="1"/>
  <c r="C583" i="1"/>
  <c r="AL582" i="1"/>
  <c r="AK582" i="1"/>
  <c r="AJ582" i="1" a="1"/>
  <c r="AJ582" i="1" s="1"/>
  <c r="AN582" i="1" s="1"/>
  <c r="AI582" i="1" a="1"/>
  <c r="AI582" i="1" s="1"/>
  <c r="AM582" i="1" s="1"/>
  <c r="AH582" i="1"/>
  <c r="AA582" i="1"/>
  <c r="Y582" i="1"/>
  <c r="Z582" i="1" s="1"/>
  <c r="G582" i="1"/>
  <c r="D582" i="1"/>
  <c r="C582" i="1"/>
  <c r="AL581" i="1"/>
  <c r="AK581" i="1"/>
  <c r="AJ581" i="1" a="1"/>
  <c r="AJ581" i="1" s="1"/>
  <c r="AN581" i="1" s="1"/>
  <c r="AI581" i="1" a="1"/>
  <c r="AI581" i="1" s="1"/>
  <c r="AM581" i="1" s="1"/>
  <c r="AH581" i="1"/>
  <c r="AA581" i="1"/>
  <c r="Y581" i="1"/>
  <c r="Z581" i="1" s="1"/>
  <c r="G581" i="1"/>
  <c r="D581" i="1"/>
  <c r="C581" i="1"/>
  <c r="AL580" i="1"/>
  <c r="AK580" i="1"/>
  <c r="AJ580" i="1" a="1"/>
  <c r="AJ580" i="1" s="1"/>
  <c r="AN580" i="1" s="1"/>
  <c r="AI580" i="1" a="1"/>
  <c r="AI580" i="1" s="1"/>
  <c r="AM580" i="1" s="1"/>
  <c r="AH580" i="1"/>
  <c r="AA580" i="1"/>
  <c r="Y580" i="1"/>
  <c r="Z580" i="1" s="1"/>
  <c r="G580" i="1"/>
  <c r="D580" i="1"/>
  <c r="C580" i="1"/>
  <c r="AL579" i="1"/>
  <c r="AK579" i="1"/>
  <c r="AJ579" i="1" a="1"/>
  <c r="AJ579" i="1" s="1"/>
  <c r="AN579" i="1" s="1"/>
  <c r="AI579" i="1" a="1"/>
  <c r="AI579" i="1" s="1"/>
  <c r="AM579" i="1" s="1"/>
  <c r="AH579" i="1"/>
  <c r="AA579" i="1"/>
  <c r="Y579" i="1"/>
  <c r="Z579" i="1" s="1"/>
  <c r="G579" i="1"/>
  <c r="D579" i="1"/>
  <c r="C579" i="1"/>
  <c r="AL578" i="1"/>
  <c r="AK578" i="1"/>
  <c r="AJ578" i="1" a="1"/>
  <c r="AJ578" i="1" s="1"/>
  <c r="AN578" i="1" s="1"/>
  <c r="AI578" i="1" a="1"/>
  <c r="AI578" i="1" s="1"/>
  <c r="AM578" i="1" s="1"/>
  <c r="AH578" i="1"/>
  <c r="AA578" i="1"/>
  <c r="Y578" i="1"/>
  <c r="Z578" i="1" s="1"/>
  <c r="G578" i="1"/>
  <c r="D578" i="1"/>
  <c r="C578" i="1"/>
  <c r="AL577" i="1"/>
  <c r="AK577" i="1"/>
  <c r="AJ577" i="1" a="1"/>
  <c r="AJ577" i="1" s="1"/>
  <c r="AN577" i="1" s="1"/>
  <c r="AI577" i="1" a="1"/>
  <c r="AI577" i="1" s="1"/>
  <c r="AM577" i="1" s="1"/>
  <c r="AH577" i="1"/>
  <c r="AA577" i="1"/>
  <c r="Y577" i="1"/>
  <c r="Z577" i="1" s="1"/>
  <c r="G577" i="1"/>
  <c r="D577" i="1"/>
  <c r="C577" i="1"/>
  <c r="AL576" i="1"/>
  <c r="AK576" i="1"/>
  <c r="AJ576" i="1" a="1"/>
  <c r="AJ576" i="1" s="1"/>
  <c r="AN576" i="1" s="1"/>
  <c r="AI576" i="1" a="1"/>
  <c r="AI576" i="1" s="1"/>
  <c r="AM576" i="1" s="1"/>
  <c r="AH576" i="1"/>
  <c r="AA576" i="1"/>
  <c r="Y576" i="1"/>
  <c r="Z576" i="1" s="1"/>
  <c r="G576" i="1"/>
  <c r="D576" i="1"/>
  <c r="C576" i="1"/>
  <c r="AL575" i="1"/>
  <c r="AK575" i="1"/>
  <c r="AJ575" i="1" a="1"/>
  <c r="AJ575" i="1" s="1"/>
  <c r="AN575" i="1" s="1"/>
  <c r="AI575" i="1" a="1"/>
  <c r="AI575" i="1" s="1"/>
  <c r="AM575" i="1" s="1"/>
  <c r="AH575" i="1"/>
  <c r="AA575" i="1"/>
  <c r="Y575" i="1"/>
  <c r="Z575" i="1" s="1"/>
  <c r="G575" i="1"/>
  <c r="D575" i="1"/>
  <c r="C575" i="1"/>
  <c r="AL574" i="1"/>
  <c r="AK574" i="1"/>
  <c r="AJ574" i="1" a="1"/>
  <c r="AJ574" i="1" s="1"/>
  <c r="AN574" i="1" s="1"/>
  <c r="AI574" i="1" a="1"/>
  <c r="AI574" i="1" s="1"/>
  <c r="AM574" i="1" s="1"/>
  <c r="AH574" i="1"/>
  <c r="AA574" i="1"/>
  <c r="Y574" i="1"/>
  <c r="Z574" i="1" s="1"/>
  <c r="G574" i="1"/>
  <c r="D574" i="1"/>
  <c r="C574" i="1"/>
  <c r="AL573" i="1"/>
  <c r="AK573" i="1"/>
  <c r="AJ573" i="1" a="1"/>
  <c r="AJ573" i="1" s="1"/>
  <c r="AN573" i="1" s="1"/>
  <c r="AI573" i="1" a="1"/>
  <c r="AI573" i="1" s="1"/>
  <c r="AM573" i="1" s="1"/>
  <c r="AH573" i="1"/>
  <c r="AA573" i="1"/>
  <c r="Y573" i="1"/>
  <c r="Z573" i="1" s="1"/>
  <c r="G573" i="1"/>
  <c r="D573" i="1"/>
  <c r="C573" i="1"/>
  <c r="AL572" i="1"/>
  <c r="AK572" i="1"/>
  <c r="AJ572" i="1" a="1"/>
  <c r="AJ572" i="1" s="1"/>
  <c r="AN572" i="1" s="1"/>
  <c r="AI572" i="1" a="1"/>
  <c r="AI572" i="1" s="1"/>
  <c r="AM572" i="1" s="1"/>
  <c r="AH572" i="1"/>
  <c r="AA572" i="1"/>
  <c r="Y572" i="1"/>
  <c r="Z572" i="1" s="1"/>
  <c r="G572" i="1"/>
  <c r="D572" i="1"/>
  <c r="C572" i="1"/>
  <c r="AL571" i="1"/>
  <c r="AK571" i="1"/>
  <c r="AJ571" i="1" a="1"/>
  <c r="AJ571" i="1" s="1"/>
  <c r="AN571" i="1" s="1"/>
  <c r="AI571" i="1" a="1"/>
  <c r="AI571" i="1" s="1"/>
  <c r="AM571" i="1" s="1"/>
  <c r="AH571" i="1"/>
  <c r="AA571" i="1"/>
  <c r="Y571" i="1"/>
  <c r="Z571" i="1" s="1"/>
  <c r="G571" i="1"/>
  <c r="D571" i="1"/>
  <c r="C571" i="1"/>
  <c r="AL570" i="1"/>
  <c r="AK570" i="1"/>
  <c r="AJ570" i="1" a="1"/>
  <c r="AJ570" i="1" s="1"/>
  <c r="AN570" i="1" s="1"/>
  <c r="AI570" i="1" a="1"/>
  <c r="AI570" i="1" s="1"/>
  <c r="AM570" i="1" s="1"/>
  <c r="AH570" i="1"/>
  <c r="AA570" i="1"/>
  <c r="Y570" i="1"/>
  <c r="Z570" i="1" s="1"/>
  <c r="G570" i="1"/>
  <c r="D570" i="1"/>
  <c r="C570" i="1"/>
  <c r="AL569" i="1"/>
  <c r="AK569" i="1"/>
  <c r="AJ569" i="1" a="1"/>
  <c r="AJ569" i="1" s="1"/>
  <c r="AN569" i="1" s="1"/>
  <c r="AI569" i="1" a="1"/>
  <c r="AI569" i="1" s="1"/>
  <c r="AM569" i="1" s="1"/>
  <c r="AH569" i="1"/>
  <c r="AA569" i="1"/>
  <c r="Y569" i="1"/>
  <c r="Z569" i="1" s="1"/>
  <c r="G569" i="1"/>
  <c r="D569" i="1"/>
  <c r="C569" i="1"/>
  <c r="AL568" i="1"/>
  <c r="AK568" i="1"/>
  <c r="AJ568" i="1" a="1"/>
  <c r="AJ568" i="1" s="1"/>
  <c r="AN568" i="1" s="1"/>
  <c r="AI568" i="1" a="1"/>
  <c r="AI568" i="1" s="1"/>
  <c r="AM568" i="1" s="1"/>
  <c r="AH568" i="1"/>
  <c r="AA568" i="1"/>
  <c r="Y568" i="1"/>
  <c r="Z568" i="1" s="1"/>
  <c r="G568" i="1"/>
  <c r="D568" i="1"/>
  <c r="C568" i="1"/>
  <c r="AL567" i="1"/>
  <c r="AK567" i="1"/>
  <c r="AJ567" i="1" a="1"/>
  <c r="AJ567" i="1" s="1"/>
  <c r="AN567" i="1" s="1"/>
  <c r="AI567" i="1" a="1"/>
  <c r="AI567" i="1" s="1"/>
  <c r="AM567" i="1" s="1"/>
  <c r="AH567" i="1"/>
  <c r="AA567" i="1"/>
  <c r="Y567" i="1"/>
  <c r="Z567" i="1" s="1"/>
  <c r="G567" i="1"/>
  <c r="D567" i="1"/>
  <c r="C567" i="1"/>
  <c r="AL566" i="1"/>
  <c r="AK566" i="1"/>
  <c r="AJ566" i="1" a="1"/>
  <c r="AJ566" i="1" s="1"/>
  <c r="AN566" i="1" s="1"/>
  <c r="AI566" i="1" a="1"/>
  <c r="AI566" i="1" s="1"/>
  <c r="AM566" i="1" s="1"/>
  <c r="AH566" i="1"/>
  <c r="AA566" i="1"/>
  <c r="Y566" i="1"/>
  <c r="Z566" i="1" s="1"/>
  <c r="G566" i="1"/>
  <c r="D566" i="1"/>
  <c r="C566" i="1"/>
  <c r="AL565" i="1"/>
  <c r="AK565" i="1"/>
  <c r="AJ565" i="1" a="1"/>
  <c r="AJ565" i="1" s="1"/>
  <c r="AN565" i="1" s="1"/>
  <c r="AI565" i="1" a="1"/>
  <c r="AI565" i="1" s="1"/>
  <c r="AM565" i="1" s="1"/>
  <c r="AH565" i="1"/>
  <c r="AA565" i="1"/>
  <c r="Y565" i="1"/>
  <c r="Z565" i="1" s="1"/>
  <c r="G565" i="1"/>
  <c r="D565" i="1"/>
  <c r="C565" i="1"/>
  <c r="AL564" i="1"/>
  <c r="AK564" i="1"/>
  <c r="AJ564" i="1" a="1"/>
  <c r="AJ564" i="1" s="1"/>
  <c r="AN564" i="1" s="1"/>
  <c r="AI564" i="1" a="1"/>
  <c r="AI564" i="1" s="1"/>
  <c r="AM564" i="1" s="1"/>
  <c r="AH564" i="1"/>
  <c r="AA564" i="1"/>
  <c r="Y564" i="1"/>
  <c r="Z564" i="1" s="1"/>
  <c r="G564" i="1"/>
  <c r="D564" i="1"/>
  <c r="C564" i="1"/>
  <c r="AL563" i="1"/>
  <c r="AK563" i="1"/>
  <c r="AJ563" i="1" a="1"/>
  <c r="AJ563" i="1" s="1"/>
  <c r="AN563" i="1" s="1"/>
  <c r="AI563" i="1" a="1"/>
  <c r="AI563" i="1" s="1"/>
  <c r="AM563" i="1" s="1"/>
  <c r="AH563" i="1"/>
  <c r="AA563" i="1"/>
  <c r="Y563" i="1"/>
  <c r="Z563" i="1" s="1"/>
  <c r="G563" i="1"/>
  <c r="D563" i="1"/>
  <c r="C563" i="1"/>
  <c r="AL562" i="1"/>
  <c r="AK562" i="1"/>
  <c r="AJ562" i="1" a="1"/>
  <c r="AJ562" i="1" s="1"/>
  <c r="AN562" i="1" s="1"/>
  <c r="AI562" i="1" a="1"/>
  <c r="AI562" i="1" s="1"/>
  <c r="AM562" i="1" s="1"/>
  <c r="AH562" i="1"/>
  <c r="AA562" i="1"/>
  <c r="Y562" i="1"/>
  <c r="Z562" i="1" s="1"/>
  <c r="G562" i="1"/>
  <c r="D562" i="1"/>
  <c r="C562" i="1"/>
  <c r="AL561" i="1"/>
  <c r="AK561" i="1"/>
  <c r="AJ561" i="1" a="1"/>
  <c r="AJ561" i="1" s="1"/>
  <c r="AN561" i="1" s="1"/>
  <c r="AI561" i="1" a="1"/>
  <c r="AI561" i="1" s="1"/>
  <c r="AM561" i="1" s="1"/>
  <c r="AH561" i="1"/>
  <c r="AA561" i="1"/>
  <c r="Y561" i="1"/>
  <c r="Z561" i="1" s="1"/>
  <c r="G561" i="1"/>
  <c r="D561" i="1"/>
  <c r="C561" i="1"/>
  <c r="AL560" i="1"/>
  <c r="AK560" i="1"/>
  <c r="AJ560" i="1" a="1"/>
  <c r="AJ560" i="1" s="1"/>
  <c r="AN560" i="1" s="1"/>
  <c r="AI560" i="1" a="1"/>
  <c r="AI560" i="1" s="1"/>
  <c r="AM560" i="1" s="1"/>
  <c r="AH560" i="1"/>
  <c r="AA560" i="1"/>
  <c r="Y560" i="1"/>
  <c r="Z560" i="1" s="1"/>
  <c r="G560" i="1"/>
  <c r="D560" i="1"/>
  <c r="C560" i="1"/>
  <c r="AL559" i="1"/>
  <c r="AK559" i="1"/>
  <c r="AJ559" i="1" a="1"/>
  <c r="AJ559" i="1" s="1"/>
  <c r="AN559" i="1" s="1"/>
  <c r="AI559" i="1" a="1"/>
  <c r="AI559" i="1" s="1"/>
  <c r="AM559" i="1" s="1"/>
  <c r="AH559" i="1"/>
  <c r="AA559" i="1"/>
  <c r="Y559" i="1"/>
  <c r="Z559" i="1" s="1"/>
  <c r="G559" i="1"/>
  <c r="D559" i="1"/>
  <c r="C559" i="1"/>
  <c r="AL558" i="1"/>
  <c r="AK558" i="1"/>
  <c r="AJ558" i="1" a="1"/>
  <c r="AJ558" i="1" s="1"/>
  <c r="AN558" i="1" s="1"/>
  <c r="AI558" i="1" a="1"/>
  <c r="AI558" i="1" s="1"/>
  <c r="AM558" i="1" s="1"/>
  <c r="AH558" i="1"/>
  <c r="AA558" i="1"/>
  <c r="Y558" i="1"/>
  <c r="Z558" i="1" s="1"/>
  <c r="G558" i="1"/>
  <c r="D558" i="1"/>
  <c r="C558" i="1"/>
  <c r="AL557" i="1"/>
  <c r="AK557" i="1"/>
  <c r="AJ557" i="1" a="1"/>
  <c r="AJ557" i="1" s="1"/>
  <c r="AN557" i="1" s="1"/>
  <c r="AI557" i="1" a="1"/>
  <c r="AI557" i="1" s="1"/>
  <c r="AM557" i="1" s="1"/>
  <c r="AH557" i="1"/>
  <c r="AA557" i="1"/>
  <c r="Y557" i="1"/>
  <c r="Z557" i="1" s="1"/>
  <c r="G557" i="1"/>
  <c r="D557" i="1"/>
  <c r="C557" i="1"/>
  <c r="AL556" i="1"/>
  <c r="AK556" i="1"/>
  <c r="AJ556" i="1" a="1"/>
  <c r="AJ556" i="1" s="1"/>
  <c r="AN556" i="1" s="1"/>
  <c r="AI556" i="1" a="1"/>
  <c r="AI556" i="1" s="1"/>
  <c r="AM556" i="1" s="1"/>
  <c r="AH556" i="1"/>
  <c r="AA556" i="1"/>
  <c r="Y556" i="1"/>
  <c r="Z556" i="1" s="1"/>
  <c r="G556" i="1"/>
  <c r="D556" i="1"/>
  <c r="C556" i="1"/>
  <c r="AL555" i="1"/>
  <c r="AK555" i="1"/>
  <c r="AJ555" i="1" a="1"/>
  <c r="AJ555" i="1" s="1"/>
  <c r="AN555" i="1" s="1"/>
  <c r="AI555" i="1" a="1"/>
  <c r="AI555" i="1" s="1"/>
  <c r="AM555" i="1" s="1"/>
  <c r="AH555" i="1"/>
  <c r="AA555" i="1"/>
  <c r="Y555" i="1"/>
  <c r="Z555" i="1" s="1"/>
  <c r="G555" i="1"/>
  <c r="D555" i="1"/>
  <c r="C555" i="1"/>
  <c r="AL554" i="1"/>
  <c r="AK554" i="1"/>
  <c r="AJ554" i="1" a="1"/>
  <c r="AJ554" i="1" s="1"/>
  <c r="AN554" i="1" s="1"/>
  <c r="AI554" i="1" a="1"/>
  <c r="AI554" i="1" s="1"/>
  <c r="AM554" i="1" s="1"/>
  <c r="AH554" i="1"/>
  <c r="AA554" i="1"/>
  <c r="Y554" i="1"/>
  <c r="Z554" i="1" s="1"/>
  <c r="G554" i="1"/>
  <c r="D554" i="1"/>
  <c r="C554" i="1"/>
  <c r="AL553" i="1"/>
  <c r="AK553" i="1"/>
  <c r="AJ553" i="1" a="1"/>
  <c r="AJ553" i="1" s="1"/>
  <c r="AN553" i="1" s="1"/>
  <c r="AI553" i="1" a="1"/>
  <c r="AI553" i="1" s="1"/>
  <c r="AM553" i="1" s="1"/>
  <c r="AH553" i="1"/>
  <c r="AA553" i="1"/>
  <c r="Y553" i="1"/>
  <c r="Z553" i="1" s="1"/>
  <c r="G553" i="1"/>
  <c r="D553" i="1"/>
  <c r="C553" i="1"/>
  <c r="AL552" i="1"/>
  <c r="AK552" i="1"/>
  <c r="AJ552" i="1" a="1"/>
  <c r="AJ552" i="1" s="1"/>
  <c r="AN552" i="1" s="1"/>
  <c r="AI552" i="1" a="1"/>
  <c r="AI552" i="1" s="1"/>
  <c r="AM552" i="1" s="1"/>
  <c r="AH552" i="1"/>
  <c r="AA552" i="1"/>
  <c r="Y552" i="1"/>
  <c r="Z552" i="1" s="1"/>
  <c r="G552" i="1"/>
  <c r="D552" i="1"/>
  <c r="C552" i="1"/>
  <c r="AL551" i="1"/>
  <c r="AK551" i="1"/>
  <c r="AJ551" i="1" a="1"/>
  <c r="AJ551" i="1" s="1"/>
  <c r="AN551" i="1" s="1"/>
  <c r="AI551" i="1" a="1"/>
  <c r="AI551" i="1" s="1"/>
  <c r="AM551" i="1" s="1"/>
  <c r="AH551" i="1"/>
  <c r="AA551" i="1"/>
  <c r="Y551" i="1"/>
  <c r="Z551" i="1" s="1"/>
  <c r="G551" i="1"/>
  <c r="D551" i="1"/>
  <c r="C551" i="1"/>
  <c r="AL550" i="1"/>
  <c r="AK550" i="1"/>
  <c r="AJ550" i="1" a="1"/>
  <c r="AJ550" i="1" s="1"/>
  <c r="AN550" i="1" s="1"/>
  <c r="AI550" i="1" a="1"/>
  <c r="AI550" i="1" s="1"/>
  <c r="AM550" i="1" s="1"/>
  <c r="AH550" i="1"/>
  <c r="AA550" i="1"/>
  <c r="Y550" i="1"/>
  <c r="Z550" i="1" s="1"/>
  <c r="G550" i="1"/>
  <c r="D550" i="1"/>
  <c r="C550" i="1"/>
  <c r="AL549" i="1"/>
  <c r="AK549" i="1"/>
  <c r="AJ549" i="1" a="1"/>
  <c r="AJ549" i="1" s="1"/>
  <c r="AN549" i="1" s="1"/>
  <c r="AI549" i="1" a="1"/>
  <c r="AI549" i="1" s="1"/>
  <c r="AM549" i="1" s="1"/>
  <c r="AH549" i="1"/>
  <c r="AA549" i="1"/>
  <c r="Y549" i="1"/>
  <c r="Z549" i="1" s="1"/>
  <c r="G549" i="1"/>
  <c r="D549" i="1"/>
  <c r="C549" i="1"/>
  <c r="AL548" i="1"/>
  <c r="AK548" i="1"/>
  <c r="AJ548" i="1" a="1"/>
  <c r="AJ548" i="1" s="1"/>
  <c r="AN548" i="1" s="1"/>
  <c r="AI548" i="1" a="1"/>
  <c r="AI548" i="1" s="1"/>
  <c r="AM548" i="1" s="1"/>
  <c r="AH548" i="1"/>
  <c r="AA548" i="1"/>
  <c r="Y548" i="1"/>
  <c r="Z548" i="1" s="1"/>
  <c r="G548" i="1"/>
  <c r="D548" i="1"/>
  <c r="C548" i="1"/>
  <c r="AL547" i="1"/>
  <c r="AK547" i="1"/>
  <c r="AJ547" i="1" a="1"/>
  <c r="AJ547" i="1" s="1"/>
  <c r="AN547" i="1" s="1"/>
  <c r="AI547" i="1" a="1"/>
  <c r="AI547" i="1" s="1"/>
  <c r="AM547" i="1" s="1"/>
  <c r="AH547" i="1"/>
  <c r="AA547" i="1"/>
  <c r="Y547" i="1"/>
  <c r="Z547" i="1" s="1"/>
  <c r="G547" i="1"/>
  <c r="D547" i="1"/>
  <c r="C547" i="1"/>
  <c r="AL546" i="1"/>
  <c r="AK546" i="1"/>
  <c r="AJ546" i="1" a="1"/>
  <c r="AJ546" i="1" s="1"/>
  <c r="AN546" i="1" s="1"/>
  <c r="AI546" i="1" a="1"/>
  <c r="AI546" i="1" s="1"/>
  <c r="AM546" i="1" s="1"/>
  <c r="AH546" i="1"/>
  <c r="AA546" i="1"/>
  <c r="Y546" i="1"/>
  <c r="Z546" i="1" s="1"/>
  <c r="G546" i="1"/>
  <c r="D546" i="1"/>
  <c r="C546" i="1"/>
  <c r="AL545" i="1"/>
  <c r="AK545" i="1"/>
  <c r="AJ545" i="1" a="1"/>
  <c r="AJ545" i="1" s="1"/>
  <c r="AN545" i="1" s="1"/>
  <c r="AI545" i="1" a="1"/>
  <c r="AI545" i="1" s="1"/>
  <c r="AM545" i="1" s="1"/>
  <c r="AH545" i="1"/>
  <c r="AA545" i="1"/>
  <c r="Y545" i="1"/>
  <c r="Z545" i="1" s="1"/>
  <c r="G545" i="1"/>
  <c r="D545" i="1"/>
  <c r="C545" i="1"/>
  <c r="AL544" i="1"/>
  <c r="AK544" i="1"/>
  <c r="AJ544" i="1" a="1"/>
  <c r="AJ544" i="1" s="1"/>
  <c r="AN544" i="1" s="1"/>
  <c r="AI544" i="1" a="1"/>
  <c r="AI544" i="1" s="1"/>
  <c r="AM544" i="1" s="1"/>
  <c r="AH544" i="1"/>
  <c r="AA544" i="1"/>
  <c r="Y544" i="1"/>
  <c r="Z544" i="1" s="1"/>
  <c r="G544" i="1"/>
  <c r="D544" i="1"/>
  <c r="C544" i="1"/>
  <c r="AL543" i="1"/>
  <c r="AK543" i="1"/>
  <c r="AJ543" i="1" a="1"/>
  <c r="AJ543" i="1" s="1"/>
  <c r="AN543" i="1" s="1"/>
  <c r="AI543" i="1" a="1"/>
  <c r="AI543" i="1" s="1"/>
  <c r="AM543" i="1" s="1"/>
  <c r="AH543" i="1"/>
  <c r="AA543" i="1"/>
  <c r="Y543" i="1"/>
  <c r="Z543" i="1" s="1"/>
  <c r="G543" i="1"/>
  <c r="D543" i="1"/>
  <c r="C543" i="1"/>
  <c r="AL542" i="1"/>
  <c r="AK542" i="1"/>
  <c r="AJ542" i="1" a="1"/>
  <c r="AJ542" i="1" s="1"/>
  <c r="AN542" i="1" s="1"/>
  <c r="AI542" i="1" a="1"/>
  <c r="AI542" i="1" s="1"/>
  <c r="AM542" i="1" s="1"/>
  <c r="AH542" i="1"/>
  <c r="AA542" i="1"/>
  <c r="Y542" i="1"/>
  <c r="Z542" i="1" s="1"/>
  <c r="G542" i="1"/>
  <c r="D542" i="1"/>
  <c r="C542" i="1"/>
  <c r="AL541" i="1"/>
  <c r="AK541" i="1"/>
  <c r="AJ541" i="1" a="1"/>
  <c r="AJ541" i="1" s="1"/>
  <c r="AN541" i="1" s="1"/>
  <c r="AI541" i="1" a="1"/>
  <c r="AI541" i="1" s="1"/>
  <c r="AM541" i="1" s="1"/>
  <c r="AH541" i="1"/>
  <c r="AA541" i="1"/>
  <c r="Y541" i="1"/>
  <c r="Z541" i="1" s="1"/>
  <c r="G541" i="1"/>
  <c r="D541" i="1"/>
  <c r="C541" i="1"/>
  <c r="AL540" i="1"/>
  <c r="AK540" i="1"/>
  <c r="AJ540" i="1" a="1"/>
  <c r="AJ540" i="1" s="1"/>
  <c r="AN540" i="1" s="1"/>
  <c r="AI540" i="1" a="1"/>
  <c r="AI540" i="1" s="1"/>
  <c r="AM540" i="1" s="1"/>
  <c r="AH540" i="1"/>
  <c r="AA540" i="1"/>
  <c r="Y540" i="1"/>
  <c r="Z540" i="1" s="1"/>
  <c r="G540" i="1"/>
  <c r="D540" i="1"/>
  <c r="C540" i="1"/>
  <c r="AL539" i="1"/>
  <c r="AK539" i="1"/>
  <c r="AJ539" i="1" a="1"/>
  <c r="AJ539" i="1" s="1"/>
  <c r="AN539" i="1" s="1"/>
  <c r="AI539" i="1" a="1"/>
  <c r="AI539" i="1" s="1"/>
  <c r="AM539" i="1" s="1"/>
  <c r="AH539" i="1"/>
  <c r="AA539" i="1"/>
  <c r="Y539" i="1"/>
  <c r="Z539" i="1" s="1"/>
  <c r="G539" i="1"/>
  <c r="D539" i="1"/>
  <c r="C539" i="1"/>
  <c r="AL538" i="1"/>
  <c r="AK538" i="1"/>
  <c r="AJ538" i="1" a="1"/>
  <c r="AJ538" i="1" s="1"/>
  <c r="AN538" i="1" s="1"/>
  <c r="AI538" i="1" a="1"/>
  <c r="AI538" i="1" s="1"/>
  <c r="AM538" i="1" s="1"/>
  <c r="AH538" i="1"/>
  <c r="AA538" i="1"/>
  <c r="Y538" i="1"/>
  <c r="Z538" i="1" s="1"/>
  <c r="G538" i="1"/>
  <c r="D538" i="1"/>
  <c r="C538" i="1"/>
  <c r="AL537" i="1"/>
  <c r="AK537" i="1"/>
  <c r="AJ537" i="1" a="1"/>
  <c r="AJ537" i="1" s="1"/>
  <c r="AN537" i="1" s="1"/>
  <c r="AI537" i="1" a="1"/>
  <c r="AI537" i="1" s="1"/>
  <c r="AM537" i="1" s="1"/>
  <c r="AH537" i="1"/>
  <c r="AA537" i="1"/>
  <c r="Y537" i="1"/>
  <c r="Z537" i="1" s="1"/>
  <c r="G537" i="1"/>
  <c r="D537" i="1"/>
  <c r="C537" i="1"/>
  <c r="AL536" i="1"/>
  <c r="AK536" i="1"/>
  <c r="AJ536" i="1" a="1"/>
  <c r="AJ536" i="1" s="1"/>
  <c r="AN536" i="1" s="1"/>
  <c r="AI536" i="1" a="1"/>
  <c r="AI536" i="1" s="1"/>
  <c r="AM536" i="1" s="1"/>
  <c r="AH536" i="1"/>
  <c r="AA536" i="1"/>
  <c r="Y536" i="1"/>
  <c r="Z536" i="1" s="1"/>
  <c r="G536" i="1"/>
  <c r="D536" i="1"/>
  <c r="C536" i="1"/>
  <c r="AL535" i="1"/>
  <c r="AK535" i="1"/>
  <c r="AJ535" i="1" a="1"/>
  <c r="AJ535" i="1" s="1"/>
  <c r="AN535" i="1" s="1"/>
  <c r="AI535" i="1" a="1"/>
  <c r="AI535" i="1" s="1"/>
  <c r="AM535" i="1" s="1"/>
  <c r="AH535" i="1"/>
  <c r="AA535" i="1"/>
  <c r="Y535" i="1"/>
  <c r="Z535" i="1" s="1"/>
  <c r="G535" i="1"/>
  <c r="D535" i="1"/>
  <c r="C535" i="1"/>
  <c r="AL534" i="1"/>
  <c r="AK534" i="1"/>
  <c r="AJ534" i="1" a="1"/>
  <c r="AJ534" i="1" s="1"/>
  <c r="AN534" i="1" s="1"/>
  <c r="AI534" i="1" a="1"/>
  <c r="AI534" i="1" s="1"/>
  <c r="AM534" i="1" s="1"/>
  <c r="AH534" i="1"/>
  <c r="AA534" i="1"/>
  <c r="Y534" i="1"/>
  <c r="Z534" i="1" s="1"/>
  <c r="G534" i="1"/>
  <c r="D534" i="1"/>
  <c r="C534" i="1"/>
  <c r="AL533" i="1"/>
  <c r="AK533" i="1"/>
  <c r="AJ533" i="1" a="1"/>
  <c r="AJ533" i="1" s="1"/>
  <c r="AN533" i="1" s="1"/>
  <c r="AI533" i="1" a="1"/>
  <c r="AI533" i="1" s="1"/>
  <c r="AM533" i="1" s="1"/>
  <c r="AH533" i="1"/>
  <c r="AA533" i="1"/>
  <c r="Y533" i="1"/>
  <c r="Z533" i="1" s="1"/>
  <c r="G533" i="1"/>
  <c r="D533" i="1"/>
  <c r="C533" i="1"/>
  <c r="AL532" i="1"/>
  <c r="AK532" i="1"/>
  <c r="AJ532" i="1" a="1"/>
  <c r="AJ532" i="1" s="1"/>
  <c r="AN532" i="1" s="1"/>
  <c r="AI532" i="1" a="1"/>
  <c r="AI532" i="1" s="1"/>
  <c r="AM532" i="1" s="1"/>
  <c r="AH532" i="1"/>
  <c r="AA532" i="1"/>
  <c r="Y532" i="1"/>
  <c r="Z532" i="1" s="1"/>
  <c r="G532" i="1"/>
  <c r="D532" i="1"/>
  <c r="C532" i="1"/>
  <c r="AL531" i="1"/>
  <c r="AK531" i="1"/>
  <c r="AJ531" i="1" a="1"/>
  <c r="AJ531" i="1" s="1"/>
  <c r="AN531" i="1" s="1"/>
  <c r="AI531" i="1" a="1"/>
  <c r="AI531" i="1" s="1"/>
  <c r="AM531" i="1" s="1"/>
  <c r="AH531" i="1"/>
  <c r="AA531" i="1"/>
  <c r="Y531" i="1"/>
  <c r="Z531" i="1" s="1"/>
  <c r="G531" i="1"/>
  <c r="D531" i="1"/>
  <c r="C531" i="1"/>
  <c r="AL530" i="1"/>
  <c r="AK530" i="1"/>
  <c r="AJ530" i="1" a="1"/>
  <c r="AJ530" i="1" s="1"/>
  <c r="AN530" i="1" s="1"/>
  <c r="AI530" i="1" a="1"/>
  <c r="AI530" i="1" s="1"/>
  <c r="AM530" i="1" s="1"/>
  <c r="AH530" i="1"/>
  <c r="AA530" i="1"/>
  <c r="Y530" i="1"/>
  <c r="Z530" i="1" s="1"/>
  <c r="G530" i="1"/>
  <c r="D530" i="1"/>
  <c r="C530" i="1"/>
  <c r="AL529" i="1"/>
  <c r="AK529" i="1"/>
  <c r="AJ529" i="1" a="1"/>
  <c r="AJ529" i="1" s="1"/>
  <c r="AN529" i="1" s="1"/>
  <c r="AI529" i="1" a="1"/>
  <c r="AI529" i="1" s="1"/>
  <c r="AM529" i="1" s="1"/>
  <c r="AH529" i="1"/>
  <c r="AA529" i="1"/>
  <c r="Y529" i="1"/>
  <c r="Z529" i="1" s="1"/>
  <c r="G529" i="1"/>
  <c r="D529" i="1"/>
  <c r="C529" i="1"/>
  <c r="AL528" i="1"/>
  <c r="AK528" i="1"/>
  <c r="AJ528" i="1" a="1"/>
  <c r="AJ528" i="1" s="1"/>
  <c r="AN528" i="1" s="1"/>
  <c r="AI528" i="1" a="1"/>
  <c r="AI528" i="1" s="1"/>
  <c r="AM528" i="1" s="1"/>
  <c r="AH528" i="1"/>
  <c r="AA528" i="1"/>
  <c r="Y528" i="1"/>
  <c r="Z528" i="1" s="1"/>
  <c r="G528" i="1"/>
  <c r="D528" i="1"/>
  <c r="C528" i="1"/>
  <c r="AL527" i="1"/>
  <c r="AK527" i="1"/>
  <c r="AJ527" i="1" a="1"/>
  <c r="AJ527" i="1" s="1"/>
  <c r="AN527" i="1" s="1"/>
  <c r="AI527" i="1" a="1"/>
  <c r="AI527" i="1" s="1"/>
  <c r="AM527" i="1" s="1"/>
  <c r="AH527" i="1"/>
  <c r="AA527" i="1"/>
  <c r="Y527" i="1"/>
  <c r="Z527" i="1" s="1"/>
  <c r="G527" i="1"/>
  <c r="D527" i="1"/>
  <c r="C527" i="1"/>
  <c r="AL526" i="1"/>
  <c r="AK526" i="1"/>
  <c r="AJ526" i="1" a="1"/>
  <c r="AJ526" i="1" s="1"/>
  <c r="AN526" i="1" s="1"/>
  <c r="AI526" i="1" a="1"/>
  <c r="AI526" i="1" s="1"/>
  <c r="AM526" i="1" s="1"/>
  <c r="AH526" i="1"/>
  <c r="AA526" i="1"/>
  <c r="Y526" i="1"/>
  <c r="Z526" i="1" s="1"/>
  <c r="G526" i="1"/>
  <c r="D526" i="1"/>
  <c r="C526" i="1"/>
  <c r="AL525" i="1"/>
  <c r="AK525" i="1"/>
  <c r="AJ525" i="1" a="1"/>
  <c r="AJ525" i="1" s="1"/>
  <c r="AN525" i="1" s="1"/>
  <c r="AI525" i="1" a="1"/>
  <c r="AI525" i="1" s="1"/>
  <c r="AM525" i="1" s="1"/>
  <c r="AH525" i="1"/>
  <c r="AA525" i="1"/>
  <c r="Y525" i="1"/>
  <c r="Z525" i="1" s="1"/>
  <c r="G525" i="1"/>
  <c r="D525" i="1"/>
  <c r="C525" i="1"/>
  <c r="AL524" i="1"/>
  <c r="AK524" i="1"/>
  <c r="AJ524" i="1" a="1"/>
  <c r="AJ524" i="1" s="1"/>
  <c r="AN524" i="1" s="1"/>
  <c r="AI524" i="1" a="1"/>
  <c r="AI524" i="1" s="1"/>
  <c r="AM524" i="1" s="1"/>
  <c r="AH524" i="1"/>
  <c r="AA524" i="1"/>
  <c r="Y524" i="1"/>
  <c r="Z524" i="1" s="1"/>
  <c r="G524" i="1"/>
  <c r="D524" i="1"/>
  <c r="C524" i="1"/>
  <c r="AL523" i="1"/>
  <c r="AK523" i="1"/>
  <c r="AJ523" i="1" a="1"/>
  <c r="AJ523" i="1" s="1"/>
  <c r="AN523" i="1" s="1"/>
  <c r="AI523" i="1" a="1"/>
  <c r="AI523" i="1" s="1"/>
  <c r="AM523" i="1" s="1"/>
  <c r="AH523" i="1"/>
  <c r="AA523" i="1"/>
  <c r="Y523" i="1"/>
  <c r="Z523" i="1" s="1"/>
  <c r="G523" i="1"/>
  <c r="D523" i="1"/>
  <c r="C523" i="1"/>
  <c r="AL522" i="1"/>
  <c r="AK522" i="1"/>
  <c r="AJ522" i="1" a="1"/>
  <c r="AJ522" i="1" s="1"/>
  <c r="AN522" i="1" s="1"/>
  <c r="AI522" i="1" a="1"/>
  <c r="AI522" i="1" s="1"/>
  <c r="AM522" i="1" s="1"/>
  <c r="AH522" i="1"/>
  <c r="AA522" i="1"/>
  <c r="Y522" i="1"/>
  <c r="Z522" i="1" s="1"/>
  <c r="G522" i="1"/>
  <c r="D522" i="1"/>
  <c r="C522" i="1"/>
  <c r="AL521" i="1"/>
  <c r="AK521" i="1"/>
  <c r="AJ521" i="1" a="1"/>
  <c r="AJ521" i="1" s="1"/>
  <c r="AN521" i="1" s="1"/>
  <c r="AI521" i="1" a="1"/>
  <c r="AI521" i="1" s="1"/>
  <c r="AM521" i="1" s="1"/>
  <c r="AH521" i="1"/>
  <c r="AA521" i="1"/>
  <c r="Y521" i="1"/>
  <c r="Z521" i="1" s="1"/>
  <c r="G521" i="1"/>
  <c r="D521" i="1"/>
  <c r="C521" i="1"/>
  <c r="AL520" i="1"/>
  <c r="AK520" i="1"/>
  <c r="AJ520" i="1" a="1"/>
  <c r="AJ520" i="1" s="1"/>
  <c r="AN520" i="1" s="1"/>
  <c r="AI520" i="1" a="1"/>
  <c r="AI520" i="1" s="1"/>
  <c r="AM520" i="1" s="1"/>
  <c r="AH520" i="1"/>
  <c r="AA520" i="1"/>
  <c r="Y520" i="1"/>
  <c r="Z520" i="1" s="1"/>
  <c r="G520" i="1"/>
  <c r="D520" i="1"/>
  <c r="C520" i="1"/>
  <c r="AL519" i="1"/>
  <c r="AK519" i="1"/>
  <c r="AJ519" i="1" a="1"/>
  <c r="AJ519" i="1" s="1"/>
  <c r="AN519" i="1" s="1"/>
  <c r="AI519" i="1" a="1"/>
  <c r="AI519" i="1" s="1"/>
  <c r="AM519" i="1" s="1"/>
  <c r="AH519" i="1"/>
  <c r="AA519" i="1"/>
  <c r="Y519" i="1"/>
  <c r="Z519" i="1" s="1"/>
  <c r="G519" i="1"/>
  <c r="D519" i="1"/>
  <c r="C519" i="1"/>
  <c r="AL518" i="1"/>
  <c r="AK518" i="1"/>
  <c r="AJ518" i="1" a="1"/>
  <c r="AJ518" i="1" s="1"/>
  <c r="AN518" i="1" s="1"/>
  <c r="AI518" i="1" a="1"/>
  <c r="AI518" i="1" s="1"/>
  <c r="AM518" i="1" s="1"/>
  <c r="AH518" i="1"/>
  <c r="AA518" i="1"/>
  <c r="Y518" i="1"/>
  <c r="Z518" i="1" s="1"/>
  <c r="G518" i="1"/>
  <c r="D518" i="1"/>
  <c r="C518" i="1"/>
  <c r="AL517" i="1"/>
  <c r="AK517" i="1"/>
  <c r="AJ517" i="1" a="1"/>
  <c r="AJ517" i="1" s="1"/>
  <c r="AN517" i="1" s="1"/>
  <c r="AI517" i="1" a="1"/>
  <c r="AI517" i="1" s="1"/>
  <c r="AM517" i="1" s="1"/>
  <c r="AH517" i="1"/>
  <c r="AA517" i="1"/>
  <c r="Y517" i="1"/>
  <c r="Z517" i="1" s="1"/>
  <c r="G517" i="1"/>
  <c r="D517" i="1"/>
  <c r="C517" i="1"/>
  <c r="AL516" i="1"/>
  <c r="AK516" i="1"/>
  <c r="AJ516" i="1" a="1"/>
  <c r="AJ516" i="1" s="1"/>
  <c r="AN516" i="1" s="1"/>
  <c r="AI516" i="1" a="1"/>
  <c r="AI516" i="1" s="1"/>
  <c r="AM516" i="1" s="1"/>
  <c r="AH516" i="1"/>
  <c r="AA516" i="1"/>
  <c r="Y516" i="1"/>
  <c r="Z516" i="1" s="1"/>
  <c r="G516" i="1"/>
  <c r="D516" i="1"/>
  <c r="C516" i="1"/>
  <c r="AL515" i="1"/>
  <c r="AK515" i="1"/>
  <c r="AJ515" i="1" a="1"/>
  <c r="AJ515" i="1" s="1"/>
  <c r="AN515" i="1" s="1"/>
  <c r="AI515" i="1" a="1"/>
  <c r="AI515" i="1" s="1"/>
  <c r="AM515" i="1" s="1"/>
  <c r="AH515" i="1"/>
  <c r="AA515" i="1"/>
  <c r="Y515" i="1"/>
  <c r="Z515" i="1" s="1"/>
  <c r="G515" i="1"/>
  <c r="D515" i="1"/>
  <c r="C515" i="1"/>
  <c r="AL514" i="1"/>
  <c r="AK514" i="1"/>
  <c r="AJ514" i="1" a="1"/>
  <c r="AJ514" i="1" s="1"/>
  <c r="AN514" i="1" s="1"/>
  <c r="AI514" i="1" a="1"/>
  <c r="AI514" i="1" s="1"/>
  <c r="AM514" i="1" s="1"/>
  <c r="AH514" i="1"/>
  <c r="AA514" i="1"/>
  <c r="Y514" i="1"/>
  <c r="Z514" i="1" s="1"/>
  <c r="G514" i="1"/>
  <c r="D514" i="1"/>
  <c r="C514" i="1"/>
  <c r="AL513" i="1"/>
  <c r="AK513" i="1"/>
  <c r="AJ513" i="1" a="1"/>
  <c r="AJ513" i="1" s="1"/>
  <c r="AN513" i="1" s="1"/>
  <c r="AI513" i="1" a="1"/>
  <c r="AI513" i="1" s="1"/>
  <c r="AM513" i="1" s="1"/>
  <c r="AH513" i="1"/>
  <c r="AA513" i="1"/>
  <c r="Y513" i="1"/>
  <c r="Z513" i="1" s="1"/>
  <c r="G513" i="1"/>
  <c r="D513" i="1"/>
  <c r="C513" i="1"/>
  <c r="AL512" i="1"/>
  <c r="AK512" i="1"/>
  <c r="AJ512" i="1" a="1"/>
  <c r="AJ512" i="1" s="1"/>
  <c r="AN512" i="1" s="1"/>
  <c r="AI512" i="1" a="1"/>
  <c r="AI512" i="1" s="1"/>
  <c r="AM512" i="1" s="1"/>
  <c r="AH512" i="1"/>
  <c r="AA512" i="1"/>
  <c r="Y512" i="1"/>
  <c r="Z512" i="1" s="1"/>
  <c r="G512" i="1"/>
  <c r="D512" i="1"/>
  <c r="C512" i="1"/>
  <c r="AL511" i="1"/>
  <c r="AK511" i="1"/>
  <c r="AJ511" i="1" a="1"/>
  <c r="AJ511" i="1" s="1"/>
  <c r="AN511" i="1" s="1"/>
  <c r="AI511" i="1" a="1"/>
  <c r="AI511" i="1" s="1"/>
  <c r="AM511" i="1" s="1"/>
  <c r="AH511" i="1"/>
  <c r="AA511" i="1"/>
  <c r="Y511" i="1"/>
  <c r="Z511" i="1" s="1"/>
  <c r="G511" i="1"/>
  <c r="D511" i="1"/>
  <c r="C511" i="1"/>
  <c r="AL510" i="1"/>
  <c r="AK510" i="1"/>
  <c r="AJ510" i="1" a="1"/>
  <c r="AJ510" i="1" s="1"/>
  <c r="AN510" i="1" s="1"/>
  <c r="AI510" i="1" a="1"/>
  <c r="AI510" i="1" s="1"/>
  <c r="AM510" i="1" s="1"/>
  <c r="AH510" i="1"/>
  <c r="AA510" i="1"/>
  <c r="Y510" i="1"/>
  <c r="Z510" i="1" s="1"/>
  <c r="G510" i="1"/>
  <c r="D510" i="1"/>
  <c r="C510" i="1"/>
  <c r="AL509" i="1"/>
  <c r="AK509" i="1"/>
  <c r="AJ509" i="1" a="1"/>
  <c r="AJ509" i="1" s="1"/>
  <c r="AN509" i="1" s="1"/>
  <c r="AI509" i="1" a="1"/>
  <c r="AI509" i="1" s="1"/>
  <c r="AM509" i="1" s="1"/>
  <c r="AH509" i="1"/>
  <c r="AA509" i="1"/>
  <c r="Y509" i="1"/>
  <c r="Z509" i="1" s="1"/>
  <c r="G509" i="1"/>
  <c r="D509" i="1"/>
  <c r="C509" i="1"/>
  <c r="AL508" i="1"/>
  <c r="AK508" i="1"/>
  <c r="AJ508" i="1" a="1"/>
  <c r="AJ508" i="1" s="1"/>
  <c r="AN508" i="1" s="1"/>
  <c r="AI508" i="1" a="1"/>
  <c r="AI508" i="1" s="1"/>
  <c r="AM508" i="1" s="1"/>
  <c r="AH508" i="1"/>
  <c r="AA508" i="1"/>
  <c r="Y508" i="1"/>
  <c r="Z508" i="1" s="1"/>
  <c r="G508" i="1"/>
  <c r="D508" i="1"/>
  <c r="C508" i="1"/>
  <c r="AL507" i="1"/>
  <c r="AK507" i="1"/>
  <c r="AJ507" i="1" a="1"/>
  <c r="AJ507" i="1" s="1"/>
  <c r="AN507" i="1" s="1"/>
  <c r="AI507" i="1" a="1"/>
  <c r="AI507" i="1" s="1"/>
  <c r="AM507" i="1" s="1"/>
  <c r="AH507" i="1"/>
  <c r="AA507" i="1"/>
  <c r="Y507" i="1"/>
  <c r="Z507" i="1" s="1"/>
  <c r="G507" i="1"/>
  <c r="D507" i="1"/>
  <c r="C507" i="1"/>
  <c r="AL506" i="1"/>
  <c r="AK506" i="1"/>
  <c r="AJ506" i="1" a="1"/>
  <c r="AJ506" i="1" s="1"/>
  <c r="AN506" i="1" s="1"/>
  <c r="AI506" i="1" a="1"/>
  <c r="AI506" i="1" s="1"/>
  <c r="AM506" i="1" s="1"/>
  <c r="AH506" i="1"/>
  <c r="AA506" i="1"/>
  <c r="Y506" i="1"/>
  <c r="Z506" i="1" s="1"/>
  <c r="G506" i="1"/>
  <c r="D506" i="1"/>
  <c r="C506" i="1"/>
  <c r="AL505" i="1"/>
  <c r="AK505" i="1"/>
  <c r="AJ505" i="1" a="1"/>
  <c r="AJ505" i="1" s="1"/>
  <c r="AN505" i="1" s="1"/>
  <c r="AI505" i="1" a="1"/>
  <c r="AI505" i="1" s="1"/>
  <c r="AM505" i="1" s="1"/>
  <c r="AH505" i="1"/>
  <c r="AA505" i="1"/>
  <c r="Y505" i="1"/>
  <c r="Z505" i="1" s="1"/>
  <c r="G505" i="1"/>
  <c r="D505" i="1"/>
  <c r="C505" i="1"/>
  <c r="AL504" i="1"/>
  <c r="AK504" i="1"/>
  <c r="AJ504" i="1" a="1"/>
  <c r="AJ504" i="1" s="1"/>
  <c r="AN504" i="1" s="1"/>
  <c r="AI504" i="1" a="1"/>
  <c r="AI504" i="1" s="1"/>
  <c r="AM504" i="1" s="1"/>
  <c r="AH504" i="1"/>
  <c r="AA504" i="1"/>
  <c r="Y504" i="1"/>
  <c r="Z504" i="1" s="1"/>
  <c r="G504" i="1"/>
  <c r="D504" i="1"/>
  <c r="C504" i="1"/>
  <c r="AL503" i="1"/>
  <c r="AK503" i="1"/>
  <c r="AJ503" i="1" a="1"/>
  <c r="AJ503" i="1" s="1"/>
  <c r="AN503" i="1" s="1"/>
  <c r="AI503" i="1" a="1"/>
  <c r="AI503" i="1" s="1"/>
  <c r="AM503" i="1" s="1"/>
  <c r="AH503" i="1"/>
  <c r="AA503" i="1"/>
  <c r="Y503" i="1"/>
  <c r="Z503" i="1" s="1"/>
  <c r="G503" i="1"/>
  <c r="D503" i="1"/>
  <c r="C503" i="1"/>
  <c r="AL502" i="1"/>
  <c r="AK502" i="1"/>
  <c r="AJ502" i="1" a="1"/>
  <c r="AJ502" i="1" s="1"/>
  <c r="AN502" i="1" s="1"/>
  <c r="AI502" i="1" a="1"/>
  <c r="AI502" i="1" s="1"/>
  <c r="AM502" i="1" s="1"/>
  <c r="AH502" i="1"/>
  <c r="AA502" i="1"/>
  <c r="Y502" i="1"/>
  <c r="Z502" i="1" s="1"/>
  <c r="G502" i="1"/>
  <c r="D502" i="1"/>
  <c r="C502" i="1"/>
  <c r="AL501" i="1"/>
  <c r="AK501" i="1"/>
  <c r="AJ501" i="1" a="1"/>
  <c r="AJ501" i="1" s="1"/>
  <c r="AN501" i="1" s="1"/>
  <c r="AI501" i="1" a="1"/>
  <c r="AI501" i="1" s="1"/>
  <c r="AM501" i="1" s="1"/>
  <c r="AH501" i="1"/>
  <c r="AA501" i="1"/>
  <c r="Y501" i="1"/>
  <c r="Z501" i="1" s="1"/>
  <c r="G501" i="1"/>
  <c r="D501" i="1"/>
  <c r="C501" i="1"/>
  <c r="AL500" i="1"/>
  <c r="AK500" i="1"/>
  <c r="AJ500" i="1" a="1"/>
  <c r="AJ500" i="1" s="1"/>
  <c r="AN500" i="1" s="1"/>
  <c r="AI500" i="1" a="1"/>
  <c r="AI500" i="1" s="1"/>
  <c r="AM500" i="1" s="1"/>
  <c r="AH500" i="1"/>
  <c r="AA500" i="1"/>
  <c r="Y500" i="1"/>
  <c r="Z500" i="1" s="1"/>
  <c r="G500" i="1"/>
  <c r="D500" i="1"/>
  <c r="C500" i="1"/>
  <c r="AL499" i="1"/>
  <c r="AK499" i="1"/>
  <c r="AJ499" i="1" a="1"/>
  <c r="AJ499" i="1" s="1"/>
  <c r="AN499" i="1" s="1"/>
  <c r="AI499" i="1" a="1"/>
  <c r="AI499" i="1" s="1"/>
  <c r="AM499" i="1" s="1"/>
  <c r="AH499" i="1"/>
  <c r="AA499" i="1"/>
  <c r="Y499" i="1"/>
  <c r="Z499" i="1" s="1"/>
  <c r="G499" i="1"/>
  <c r="D499" i="1"/>
  <c r="C499" i="1"/>
  <c r="AL498" i="1"/>
  <c r="AK498" i="1"/>
  <c r="AJ498" i="1" a="1"/>
  <c r="AJ498" i="1" s="1"/>
  <c r="AN498" i="1" s="1"/>
  <c r="AI498" i="1" a="1"/>
  <c r="AI498" i="1" s="1"/>
  <c r="AM498" i="1" s="1"/>
  <c r="AH498" i="1"/>
  <c r="AA498" i="1"/>
  <c r="Y498" i="1"/>
  <c r="Z498" i="1" s="1"/>
  <c r="G498" i="1"/>
  <c r="D498" i="1"/>
  <c r="C498" i="1"/>
  <c r="AL497" i="1"/>
  <c r="AK497" i="1"/>
  <c r="AJ497" i="1" a="1"/>
  <c r="AJ497" i="1" s="1"/>
  <c r="AN497" i="1" s="1"/>
  <c r="AI497" i="1" a="1"/>
  <c r="AI497" i="1" s="1"/>
  <c r="AM497" i="1" s="1"/>
  <c r="AH497" i="1"/>
  <c r="AA497" i="1"/>
  <c r="Y497" i="1"/>
  <c r="Z497" i="1" s="1"/>
  <c r="G497" i="1"/>
  <c r="D497" i="1"/>
  <c r="C497" i="1"/>
  <c r="AL496" i="1"/>
  <c r="AK496" i="1"/>
  <c r="AJ496" i="1" a="1"/>
  <c r="AJ496" i="1" s="1"/>
  <c r="AN496" i="1" s="1"/>
  <c r="AI496" i="1" a="1"/>
  <c r="AI496" i="1" s="1"/>
  <c r="AM496" i="1" s="1"/>
  <c r="AH496" i="1"/>
  <c r="AA496" i="1"/>
  <c r="Y496" i="1"/>
  <c r="Z496" i="1" s="1"/>
  <c r="G496" i="1"/>
  <c r="D496" i="1"/>
  <c r="C496" i="1"/>
  <c r="AL495" i="1"/>
  <c r="AK495" i="1"/>
  <c r="AJ495" i="1" a="1"/>
  <c r="AJ495" i="1" s="1"/>
  <c r="AN495" i="1" s="1"/>
  <c r="AI495" i="1" a="1"/>
  <c r="AI495" i="1" s="1"/>
  <c r="AM495" i="1" s="1"/>
  <c r="AH495" i="1"/>
  <c r="AA495" i="1"/>
  <c r="Y495" i="1"/>
  <c r="Z495" i="1" s="1"/>
  <c r="G495" i="1"/>
  <c r="D495" i="1"/>
  <c r="C495" i="1"/>
  <c r="AL494" i="1"/>
  <c r="AK494" i="1"/>
  <c r="AJ494" i="1" a="1"/>
  <c r="AJ494" i="1" s="1"/>
  <c r="AN494" i="1" s="1"/>
  <c r="AI494" i="1" a="1"/>
  <c r="AI494" i="1" s="1"/>
  <c r="AM494" i="1" s="1"/>
  <c r="AH494" i="1"/>
  <c r="AA494" i="1"/>
  <c r="Y494" i="1"/>
  <c r="Z494" i="1" s="1"/>
  <c r="G494" i="1"/>
  <c r="D494" i="1"/>
  <c r="C494" i="1"/>
  <c r="AL493" i="1"/>
  <c r="AK493" i="1"/>
  <c r="AJ493" i="1" a="1"/>
  <c r="AJ493" i="1" s="1"/>
  <c r="AN493" i="1" s="1"/>
  <c r="AI493" i="1" a="1"/>
  <c r="AI493" i="1" s="1"/>
  <c r="AM493" i="1" s="1"/>
  <c r="AH493" i="1"/>
  <c r="AA493" i="1"/>
  <c r="Y493" i="1"/>
  <c r="Z493" i="1" s="1"/>
  <c r="G493" i="1"/>
  <c r="D493" i="1"/>
  <c r="C493" i="1"/>
  <c r="AL492" i="1"/>
  <c r="AK492" i="1"/>
  <c r="AJ492" i="1" a="1"/>
  <c r="AJ492" i="1" s="1"/>
  <c r="AN492" i="1" s="1"/>
  <c r="AI492" i="1" a="1"/>
  <c r="AI492" i="1" s="1"/>
  <c r="AM492" i="1" s="1"/>
  <c r="AH492" i="1"/>
  <c r="AA492" i="1"/>
  <c r="Y492" i="1"/>
  <c r="Z492" i="1" s="1"/>
  <c r="G492" i="1"/>
  <c r="D492" i="1"/>
  <c r="C492" i="1"/>
  <c r="AL491" i="1"/>
  <c r="AK491" i="1"/>
  <c r="AJ491" i="1" a="1"/>
  <c r="AJ491" i="1" s="1"/>
  <c r="AN491" i="1" s="1"/>
  <c r="AI491" i="1" a="1"/>
  <c r="AI491" i="1" s="1"/>
  <c r="AM491" i="1" s="1"/>
  <c r="AH491" i="1"/>
  <c r="AA491" i="1"/>
  <c r="Y491" i="1"/>
  <c r="Z491" i="1" s="1"/>
  <c r="G491" i="1"/>
  <c r="D491" i="1"/>
  <c r="C491" i="1"/>
  <c r="AL490" i="1"/>
  <c r="AK490" i="1"/>
  <c r="AJ490" i="1" a="1"/>
  <c r="AJ490" i="1" s="1"/>
  <c r="AN490" i="1" s="1"/>
  <c r="AI490" i="1" a="1"/>
  <c r="AI490" i="1" s="1"/>
  <c r="AM490" i="1" s="1"/>
  <c r="AH490" i="1"/>
  <c r="AA490" i="1"/>
  <c r="Y490" i="1"/>
  <c r="Z490" i="1" s="1"/>
  <c r="G490" i="1"/>
  <c r="D490" i="1"/>
  <c r="C490" i="1"/>
  <c r="AL489" i="1"/>
  <c r="AK489" i="1"/>
  <c r="AJ489" i="1" a="1"/>
  <c r="AJ489" i="1" s="1"/>
  <c r="AN489" i="1" s="1"/>
  <c r="AI489" i="1" a="1"/>
  <c r="AI489" i="1" s="1"/>
  <c r="AM489" i="1" s="1"/>
  <c r="AH489" i="1"/>
  <c r="AA489" i="1"/>
  <c r="Y489" i="1"/>
  <c r="Z489" i="1" s="1"/>
  <c r="G489" i="1"/>
  <c r="D489" i="1"/>
  <c r="C489" i="1"/>
  <c r="AL488" i="1"/>
  <c r="AK488" i="1"/>
  <c r="AJ488" i="1" a="1"/>
  <c r="AJ488" i="1" s="1"/>
  <c r="AN488" i="1" s="1"/>
  <c r="AI488" i="1" a="1"/>
  <c r="AI488" i="1" s="1"/>
  <c r="AM488" i="1" s="1"/>
  <c r="AH488" i="1"/>
  <c r="AA488" i="1"/>
  <c r="Y488" i="1"/>
  <c r="Z488" i="1" s="1"/>
  <c r="G488" i="1"/>
  <c r="D488" i="1"/>
  <c r="C488" i="1"/>
  <c r="AL487" i="1"/>
  <c r="AK487" i="1"/>
  <c r="AJ487" i="1" a="1"/>
  <c r="AJ487" i="1" s="1"/>
  <c r="AN487" i="1" s="1"/>
  <c r="AI487" i="1" a="1"/>
  <c r="AI487" i="1" s="1"/>
  <c r="AM487" i="1" s="1"/>
  <c r="AH487" i="1"/>
  <c r="AA487" i="1"/>
  <c r="Y487" i="1"/>
  <c r="Z487" i="1" s="1"/>
  <c r="G487" i="1"/>
  <c r="D487" i="1"/>
  <c r="C487" i="1"/>
  <c r="AL486" i="1"/>
  <c r="AK486" i="1"/>
  <c r="AJ486" i="1" a="1"/>
  <c r="AJ486" i="1" s="1"/>
  <c r="AN486" i="1" s="1"/>
  <c r="AI486" i="1" a="1"/>
  <c r="AI486" i="1" s="1"/>
  <c r="AM486" i="1" s="1"/>
  <c r="AH486" i="1"/>
  <c r="AA486" i="1"/>
  <c r="Y486" i="1"/>
  <c r="Z486" i="1" s="1"/>
  <c r="G486" i="1"/>
  <c r="D486" i="1"/>
  <c r="C486" i="1"/>
  <c r="AL485" i="1"/>
  <c r="AK485" i="1"/>
  <c r="AJ485" i="1" a="1"/>
  <c r="AJ485" i="1" s="1"/>
  <c r="AN485" i="1" s="1"/>
  <c r="AI485" i="1" a="1"/>
  <c r="AI485" i="1" s="1"/>
  <c r="AM485" i="1" s="1"/>
  <c r="AH485" i="1"/>
  <c r="AA485" i="1"/>
  <c r="Y485" i="1"/>
  <c r="Z485" i="1" s="1"/>
  <c r="G485" i="1"/>
  <c r="D485" i="1"/>
  <c r="C485" i="1"/>
  <c r="AL484" i="1"/>
  <c r="AK484" i="1"/>
  <c r="AJ484" i="1" a="1"/>
  <c r="AJ484" i="1" s="1"/>
  <c r="AN484" i="1" s="1"/>
  <c r="AI484" i="1" a="1"/>
  <c r="AI484" i="1" s="1"/>
  <c r="AM484" i="1" s="1"/>
  <c r="AH484" i="1"/>
  <c r="AA484" i="1"/>
  <c r="Y484" i="1"/>
  <c r="Z484" i="1" s="1"/>
  <c r="G484" i="1"/>
  <c r="D484" i="1"/>
  <c r="C484" i="1"/>
  <c r="AL483" i="1"/>
  <c r="AK483" i="1"/>
  <c r="AJ483" i="1" a="1"/>
  <c r="AJ483" i="1" s="1"/>
  <c r="AN483" i="1" s="1"/>
  <c r="AI483" i="1" a="1"/>
  <c r="AI483" i="1" s="1"/>
  <c r="AM483" i="1" s="1"/>
  <c r="AH483" i="1"/>
  <c r="AA483" i="1"/>
  <c r="Y483" i="1"/>
  <c r="Z483" i="1" s="1"/>
  <c r="G483" i="1"/>
  <c r="D483" i="1"/>
  <c r="C483" i="1"/>
  <c r="AL482" i="1"/>
  <c r="AK482" i="1"/>
  <c r="AJ482" i="1" a="1"/>
  <c r="AJ482" i="1" s="1"/>
  <c r="AN482" i="1" s="1"/>
  <c r="AI482" i="1" a="1"/>
  <c r="AI482" i="1" s="1"/>
  <c r="AM482" i="1" s="1"/>
  <c r="AH482" i="1"/>
  <c r="AA482" i="1"/>
  <c r="Y482" i="1"/>
  <c r="Z482" i="1" s="1"/>
  <c r="G482" i="1"/>
  <c r="D482" i="1"/>
  <c r="C482" i="1"/>
  <c r="AL481" i="1"/>
  <c r="AK481" i="1"/>
  <c r="AJ481" i="1" a="1"/>
  <c r="AJ481" i="1" s="1"/>
  <c r="AN481" i="1" s="1"/>
  <c r="AI481" i="1" a="1"/>
  <c r="AI481" i="1" s="1"/>
  <c r="AM481" i="1" s="1"/>
  <c r="AH481" i="1"/>
  <c r="AA481" i="1"/>
  <c r="Y481" i="1"/>
  <c r="Z481" i="1" s="1"/>
  <c r="G481" i="1"/>
  <c r="D481" i="1"/>
  <c r="C481" i="1"/>
  <c r="AL480" i="1"/>
  <c r="AK480" i="1"/>
  <c r="AJ480" i="1" a="1"/>
  <c r="AJ480" i="1" s="1"/>
  <c r="AN480" i="1" s="1"/>
  <c r="AI480" i="1" a="1"/>
  <c r="AI480" i="1" s="1"/>
  <c r="AM480" i="1" s="1"/>
  <c r="AH480" i="1"/>
  <c r="AA480" i="1"/>
  <c r="Y480" i="1"/>
  <c r="Z480" i="1" s="1"/>
  <c r="G480" i="1"/>
  <c r="D480" i="1"/>
  <c r="C480" i="1"/>
  <c r="AL479" i="1"/>
  <c r="AK479" i="1"/>
  <c r="AJ479" i="1" a="1"/>
  <c r="AJ479" i="1" s="1"/>
  <c r="AN479" i="1" s="1"/>
  <c r="AI479" i="1" a="1"/>
  <c r="AI479" i="1" s="1"/>
  <c r="AM479" i="1" s="1"/>
  <c r="AH479" i="1"/>
  <c r="AA479" i="1"/>
  <c r="Y479" i="1"/>
  <c r="Z479" i="1" s="1"/>
  <c r="G479" i="1"/>
  <c r="D479" i="1"/>
  <c r="C479" i="1"/>
  <c r="AL478" i="1"/>
  <c r="AK478" i="1"/>
  <c r="AJ478" i="1" a="1"/>
  <c r="AJ478" i="1" s="1"/>
  <c r="AN478" i="1" s="1"/>
  <c r="AI478" i="1" a="1"/>
  <c r="AI478" i="1" s="1"/>
  <c r="AM478" i="1" s="1"/>
  <c r="AH478" i="1"/>
  <c r="AA478" i="1"/>
  <c r="Y478" i="1"/>
  <c r="Z478" i="1" s="1"/>
  <c r="G478" i="1"/>
  <c r="D478" i="1"/>
  <c r="C478" i="1"/>
  <c r="AL477" i="1"/>
  <c r="AK477" i="1"/>
  <c r="AJ477" i="1" a="1"/>
  <c r="AJ477" i="1" s="1"/>
  <c r="AN477" i="1" s="1"/>
  <c r="AI477" i="1" a="1"/>
  <c r="AI477" i="1" s="1"/>
  <c r="AM477" i="1" s="1"/>
  <c r="AH477" i="1"/>
  <c r="AA477" i="1"/>
  <c r="Y477" i="1"/>
  <c r="Z477" i="1" s="1"/>
  <c r="G477" i="1"/>
  <c r="D477" i="1"/>
  <c r="C477" i="1"/>
  <c r="AL476" i="1"/>
  <c r="AK476" i="1"/>
  <c r="AJ476" i="1" a="1"/>
  <c r="AJ476" i="1" s="1"/>
  <c r="AN476" i="1" s="1"/>
  <c r="AI476" i="1" a="1"/>
  <c r="AI476" i="1" s="1"/>
  <c r="AM476" i="1" s="1"/>
  <c r="AH476" i="1"/>
  <c r="AA476" i="1"/>
  <c r="Y476" i="1"/>
  <c r="Z476" i="1" s="1"/>
  <c r="G476" i="1"/>
  <c r="D476" i="1"/>
  <c r="C476" i="1"/>
  <c r="AL475" i="1"/>
  <c r="AK475" i="1"/>
  <c r="AJ475" i="1" a="1"/>
  <c r="AJ475" i="1" s="1"/>
  <c r="AN475" i="1" s="1"/>
  <c r="AI475" i="1" a="1"/>
  <c r="AI475" i="1" s="1"/>
  <c r="AM475" i="1" s="1"/>
  <c r="AH475" i="1"/>
  <c r="AA475" i="1"/>
  <c r="Y475" i="1"/>
  <c r="Z475" i="1" s="1"/>
  <c r="G475" i="1"/>
  <c r="D475" i="1"/>
  <c r="C475" i="1"/>
  <c r="AL474" i="1"/>
  <c r="AK474" i="1"/>
  <c r="AJ474" i="1" a="1"/>
  <c r="AJ474" i="1" s="1"/>
  <c r="AN474" i="1" s="1"/>
  <c r="AI474" i="1" a="1"/>
  <c r="AI474" i="1" s="1"/>
  <c r="AM474" i="1" s="1"/>
  <c r="AH474" i="1"/>
  <c r="AA474" i="1"/>
  <c r="Y474" i="1"/>
  <c r="Z474" i="1" s="1"/>
  <c r="G474" i="1"/>
  <c r="D474" i="1"/>
  <c r="C474" i="1"/>
  <c r="AL473" i="1"/>
  <c r="AK473" i="1"/>
  <c r="AJ473" i="1" a="1"/>
  <c r="AJ473" i="1" s="1"/>
  <c r="AN473" i="1" s="1"/>
  <c r="AI473" i="1" a="1"/>
  <c r="AI473" i="1" s="1"/>
  <c r="AM473" i="1" s="1"/>
  <c r="AH473" i="1"/>
  <c r="AA473" i="1"/>
  <c r="Y473" i="1"/>
  <c r="Z473" i="1" s="1"/>
  <c r="G473" i="1"/>
  <c r="D473" i="1"/>
  <c r="C473" i="1"/>
  <c r="AL472" i="1"/>
  <c r="AK472" i="1"/>
  <c r="AJ472" i="1" a="1"/>
  <c r="AJ472" i="1" s="1"/>
  <c r="AN472" i="1" s="1"/>
  <c r="AI472" i="1" a="1"/>
  <c r="AI472" i="1" s="1"/>
  <c r="AM472" i="1" s="1"/>
  <c r="AH472" i="1"/>
  <c r="AA472" i="1"/>
  <c r="Y472" i="1"/>
  <c r="Z472" i="1" s="1"/>
  <c r="G472" i="1"/>
  <c r="D472" i="1"/>
  <c r="C472" i="1"/>
  <c r="AL471" i="1"/>
  <c r="AK471" i="1"/>
  <c r="AJ471" i="1" a="1"/>
  <c r="AJ471" i="1" s="1"/>
  <c r="AN471" i="1" s="1"/>
  <c r="AI471" i="1" a="1"/>
  <c r="AI471" i="1" s="1"/>
  <c r="AM471" i="1" s="1"/>
  <c r="AH471" i="1"/>
  <c r="AA471" i="1"/>
  <c r="Y471" i="1"/>
  <c r="Z471" i="1" s="1"/>
  <c r="G471" i="1"/>
  <c r="D471" i="1"/>
  <c r="C471" i="1"/>
  <c r="AL470" i="1"/>
  <c r="AK470" i="1"/>
  <c r="AJ470" i="1" a="1"/>
  <c r="AJ470" i="1" s="1"/>
  <c r="AN470" i="1" s="1"/>
  <c r="AI470" i="1" a="1"/>
  <c r="AI470" i="1" s="1"/>
  <c r="AM470" i="1" s="1"/>
  <c r="AH470" i="1"/>
  <c r="AA470" i="1"/>
  <c r="Y470" i="1"/>
  <c r="Z470" i="1" s="1"/>
  <c r="G470" i="1"/>
  <c r="D470" i="1"/>
  <c r="C470" i="1"/>
  <c r="AL469" i="1"/>
  <c r="AK469" i="1"/>
  <c r="AJ469" i="1" a="1"/>
  <c r="AJ469" i="1" s="1"/>
  <c r="AN469" i="1" s="1"/>
  <c r="AI469" i="1" a="1"/>
  <c r="AI469" i="1" s="1"/>
  <c r="AM469" i="1" s="1"/>
  <c r="AH469" i="1"/>
  <c r="AA469" i="1"/>
  <c r="Y469" i="1"/>
  <c r="Z469" i="1" s="1"/>
  <c r="G469" i="1"/>
  <c r="D469" i="1"/>
  <c r="C469" i="1"/>
  <c r="AL468" i="1"/>
  <c r="AK468" i="1"/>
  <c r="AJ468" i="1" a="1"/>
  <c r="AJ468" i="1" s="1"/>
  <c r="AN468" i="1" s="1"/>
  <c r="AI468" i="1" a="1"/>
  <c r="AI468" i="1" s="1"/>
  <c r="AM468" i="1" s="1"/>
  <c r="AH468" i="1"/>
  <c r="AA468" i="1"/>
  <c r="Y468" i="1"/>
  <c r="Z468" i="1" s="1"/>
  <c r="G468" i="1"/>
  <c r="D468" i="1"/>
  <c r="C468" i="1"/>
  <c r="AL467" i="1"/>
  <c r="AK467" i="1"/>
  <c r="AJ467" i="1" a="1"/>
  <c r="AJ467" i="1" s="1"/>
  <c r="AN467" i="1" s="1"/>
  <c r="AI467" i="1" a="1"/>
  <c r="AI467" i="1" s="1"/>
  <c r="AM467" i="1" s="1"/>
  <c r="AH467" i="1"/>
  <c r="AA467" i="1"/>
  <c r="Y467" i="1"/>
  <c r="Z467" i="1" s="1"/>
  <c r="G467" i="1"/>
  <c r="D467" i="1"/>
  <c r="C467" i="1"/>
  <c r="AL466" i="1"/>
  <c r="AK466" i="1"/>
  <c r="AJ466" i="1" a="1"/>
  <c r="AJ466" i="1" s="1"/>
  <c r="AN466" i="1" s="1"/>
  <c r="AI466" i="1" a="1"/>
  <c r="AI466" i="1" s="1"/>
  <c r="AM466" i="1" s="1"/>
  <c r="AH466" i="1"/>
  <c r="AA466" i="1"/>
  <c r="Y466" i="1"/>
  <c r="Z466" i="1" s="1"/>
  <c r="G466" i="1"/>
  <c r="D466" i="1"/>
  <c r="C466" i="1"/>
  <c r="AL465" i="1"/>
  <c r="AK465" i="1"/>
  <c r="AJ465" i="1" a="1"/>
  <c r="AJ465" i="1" s="1"/>
  <c r="AN465" i="1" s="1"/>
  <c r="AI465" i="1" a="1"/>
  <c r="AI465" i="1" s="1"/>
  <c r="AM465" i="1" s="1"/>
  <c r="AH465" i="1"/>
  <c r="AA465" i="1"/>
  <c r="Y465" i="1"/>
  <c r="Z465" i="1" s="1"/>
  <c r="G465" i="1"/>
  <c r="D465" i="1"/>
  <c r="C465" i="1"/>
  <c r="AL464" i="1"/>
  <c r="AK464" i="1"/>
  <c r="AJ464" i="1" a="1"/>
  <c r="AJ464" i="1" s="1"/>
  <c r="AN464" i="1" s="1"/>
  <c r="AI464" i="1" a="1"/>
  <c r="AI464" i="1" s="1"/>
  <c r="AM464" i="1" s="1"/>
  <c r="AH464" i="1"/>
  <c r="AA464" i="1"/>
  <c r="Y464" i="1"/>
  <c r="Z464" i="1" s="1"/>
  <c r="G464" i="1"/>
  <c r="D464" i="1"/>
  <c r="C464" i="1"/>
  <c r="AL463" i="1"/>
  <c r="AK463" i="1"/>
  <c r="AJ463" i="1" a="1"/>
  <c r="AJ463" i="1" s="1"/>
  <c r="AN463" i="1" s="1"/>
  <c r="AI463" i="1" a="1"/>
  <c r="AI463" i="1" s="1"/>
  <c r="AM463" i="1" s="1"/>
  <c r="AH463" i="1"/>
  <c r="AA463" i="1"/>
  <c r="Y463" i="1"/>
  <c r="Z463" i="1" s="1"/>
  <c r="G463" i="1"/>
  <c r="D463" i="1"/>
  <c r="C463" i="1"/>
  <c r="AL462" i="1"/>
  <c r="AK462" i="1"/>
  <c r="AJ462" i="1" a="1"/>
  <c r="AJ462" i="1" s="1"/>
  <c r="AN462" i="1" s="1"/>
  <c r="AI462" i="1" a="1"/>
  <c r="AI462" i="1" s="1"/>
  <c r="AM462" i="1" s="1"/>
  <c r="AH462" i="1"/>
  <c r="AA462" i="1"/>
  <c r="Y462" i="1"/>
  <c r="Z462" i="1" s="1"/>
  <c r="G462" i="1"/>
  <c r="D462" i="1"/>
  <c r="C462" i="1"/>
  <c r="AL461" i="1"/>
  <c r="AK461" i="1"/>
  <c r="AJ461" i="1" a="1"/>
  <c r="AJ461" i="1" s="1"/>
  <c r="AN461" i="1" s="1"/>
  <c r="AI461" i="1" a="1"/>
  <c r="AI461" i="1" s="1"/>
  <c r="AM461" i="1" s="1"/>
  <c r="AH461" i="1"/>
  <c r="AA461" i="1"/>
  <c r="Y461" i="1"/>
  <c r="Z461" i="1" s="1"/>
  <c r="G461" i="1"/>
  <c r="D461" i="1"/>
  <c r="C461" i="1"/>
  <c r="AL460" i="1"/>
  <c r="AK460" i="1"/>
  <c r="AJ460" i="1" a="1"/>
  <c r="AJ460" i="1" s="1"/>
  <c r="AN460" i="1" s="1"/>
  <c r="AI460" i="1" a="1"/>
  <c r="AI460" i="1" s="1"/>
  <c r="AM460" i="1" s="1"/>
  <c r="AH460" i="1"/>
  <c r="AA460" i="1"/>
  <c r="Y460" i="1"/>
  <c r="Z460" i="1" s="1"/>
  <c r="G460" i="1"/>
  <c r="D460" i="1"/>
  <c r="C460" i="1"/>
  <c r="AL459" i="1"/>
  <c r="AK459" i="1"/>
  <c r="AJ459" i="1" a="1"/>
  <c r="AJ459" i="1" s="1"/>
  <c r="AN459" i="1" s="1"/>
  <c r="AI459" i="1" a="1"/>
  <c r="AI459" i="1" s="1"/>
  <c r="AM459" i="1" s="1"/>
  <c r="AH459" i="1"/>
  <c r="AA459" i="1"/>
  <c r="Y459" i="1"/>
  <c r="Z459" i="1" s="1"/>
  <c r="G459" i="1"/>
  <c r="D459" i="1"/>
  <c r="C459" i="1"/>
  <c r="AL458" i="1"/>
  <c r="AK458" i="1"/>
  <c r="AJ458" i="1" a="1"/>
  <c r="AJ458" i="1" s="1"/>
  <c r="AN458" i="1" s="1"/>
  <c r="AI458" i="1" a="1"/>
  <c r="AI458" i="1" s="1"/>
  <c r="AM458" i="1" s="1"/>
  <c r="AH458" i="1"/>
  <c r="AA458" i="1"/>
  <c r="Y458" i="1"/>
  <c r="Z458" i="1" s="1"/>
  <c r="G458" i="1"/>
  <c r="D458" i="1"/>
  <c r="C458" i="1"/>
  <c r="AL457" i="1"/>
  <c r="AK457" i="1"/>
  <c r="AJ457" i="1" a="1"/>
  <c r="AJ457" i="1" s="1"/>
  <c r="AN457" i="1" s="1"/>
  <c r="AI457" i="1" a="1"/>
  <c r="AI457" i="1" s="1"/>
  <c r="AM457" i="1" s="1"/>
  <c r="AH457" i="1"/>
  <c r="AA457" i="1"/>
  <c r="Y457" i="1"/>
  <c r="Z457" i="1" s="1"/>
  <c r="G457" i="1"/>
  <c r="D457" i="1"/>
  <c r="C457" i="1"/>
  <c r="AL456" i="1"/>
  <c r="AK456" i="1"/>
  <c r="AJ456" i="1" a="1"/>
  <c r="AJ456" i="1" s="1"/>
  <c r="AN456" i="1" s="1"/>
  <c r="AI456" i="1" a="1"/>
  <c r="AI456" i="1" s="1"/>
  <c r="AM456" i="1" s="1"/>
  <c r="AH456" i="1"/>
  <c r="AA456" i="1"/>
  <c r="Y456" i="1"/>
  <c r="Z456" i="1" s="1"/>
  <c r="G456" i="1"/>
  <c r="D456" i="1"/>
  <c r="C456" i="1"/>
  <c r="AL455" i="1"/>
  <c r="AK455" i="1"/>
  <c r="AJ455" i="1" a="1"/>
  <c r="AJ455" i="1" s="1"/>
  <c r="AN455" i="1" s="1"/>
  <c r="AI455" i="1" a="1"/>
  <c r="AI455" i="1" s="1"/>
  <c r="AM455" i="1" s="1"/>
  <c r="AH455" i="1"/>
  <c r="AA455" i="1"/>
  <c r="Y455" i="1"/>
  <c r="Z455" i="1" s="1"/>
  <c r="G455" i="1"/>
  <c r="D455" i="1"/>
  <c r="C455" i="1"/>
  <c r="AL454" i="1"/>
  <c r="AK454" i="1"/>
  <c r="AJ454" i="1" a="1"/>
  <c r="AJ454" i="1" s="1"/>
  <c r="AN454" i="1" s="1"/>
  <c r="AI454" i="1" a="1"/>
  <c r="AI454" i="1" s="1"/>
  <c r="AM454" i="1" s="1"/>
  <c r="AH454" i="1"/>
  <c r="AA454" i="1"/>
  <c r="Y454" i="1"/>
  <c r="Z454" i="1" s="1"/>
  <c r="G454" i="1"/>
  <c r="D454" i="1"/>
  <c r="C454" i="1"/>
  <c r="AL453" i="1"/>
  <c r="AK453" i="1"/>
  <c r="AJ453" i="1" a="1"/>
  <c r="AJ453" i="1" s="1"/>
  <c r="AN453" i="1" s="1"/>
  <c r="AI453" i="1" a="1"/>
  <c r="AI453" i="1" s="1"/>
  <c r="AM453" i="1" s="1"/>
  <c r="AH453" i="1"/>
  <c r="AA453" i="1"/>
  <c r="Y453" i="1"/>
  <c r="Z453" i="1" s="1"/>
  <c r="G453" i="1"/>
  <c r="D453" i="1"/>
  <c r="C453" i="1"/>
  <c r="AL452" i="1"/>
  <c r="AK452" i="1"/>
  <c r="AJ452" i="1" a="1"/>
  <c r="AJ452" i="1" s="1"/>
  <c r="AN452" i="1" s="1"/>
  <c r="AI452" i="1" a="1"/>
  <c r="AI452" i="1" s="1"/>
  <c r="AM452" i="1" s="1"/>
  <c r="AH452" i="1"/>
  <c r="AA452" i="1"/>
  <c r="Y452" i="1"/>
  <c r="Z452" i="1" s="1"/>
  <c r="G452" i="1"/>
  <c r="D452" i="1"/>
  <c r="C452" i="1"/>
  <c r="AL451" i="1"/>
  <c r="AK451" i="1"/>
  <c r="AJ451" i="1" a="1"/>
  <c r="AJ451" i="1" s="1"/>
  <c r="AN451" i="1" s="1"/>
  <c r="AI451" i="1" a="1"/>
  <c r="AI451" i="1" s="1"/>
  <c r="AM451" i="1" s="1"/>
  <c r="AH451" i="1"/>
  <c r="AA451" i="1"/>
  <c r="Y451" i="1"/>
  <c r="Z451" i="1" s="1"/>
  <c r="G451" i="1"/>
  <c r="D451" i="1"/>
  <c r="C451" i="1"/>
  <c r="AL450" i="1"/>
  <c r="AK450" i="1"/>
  <c r="AJ450" i="1" a="1"/>
  <c r="AJ450" i="1" s="1"/>
  <c r="AN450" i="1" s="1"/>
  <c r="AI450" i="1" a="1"/>
  <c r="AI450" i="1" s="1"/>
  <c r="AM450" i="1" s="1"/>
  <c r="AH450" i="1"/>
  <c r="AA450" i="1"/>
  <c r="Y450" i="1"/>
  <c r="Z450" i="1" s="1"/>
  <c r="G450" i="1"/>
  <c r="D450" i="1"/>
  <c r="C450" i="1"/>
  <c r="AL449" i="1"/>
  <c r="AK449" i="1"/>
  <c r="AJ449" i="1" a="1"/>
  <c r="AJ449" i="1" s="1"/>
  <c r="AN449" i="1" s="1"/>
  <c r="AI449" i="1" a="1"/>
  <c r="AI449" i="1" s="1"/>
  <c r="AM449" i="1" s="1"/>
  <c r="AH449" i="1"/>
  <c r="AA449" i="1"/>
  <c r="Y449" i="1"/>
  <c r="Z449" i="1" s="1"/>
  <c r="G449" i="1"/>
  <c r="D449" i="1"/>
  <c r="C449" i="1"/>
  <c r="AL448" i="1"/>
  <c r="AK448" i="1"/>
  <c r="AJ448" i="1" a="1"/>
  <c r="AJ448" i="1" s="1"/>
  <c r="AN448" i="1" s="1"/>
  <c r="AI448" i="1" a="1"/>
  <c r="AI448" i="1" s="1"/>
  <c r="AM448" i="1" s="1"/>
  <c r="AH448" i="1"/>
  <c r="AA448" i="1"/>
  <c r="Y448" i="1"/>
  <c r="Z448" i="1" s="1"/>
  <c r="G448" i="1"/>
  <c r="D448" i="1"/>
  <c r="C448" i="1"/>
  <c r="AL447" i="1"/>
  <c r="AK447" i="1"/>
  <c r="AJ447" i="1" a="1"/>
  <c r="AJ447" i="1" s="1"/>
  <c r="AN447" i="1" s="1"/>
  <c r="AI447" i="1" a="1"/>
  <c r="AI447" i="1" s="1"/>
  <c r="AM447" i="1" s="1"/>
  <c r="AH447" i="1"/>
  <c r="AA447" i="1"/>
  <c r="Y447" i="1"/>
  <c r="Z447" i="1" s="1"/>
  <c r="G447" i="1"/>
  <c r="D447" i="1"/>
  <c r="C447" i="1"/>
  <c r="AL446" i="1"/>
  <c r="AK446" i="1"/>
  <c r="AJ446" i="1" a="1"/>
  <c r="AJ446" i="1" s="1"/>
  <c r="AN446" i="1" s="1"/>
  <c r="AI446" i="1" a="1"/>
  <c r="AI446" i="1" s="1"/>
  <c r="AM446" i="1" s="1"/>
  <c r="AH446" i="1"/>
  <c r="AA446" i="1"/>
  <c r="Y446" i="1"/>
  <c r="Z446" i="1" s="1"/>
  <c r="G446" i="1"/>
  <c r="D446" i="1"/>
  <c r="C446" i="1"/>
  <c r="AL445" i="1"/>
  <c r="AK445" i="1"/>
  <c r="AJ445" i="1" a="1"/>
  <c r="AJ445" i="1" s="1"/>
  <c r="AN445" i="1" s="1"/>
  <c r="AI445" i="1" a="1"/>
  <c r="AI445" i="1" s="1"/>
  <c r="AM445" i="1" s="1"/>
  <c r="AH445" i="1"/>
  <c r="AA445" i="1"/>
  <c r="Y445" i="1"/>
  <c r="Z445" i="1" s="1"/>
  <c r="G445" i="1"/>
  <c r="D445" i="1"/>
  <c r="C445" i="1"/>
  <c r="AL444" i="1"/>
  <c r="AK444" i="1"/>
  <c r="AJ444" i="1" a="1"/>
  <c r="AJ444" i="1" s="1"/>
  <c r="AN444" i="1" s="1"/>
  <c r="AI444" i="1" a="1"/>
  <c r="AI444" i="1" s="1"/>
  <c r="AM444" i="1" s="1"/>
  <c r="AH444" i="1"/>
  <c r="AA444" i="1"/>
  <c r="Y444" i="1"/>
  <c r="Z444" i="1" s="1"/>
  <c r="G444" i="1"/>
  <c r="D444" i="1"/>
  <c r="C444" i="1"/>
  <c r="AL443" i="1"/>
  <c r="AK443" i="1"/>
  <c r="AJ443" i="1" a="1"/>
  <c r="AJ443" i="1" s="1"/>
  <c r="AN443" i="1" s="1"/>
  <c r="AI443" i="1" a="1"/>
  <c r="AI443" i="1" s="1"/>
  <c r="AM443" i="1" s="1"/>
  <c r="AH443" i="1"/>
  <c r="AA443" i="1"/>
  <c r="Y443" i="1"/>
  <c r="Z443" i="1" s="1"/>
  <c r="G443" i="1"/>
  <c r="D443" i="1"/>
  <c r="C443" i="1"/>
  <c r="AL442" i="1"/>
  <c r="AK442" i="1"/>
  <c r="AJ442" i="1" a="1"/>
  <c r="AJ442" i="1" s="1"/>
  <c r="AN442" i="1" s="1"/>
  <c r="AI442" i="1" a="1"/>
  <c r="AI442" i="1" s="1"/>
  <c r="AM442" i="1" s="1"/>
  <c r="AH442" i="1"/>
  <c r="AA442" i="1"/>
  <c r="Y442" i="1"/>
  <c r="Z442" i="1" s="1"/>
  <c r="G442" i="1"/>
  <c r="D442" i="1"/>
  <c r="C442" i="1"/>
  <c r="AL441" i="1"/>
  <c r="AK441" i="1"/>
  <c r="AJ441" i="1" a="1"/>
  <c r="AJ441" i="1" s="1"/>
  <c r="AN441" i="1" s="1"/>
  <c r="AI441" i="1" a="1"/>
  <c r="AI441" i="1" s="1"/>
  <c r="AM441" i="1" s="1"/>
  <c r="AH441" i="1"/>
  <c r="AA441" i="1"/>
  <c r="Y441" i="1"/>
  <c r="Z441" i="1" s="1"/>
  <c r="G441" i="1"/>
  <c r="D441" i="1"/>
  <c r="C441" i="1"/>
  <c r="AL440" i="1"/>
  <c r="AK440" i="1"/>
  <c r="AJ440" i="1" a="1"/>
  <c r="AJ440" i="1" s="1"/>
  <c r="AN440" i="1" s="1"/>
  <c r="AI440" i="1" a="1"/>
  <c r="AI440" i="1" s="1"/>
  <c r="AM440" i="1" s="1"/>
  <c r="AH440" i="1"/>
  <c r="AA440" i="1"/>
  <c r="Y440" i="1"/>
  <c r="Z440" i="1" s="1"/>
  <c r="G440" i="1"/>
  <c r="D440" i="1"/>
  <c r="C440" i="1"/>
  <c r="AL439" i="1"/>
  <c r="AK439" i="1"/>
  <c r="AJ439" i="1" a="1"/>
  <c r="AJ439" i="1" s="1"/>
  <c r="AN439" i="1" s="1"/>
  <c r="AI439" i="1" a="1"/>
  <c r="AI439" i="1" s="1"/>
  <c r="AM439" i="1" s="1"/>
  <c r="AH439" i="1"/>
  <c r="AA439" i="1"/>
  <c r="Y439" i="1"/>
  <c r="Z439" i="1" s="1"/>
  <c r="G439" i="1"/>
  <c r="D439" i="1"/>
  <c r="C439" i="1"/>
  <c r="AL438" i="1"/>
  <c r="AK438" i="1"/>
  <c r="AJ438" i="1" a="1"/>
  <c r="AJ438" i="1" s="1"/>
  <c r="AN438" i="1" s="1"/>
  <c r="AI438" i="1" a="1"/>
  <c r="AI438" i="1" s="1"/>
  <c r="AM438" i="1" s="1"/>
  <c r="AH438" i="1"/>
  <c r="AA438" i="1"/>
  <c r="Y438" i="1"/>
  <c r="Z438" i="1" s="1"/>
  <c r="G438" i="1"/>
  <c r="D438" i="1"/>
  <c r="C438" i="1"/>
  <c r="AL437" i="1"/>
  <c r="AK437" i="1"/>
  <c r="AJ437" i="1" a="1"/>
  <c r="AJ437" i="1" s="1"/>
  <c r="AN437" i="1" s="1"/>
  <c r="AI437" i="1" a="1"/>
  <c r="AI437" i="1" s="1"/>
  <c r="AM437" i="1" s="1"/>
  <c r="AH437" i="1"/>
  <c r="AA437" i="1"/>
  <c r="Y437" i="1"/>
  <c r="Z437" i="1" s="1"/>
  <c r="G437" i="1"/>
  <c r="D437" i="1"/>
  <c r="C437" i="1"/>
  <c r="AL436" i="1"/>
  <c r="AK436" i="1"/>
  <c r="AJ436" i="1" a="1"/>
  <c r="AJ436" i="1" s="1"/>
  <c r="AN436" i="1" s="1"/>
  <c r="AI436" i="1" a="1"/>
  <c r="AI436" i="1" s="1"/>
  <c r="AM436" i="1" s="1"/>
  <c r="AH436" i="1"/>
  <c r="AA436" i="1"/>
  <c r="Y436" i="1"/>
  <c r="Z436" i="1" s="1"/>
  <c r="G436" i="1"/>
  <c r="D436" i="1"/>
  <c r="C436" i="1"/>
  <c r="AL435" i="1"/>
  <c r="AK435" i="1"/>
  <c r="AJ435" i="1" a="1"/>
  <c r="AJ435" i="1" s="1"/>
  <c r="AN435" i="1" s="1"/>
  <c r="AI435" i="1" a="1"/>
  <c r="AI435" i="1" s="1"/>
  <c r="AM435" i="1" s="1"/>
  <c r="AH435" i="1"/>
  <c r="AA435" i="1"/>
  <c r="Y435" i="1"/>
  <c r="Z435" i="1" s="1"/>
  <c r="G435" i="1"/>
  <c r="D435" i="1"/>
  <c r="C435" i="1"/>
  <c r="AL434" i="1"/>
  <c r="AK434" i="1"/>
  <c r="AJ434" i="1" a="1"/>
  <c r="AJ434" i="1" s="1"/>
  <c r="AN434" i="1" s="1"/>
  <c r="AI434" i="1" a="1"/>
  <c r="AI434" i="1" s="1"/>
  <c r="AM434" i="1" s="1"/>
  <c r="AH434" i="1"/>
  <c r="AA434" i="1"/>
  <c r="Y434" i="1"/>
  <c r="Z434" i="1" s="1"/>
  <c r="G434" i="1"/>
  <c r="D434" i="1"/>
  <c r="C434" i="1"/>
  <c r="AL433" i="1"/>
  <c r="AK433" i="1"/>
  <c r="AJ433" i="1" a="1"/>
  <c r="AJ433" i="1" s="1"/>
  <c r="AN433" i="1" s="1"/>
  <c r="AI433" i="1" a="1"/>
  <c r="AI433" i="1" s="1"/>
  <c r="AM433" i="1" s="1"/>
  <c r="AH433" i="1"/>
  <c r="AA433" i="1"/>
  <c r="Y433" i="1"/>
  <c r="Z433" i="1" s="1"/>
  <c r="G433" i="1"/>
  <c r="D433" i="1"/>
  <c r="C433" i="1"/>
  <c r="AL432" i="1"/>
  <c r="AK432" i="1"/>
  <c r="AJ432" i="1" a="1"/>
  <c r="AJ432" i="1" s="1"/>
  <c r="AN432" i="1" s="1"/>
  <c r="AI432" i="1" a="1"/>
  <c r="AI432" i="1" s="1"/>
  <c r="AM432" i="1" s="1"/>
  <c r="AH432" i="1"/>
  <c r="AA432" i="1"/>
  <c r="Y432" i="1"/>
  <c r="Z432" i="1" s="1"/>
  <c r="G432" i="1"/>
  <c r="D432" i="1"/>
  <c r="C432" i="1"/>
  <c r="AL431" i="1"/>
  <c r="AK431" i="1"/>
  <c r="AJ431" i="1" a="1"/>
  <c r="AJ431" i="1" s="1"/>
  <c r="AN431" i="1" s="1"/>
  <c r="AI431" i="1" a="1"/>
  <c r="AI431" i="1" s="1"/>
  <c r="AM431" i="1" s="1"/>
  <c r="AH431" i="1"/>
  <c r="AA431" i="1"/>
  <c r="Y431" i="1"/>
  <c r="Z431" i="1" s="1"/>
  <c r="G431" i="1"/>
  <c r="D431" i="1"/>
  <c r="C431" i="1"/>
  <c r="AL430" i="1"/>
  <c r="AK430" i="1"/>
  <c r="AJ430" i="1" a="1"/>
  <c r="AJ430" i="1" s="1"/>
  <c r="AN430" i="1" s="1"/>
  <c r="AI430" i="1" a="1"/>
  <c r="AI430" i="1" s="1"/>
  <c r="AM430" i="1" s="1"/>
  <c r="AH430" i="1"/>
  <c r="AA430" i="1"/>
  <c r="Y430" i="1"/>
  <c r="Z430" i="1" s="1"/>
  <c r="G430" i="1"/>
  <c r="D430" i="1"/>
  <c r="C430" i="1"/>
  <c r="AL429" i="1"/>
  <c r="AK429" i="1"/>
  <c r="AJ429" i="1" a="1"/>
  <c r="AJ429" i="1" s="1"/>
  <c r="AN429" i="1" s="1"/>
  <c r="AI429" i="1" a="1"/>
  <c r="AI429" i="1" s="1"/>
  <c r="AM429" i="1" s="1"/>
  <c r="AH429" i="1"/>
  <c r="AA429" i="1"/>
  <c r="Y429" i="1"/>
  <c r="Z429" i="1" s="1"/>
  <c r="G429" i="1"/>
  <c r="D429" i="1"/>
  <c r="C429" i="1"/>
  <c r="AL428" i="1"/>
  <c r="AK428" i="1"/>
  <c r="AJ428" i="1" a="1"/>
  <c r="AJ428" i="1" s="1"/>
  <c r="AN428" i="1" s="1"/>
  <c r="AI428" i="1" a="1"/>
  <c r="AI428" i="1" s="1"/>
  <c r="AM428" i="1" s="1"/>
  <c r="AH428" i="1"/>
  <c r="AA428" i="1"/>
  <c r="Y428" i="1"/>
  <c r="Z428" i="1" s="1"/>
  <c r="G428" i="1"/>
  <c r="D428" i="1"/>
  <c r="C428" i="1"/>
  <c r="AL427" i="1"/>
  <c r="AK427" i="1"/>
  <c r="AJ427" i="1" a="1"/>
  <c r="AJ427" i="1" s="1"/>
  <c r="AN427" i="1" s="1"/>
  <c r="AI427" i="1" a="1"/>
  <c r="AI427" i="1" s="1"/>
  <c r="AM427" i="1" s="1"/>
  <c r="AH427" i="1"/>
  <c r="AA427" i="1"/>
  <c r="Y427" i="1"/>
  <c r="Z427" i="1" s="1"/>
  <c r="G427" i="1"/>
  <c r="D427" i="1"/>
  <c r="C427" i="1"/>
  <c r="AL426" i="1"/>
  <c r="AK426" i="1"/>
  <c r="AJ426" i="1" a="1"/>
  <c r="AJ426" i="1" s="1"/>
  <c r="AN426" i="1" s="1"/>
  <c r="AI426" i="1" a="1"/>
  <c r="AI426" i="1" s="1"/>
  <c r="AM426" i="1" s="1"/>
  <c r="AH426" i="1"/>
  <c r="AA426" i="1"/>
  <c r="Y426" i="1"/>
  <c r="Z426" i="1" s="1"/>
  <c r="G426" i="1"/>
  <c r="D426" i="1"/>
  <c r="C426" i="1"/>
  <c r="AL425" i="1"/>
  <c r="AK425" i="1"/>
  <c r="AJ425" i="1" a="1"/>
  <c r="AJ425" i="1" s="1"/>
  <c r="AN425" i="1" s="1"/>
  <c r="AI425" i="1" a="1"/>
  <c r="AI425" i="1" s="1"/>
  <c r="AM425" i="1" s="1"/>
  <c r="AH425" i="1"/>
  <c r="AA425" i="1"/>
  <c r="Y425" i="1"/>
  <c r="Z425" i="1" s="1"/>
  <c r="G425" i="1"/>
  <c r="D425" i="1"/>
  <c r="C425" i="1"/>
  <c r="AL424" i="1"/>
  <c r="AK424" i="1"/>
  <c r="AJ424" i="1" a="1"/>
  <c r="AJ424" i="1" s="1"/>
  <c r="AN424" i="1" s="1"/>
  <c r="AI424" i="1" a="1"/>
  <c r="AI424" i="1" s="1"/>
  <c r="AM424" i="1" s="1"/>
  <c r="AH424" i="1"/>
  <c r="AA424" i="1"/>
  <c r="Y424" i="1"/>
  <c r="Z424" i="1" s="1"/>
  <c r="G424" i="1"/>
  <c r="D424" i="1"/>
  <c r="C424" i="1"/>
  <c r="AL423" i="1"/>
  <c r="AK423" i="1"/>
  <c r="AJ423" i="1" a="1"/>
  <c r="AJ423" i="1" s="1"/>
  <c r="AN423" i="1" s="1"/>
  <c r="AI423" i="1" a="1"/>
  <c r="AI423" i="1" s="1"/>
  <c r="AM423" i="1" s="1"/>
  <c r="AH423" i="1"/>
  <c r="AA423" i="1"/>
  <c r="Y423" i="1"/>
  <c r="Z423" i="1" s="1"/>
  <c r="G423" i="1"/>
  <c r="D423" i="1"/>
  <c r="C423" i="1"/>
  <c r="AL422" i="1"/>
  <c r="AK422" i="1"/>
  <c r="AJ422" i="1" a="1"/>
  <c r="AJ422" i="1" s="1"/>
  <c r="AN422" i="1" s="1"/>
  <c r="AI422" i="1" a="1"/>
  <c r="AI422" i="1" s="1"/>
  <c r="AM422" i="1" s="1"/>
  <c r="AH422" i="1"/>
  <c r="AA422" i="1"/>
  <c r="Y422" i="1"/>
  <c r="Z422" i="1" s="1"/>
  <c r="G422" i="1"/>
  <c r="D422" i="1"/>
  <c r="C422" i="1"/>
  <c r="AL421" i="1"/>
  <c r="AK421" i="1"/>
  <c r="AJ421" i="1" a="1"/>
  <c r="AJ421" i="1" s="1"/>
  <c r="AN421" i="1" s="1"/>
  <c r="AI421" i="1" a="1"/>
  <c r="AI421" i="1" s="1"/>
  <c r="AM421" i="1" s="1"/>
  <c r="AH421" i="1"/>
  <c r="AA421" i="1"/>
  <c r="Y421" i="1"/>
  <c r="Z421" i="1" s="1"/>
  <c r="G421" i="1"/>
  <c r="D421" i="1"/>
  <c r="C421" i="1"/>
  <c r="AL420" i="1"/>
  <c r="AK420" i="1"/>
  <c r="AJ420" i="1" a="1"/>
  <c r="AJ420" i="1" s="1"/>
  <c r="AN420" i="1" s="1"/>
  <c r="AI420" i="1" a="1"/>
  <c r="AI420" i="1" s="1"/>
  <c r="AM420" i="1" s="1"/>
  <c r="AH420" i="1"/>
  <c r="AA420" i="1"/>
  <c r="Y420" i="1"/>
  <c r="Z420" i="1" s="1"/>
  <c r="G420" i="1"/>
  <c r="D420" i="1"/>
  <c r="C420" i="1"/>
  <c r="AL419" i="1"/>
  <c r="AK419" i="1"/>
  <c r="AJ419" i="1" a="1"/>
  <c r="AJ419" i="1" s="1"/>
  <c r="AN419" i="1" s="1"/>
  <c r="AI419" i="1" a="1"/>
  <c r="AI419" i="1" s="1"/>
  <c r="AM419" i="1" s="1"/>
  <c r="AH419" i="1"/>
  <c r="AA419" i="1"/>
  <c r="Y419" i="1"/>
  <c r="Z419" i="1" s="1"/>
  <c r="G419" i="1"/>
  <c r="D419" i="1"/>
  <c r="C419" i="1"/>
  <c r="AL418" i="1"/>
  <c r="AK418" i="1"/>
  <c r="AJ418" i="1" a="1"/>
  <c r="AJ418" i="1" s="1"/>
  <c r="AN418" i="1" s="1"/>
  <c r="AI418" i="1" a="1"/>
  <c r="AI418" i="1" s="1"/>
  <c r="AM418" i="1" s="1"/>
  <c r="AH418" i="1"/>
  <c r="AA418" i="1"/>
  <c r="Y418" i="1"/>
  <c r="Z418" i="1" s="1"/>
  <c r="G418" i="1"/>
  <c r="D418" i="1"/>
  <c r="C418" i="1"/>
  <c r="AL417" i="1"/>
  <c r="AK417" i="1"/>
  <c r="AJ417" i="1" a="1"/>
  <c r="AJ417" i="1" s="1"/>
  <c r="AN417" i="1" s="1"/>
  <c r="AI417" i="1" a="1"/>
  <c r="AI417" i="1" s="1"/>
  <c r="AM417" i="1" s="1"/>
  <c r="AH417" i="1"/>
  <c r="AA417" i="1"/>
  <c r="Y417" i="1"/>
  <c r="Z417" i="1" s="1"/>
  <c r="G417" i="1"/>
  <c r="D417" i="1"/>
  <c r="C417" i="1"/>
  <c r="AL416" i="1"/>
  <c r="AK416" i="1"/>
  <c r="AJ416" i="1" a="1"/>
  <c r="AJ416" i="1" s="1"/>
  <c r="AN416" i="1" s="1"/>
  <c r="AI416" i="1" a="1"/>
  <c r="AI416" i="1" s="1"/>
  <c r="AM416" i="1" s="1"/>
  <c r="AH416" i="1"/>
  <c r="AA416" i="1"/>
  <c r="Y416" i="1"/>
  <c r="Z416" i="1" s="1"/>
  <c r="G416" i="1"/>
  <c r="D416" i="1"/>
  <c r="C416" i="1"/>
  <c r="AL415" i="1"/>
  <c r="AK415" i="1"/>
  <c r="AJ415" i="1" a="1"/>
  <c r="AJ415" i="1" s="1"/>
  <c r="AN415" i="1" s="1"/>
  <c r="AI415" i="1" a="1"/>
  <c r="AI415" i="1" s="1"/>
  <c r="AM415" i="1" s="1"/>
  <c r="AH415" i="1"/>
  <c r="AA415" i="1"/>
  <c r="Y415" i="1"/>
  <c r="Z415" i="1" s="1"/>
  <c r="G415" i="1"/>
  <c r="D415" i="1"/>
  <c r="C415" i="1"/>
  <c r="AL414" i="1"/>
  <c r="AK414" i="1"/>
  <c r="AJ414" i="1" a="1"/>
  <c r="AJ414" i="1" s="1"/>
  <c r="AN414" i="1" s="1"/>
  <c r="AI414" i="1" a="1"/>
  <c r="AI414" i="1" s="1"/>
  <c r="AM414" i="1" s="1"/>
  <c r="AH414" i="1"/>
  <c r="AA414" i="1"/>
  <c r="Y414" i="1"/>
  <c r="Z414" i="1" s="1"/>
  <c r="G414" i="1"/>
  <c r="D414" i="1"/>
  <c r="C414" i="1"/>
  <c r="AL413" i="1"/>
  <c r="AK413" i="1"/>
  <c r="AJ413" i="1" a="1"/>
  <c r="AJ413" i="1" s="1"/>
  <c r="AN413" i="1" s="1"/>
  <c r="AI413" i="1" a="1"/>
  <c r="AI413" i="1" s="1"/>
  <c r="AM413" i="1" s="1"/>
  <c r="AH413" i="1"/>
  <c r="AA413" i="1"/>
  <c r="Y413" i="1"/>
  <c r="Z413" i="1" s="1"/>
  <c r="G413" i="1"/>
  <c r="D413" i="1"/>
  <c r="C413" i="1"/>
  <c r="AL412" i="1"/>
  <c r="AK412" i="1"/>
  <c r="AJ412" i="1" a="1"/>
  <c r="AJ412" i="1" s="1"/>
  <c r="AN412" i="1" s="1"/>
  <c r="AI412" i="1" a="1"/>
  <c r="AI412" i="1" s="1"/>
  <c r="AM412" i="1" s="1"/>
  <c r="AH412" i="1"/>
  <c r="AA412" i="1"/>
  <c r="Y412" i="1"/>
  <c r="Z412" i="1" s="1"/>
  <c r="G412" i="1"/>
  <c r="D412" i="1"/>
  <c r="C412" i="1"/>
  <c r="AL411" i="1"/>
  <c r="AK411" i="1"/>
  <c r="AJ411" i="1" a="1"/>
  <c r="AJ411" i="1" s="1"/>
  <c r="AN411" i="1" s="1"/>
  <c r="AI411" i="1" a="1"/>
  <c r="AI411" i="1" s="1"/>
  <c r="AM411" i="1" s="1"/>
  <c r="AH411" i="1"/>
  <c r="AA411" i="1"/>
  <c r="Y411" i="1"/>
  <c r="Z411" i="1" s="1"/>
  <c r="G411" i="1"/>
  <c r="D411" i="1"/>
  <c r="C411" i="1"/>
  <c r="AL410" i="1"/>
  <c r="AK410" i="1"/>
  <c r="AJ410" i="1" a="1"/>
  <c r="AJ410" i="1" s="1"/>
  <c r="AN410" i="1" s="1"/>
  <c r="AI410" i="1" a="1"/>
  <c r="AI410" i="1" s="1"/>
  <c r="AM410" i="1" s="1"/>
  <c r="AH410" i="1"/>
  <c r="AA410" i="1"/>
  <c r="Y410" i="1"/>
  <c r="Z410" i="1" s="1"/>
  <c r="G410" i="1"/>
  <c r="D410" i="1"/>
  <c r="C410" i="1"/>
  <c r="AL409" i="1"/>
  <c r="AK409" i="1"/>
  <c r="AJ409" i="1" a="1"/>
  <c r="AJ409" i="1" s="1"/>
  <c r="AN409" i="1" s="1"/>
  <c r="AI409" i="1" a="1"/>
  <c r="AI409" i="1" s="1"/>
  <c r="AM409" i="1" s="1"/>
  <c r="AH409" i="1"/>
  <c r="AA409" i="1"/>
  <c r="Y409" i="1"/>
  <c r="Z409" i="1" s="1"/>
  <c r="G409" i="1"/>
  <c r="D409" i="1"/>
  <c r="C409" i="1"/>
  <c r="AL408" i="1"/>
  <c r="AK408" i="1"/>
  <c r="AJ408" i="1" a="1"/>
  <c r="AJ408" i="1" s="1"/>
  <c r="AN408" i="1" s="1"/>
  <c r="AI408" i="1" a="1"/>
  <c r="AI408" i="1" s="1"/>
  <c r="AM408" i="1" s="1"/>
  <c r="AH408" i="1"/>
  <c r="AA408" i="1"/>
  <c r="Y408" i="1"/>
  <c r="Z408" i="1" s="1"/>
  <c r="G408" i="1"/>
  <c r="D408" i="1"/>
  <c r="C408" i="1"/>
  <c r="AL407" i="1"/>
  <c r="AK407" i="1"/>
  <c r="AJ407" i="1" a="1"/>
  <c r="AJ407" i="1" s="1"/>
  <c r="AN407" i="1" s="1"/>
  <c r="AI407" i="1" a="1"/>
  <c r="AI407" i="1" s="1"/>
  <c r="AM407" i="1" s="1"/>
  <c r="AH407" i="1"/>
  <c r="AA407" i="1"/>
  <c r="Y407" i="1"/>
  <c r="Z407" i="1" s="1"/>
  <c r="G407" i="1"/>
  <c r="D407" i="1"/>
  <c r="C407" i="1"/>
  <c r="AL406" i="1"/>
  <c r="AK406" i="1"/>
  <c r="AJ406" i="1" a="1"/>
  <c r="AJ406" i="1" s="1"/>
  <c r="AN406" i="1" s="1"/>
  <c r="AI406" i="1" a="1"/>
  <c r="AI406" i="1" s="1"/>
  <c r="AM406" i="1" s="1"/>
  <c r="AH406" i="1"/>
  <c r="AA406" i="1"/>
  <c r="Y406" i="1"/>
  <c r="Z406" i="1" s="1"/>
  <c r="G406" i="1"/>
  <c r="D406" i="1"/>
  <c r="C406" i="1"/>
  <c r="AL405" i="1"/>
  <c r="AK405" i="1"/>
  <c r="AJ405" i="1" a="1"/>
  <c r="AJ405" i="1" s="1"/>
  <c r="AN405" i="1" s="1"/>
  <c r="AI405" i="1" a="1"/>
  <c r="AI405" i="1" s="1"/>
  <c r="AM405" i="1" s="1"/>
  <c r="AH405" i="1"/>
  <c r="AA405" i="1"/>
  <c r="Y405" i="1"/>
  <c r="Z405" i="1" s="1"/>
  <c r="G405" i="1"/>
  <c r="D405" i="1"/>
  <c r="C405" i="1"/>
  <c r="AL404" i="1"/>
  <c r="AK404" i="1"/>
  <c r="AJ404" i="1" a="1"/>
  <c r="AJ404" i="1" s="1"/>
  <c r="AN404" i="1" s="1"/>
  <c r="AI404" i="1" a="1"/>
  <c r="AI404" i="1" s="1"/>
  <c r="AM404" i="1" s="1"/>
  <c r="AH404" i="1"/>
  <c r="AA404" i="1"/>
  <c r="Y404" i="1"/>
  <c r="Z404" i="1" s="1"/>
  <c r="G404" i="1"/>
  <c r="D404" i="1"/>
  <c r="C404" i="1"/>
  <c r="AL403" i="1"/>
  <c r="AK403" i="1"/>
  <c r="AJ403" i="1" a="1"/>
  <c r="AJ403" i="1" s="1"/>
  <c r="AN403" i="1" s="1"/>
  <c r="AI403" i="1" a="1"/>
  <c r="AI403" i="1" s="1"/>
  <c r="AM403" i="1" s="1"/>
  <c r="AH403" i="1"/>
  <c r="AA403" i="1"/>
  <c r="Y403" i="1"/>
  <c r="Z403" i="1" s="1"/>
  <c r="G403" i="1"/>
  <c r="D403" i="1"/>
  <c r="C403" i="1"/>
  <c r="AL402" i="1"/>
  <c r="AK402" i="1"/>
  <c r="AJ402" i="1" a="1"/>
  <c r="AJ402" i="1" s="1"/>
  <c r="AN402" i="1" s="1"/>
  <c r="AI402" i="1" a="1"/>
  <c r="AI402" i="1" s="1"/>
  <c r="AM402" i="1" s="1"/>
  <c r="AH402" i="1"/>
  <c r="AA402" i="1"/>
  <c r="Y402" i="1"/>
  <c r="Z402" i="1" s="1"/>
  <c r="G402" i="1"/>
  <c r="D402" i="1"/>
  <c r="C402" i="1"/>
  <c r="AL401" i="1"/>
  <c r="AK401" i="1"/>
  <c r="AJ401" i="1" a="1"/>
  <c r="AJ401" i="1" s="1"/>
  <c r="AN401" i="1" s="1"/>
  <c r="AI401" i="1" a="1"/>
  <c r="AI401" i="1" s="1"/>
  <c r="AM401" i="1" s="1"/>
  <c r="AH401" i="1"/>
  <c r="AA401" i="1"/>
  <c r="Y401" i="1"/>
  <c r="Z401" i="1" s="1"/>
  <c r="G401" i="1"/>
  <c r="D401" i="1"/>
  <c r="C401" i="1"/>
  <c r="AL400" i="1"/>
  <c r="AK400" i="1"/>
  <c r="AJ400" i="1" a="1"/>
  <c r="AJ400" i="1" s="1"/>
  <c r="AN400" i="1" s="1"/>
  <c r="AI400" i="1" a="1"/>
  <c r="AI400" i="1" s="1"/>
  <c r="AM400" i="1" s="1"/>
  <c r="AH400" i="1"/>
  <c r="AA400" i="1"/>
  <c r="Y400" i="1"/>
  <c r="Z400" i="1" s="1"/>
  <c r="G400" i="1"/>
  <c r="D400" i="1"/>
  <c r="C400" i="1"/>
  <c r="AL399" i="1"/>
  <c r="AK399" i="1"/>
  <c r="AJ399" i="1" a="1"/>
  <c r="AJ399" i="1" s="1"/>
  <c r="AN399" i="1" s="1"/>
  <c r="AI399" i="1" a="1"/>
  <c r="AI399" i="1" s="1"/>
  <c r="AM399" i="1" s="1"/>
  <c r="AH399" i="1"/>
  <c r="AA399" i="1"/>
  <c r="Y399" i="1"/>
  <c r="Z399" i="1" s="1"/>
  <c r="G399" i="1"/>
  <c r="D399" i="1"/>
  <c r="C399" i="1"/>
  <c r="AL398" i="1"/>
  <c r="AK398" i="1"/>
  <c r="AJ398" i="1" a="1"/>
  <c r="AJ398" i="1" s="1"/>
  <c r="AN398" i="1" s="1"/>
  <c r="AI398" i="1" a="1"/>
  <c r="AI398" i="1" s="1"/>
  <c r="AM398" i="1" s="1"/>
  <c r="AH398" i="1"/>
  <c r="AA398" i="1"/>
  <c r="Y398" i="1"/>
  <c r="Z398" i="1" s="1"/>
  <c r="G398" i="1"/>
  <c r="D398" i="1"/>
  <c r="C398" i="1"/>
  <c r="AL397" i="1"/>
  <c r="AK397" i="1"/>
  <c r="AJ397" i="1" a="1"/>
  <c r="AJ397" i="1" s="1"/>
  <c r="AN397" i="1" s="1"/>
  <c r="AI397" i="1" a="1"/>
  <c r="AI397" i="1" s="1"/>
  <c r="AM397" i="1" s="1"/>
  <c r="AH397" i="1"/>
  <c r="AA397" i="1"/>
  <c r="Y397" i="1"/>
  <c r="Z397" i="1" s="1"/>
  <c r="G397" i="1"/>
  <c r="D397" i="1"/>
  <c r="C397" i="1"/>
  <c r="AL396" i="1"/>
  <c r="AK396" i="1"/>
  <c r="AJ396" i="1" a="1"/>
  <c r="AJ396" i="1" s="1"/>
  <c r="AN396" i="1" s="1"/>
  <c r="AI396" i="1" a="1"/>
  <c r="AI396" i="1" s="1"/>
  <c r="AM396" i="1" s="1"/>
  <c r="AH396" i="1"/>
  <c r="AA396" i="1"/>
  <c r="Y396" i="1"/>
  <c r="Z396" i="1" s="1"/>
  <c r="G396" i="1"/>
  <c r="D396" i="1"/>
  <c r="C396" i="1"/>
  <c r="AL395" i="1"/>
  <c r="AK395" i="1"/>
  <c r="AJ395" i="1" a="1"/>
  <c r="AJ395" i="1" s="1"/>
  <c r="AN395" i="1" s="1"/>
  <c r="AI395" i="1" a="1"/>
  <c r="AI395" i="1" s="1"/>
  <c r="AM395" i="1" s="1"/>
  <c r="AH395" i="1"/>
  <c r="AA395" i="1"/>
  <c r="Y395" i="1"/>
  <c r="Z395" i="1" s="1"/>
  <c r="G395" i="1"/>
  <c r="D395" i="1"/>
  <c r="C395" i="1"/>
  <c r="AL394" i="1"/>
  <c r="AK394" i="1"/>
  <c r="AJ394" i="1" a="1"/>
  <c r="AJ394" i="1" s="1"/>
  <c r="AN394" i="1" s="1"/>
  <c r="AI394" i="1" a="1"/>
  <c r="AI394" i="1" s="1"/>
  <c r="AM394" i="1" s="1"/>
  <c r="AH394" i="1"/>
  <c r="AA394" i="1"/>
  <c r="Y394" i="1"/>
  <c r="Z394" i="1" s="1"/>
  <c r="G394" i="1"/>
  <c r="D394" i="1"/>
  <c r="C394" i="1"/>
  <c r="AL393" i="1"/>
  <c r="AK393" i="1"/>
  <c r="AJ393" i="1" a="1"/>
  <c r="AJ393" i="1" s="1"/>
  <c r="AN393" i="1" s="1"/>
  <c r="AI393" i="1" a="1"/>
  <c r="AI393" i="1" s="1"/>
  <c r="AM393" i="1" s="1"/>
  <c r="AH393" i="1"/>
  <c r="AA393" i="1"/>
  <c r="Y393" i="1"/>
  <c r="Z393" i="1" s="1"/>
  <c r="G393" i="1"/>
  <c r="D393" i="1"/>
  <c r="C393" i="1"/>
  <c r="AL392" i="1"/>
  <c r="AK392" i="1"/>
  <c r="AJ392" i="1" a="1"/>
  <c r="AJ392" i="1" s="1"/>
  <c r="AN392" i="1" s="1"/>
  <c r="AI392" i="1" a="1"/>
  <c r="AI392" i="1" s="1"/>
  <c r="AM392" i="1" s="1"/>
  <c r="AH392" i="1"/>
  <c r="AA392" i="1"/>
  <c r="Y392" i="1"/>
  <c r="Z392" i="1" s="1"/>
  <c r="G392" i="1"/>
  <c r="D392" i="1"/>
  <c r="C392" i="1"/>
  <c r="AL391" i="1"/>
  <c r="AK391" i="1"/>
  <c r="AJ391" i="1" a="1"/>
  <c r="AJ391" i="1" s="1"/>
  <c r="AN391" i="1" s="1"/>
  <c r="AI391" i="1" a="1"/>
  <c r="AI391" i="1" s="1"/>
  <c r="AM391" i="1" s="1"/>
  <c r="AH391" i="1"/>
  <c r="AA391" i="1"/>
  <c r="Y391" i="1"/>
  <c r="Z391" i="1" s="1"/>
  <c r="G391" i="1"/>
  <c r="D391" i="1"/>
  <c r="C391" i="1"/>
  <c r="AL390" i="1"/>
  <c r="AK390" i="1"/>
  <c r="AJ390" i="1" a="1"/>
  <c r="AJ390" i="1" s="1"/>
  <c r="AN390" i="1" s="1"/>
  <c r="AI390" i="1" a="1"/>
  <c r="AI390" i="1" s="1"/>
  <c r="AM390" i="1" s="1"/>
  <c r="AH390" i="1"/>
  <c r="AA390" i="1"/>
  <c r="Y390" i="1"/>
  <c r="Z390" i="1" s="1"/>
  <c r="G390" i="1"/>
  <c r="D390" i="1"/>
  <c r="C390" i="1"/>
  <c r="AL389" i="1"/>
  <c r="AK389" i="1"/>
  <c r="AJ389" i="1" a="1"/>
  <c r="AJ389" i="1" s="1"/>
  <c r="AN389" i="1" s="1"/>
  <c r="AI389" i="1" a="1"/>
  <c r="AI389" i="1" s="1"/>
  <c r="AM389" i="1" s="1"/>
  <c r="AH389" i="1"/>
  <c r="AA389" i="1"/>
  <c r="Y389" i="1"/>
  <c r="Z389" i="1" s="1"/>
  <c r="G389" i="1"/>
  <c r="D389" i="1"/>
  <c r="C389" i="1"/>
  <c r="AL388" i="1"/>
  <c r="AK388" i="1"/>
  <c r="AJ388" i="1" a="1"/>
  <c r="AJ388" i="1" s="1"/>
  <c r="AN388" i="1" s="1"/>
  <c r="AI388" i="1" a="1"/>
  <c r="AI388" i="1" s="1"/>
  <c r="AM388" i="1" s="1"/>
  <c r="AH388" i="1"/>
  <c r="AA388" i="1"/>
  <c r="Y388" i="1"/>
  <c r="Z388" i="1" s="1"/>
  <c r="G388" i="1"/>
  <c r="D388" i="1"/>
  <c r="C388" i="1"/>
  <c r="AL387" i="1"/>
  <c r="AK387" i="1"/>
  <c r="AJ387" i="1" a="1"/>
  <c r="AJ387" i="1" s="1"/>
  <c r="AN387" i="1" s="1"/>
  <c r="AI387" i="1" a="1"/>
  <c r="AI387" i="1" s="1"/>
  <c r="AM387" i="1" s="1"/>
  <c r="AH387" i="1"/>
  <c r="AA387" i="1"/>
  <c r="Y387" i="1"/>
  <c r="Z387" i="1" s="1"/>
  <c r="G387" i="1"/>
  <c r="D387" i="1"/>
  <c r="C387" i="1"/>
  <c r="AL386" i="1"/>
  <c r="AK386" i="1"/>
  <c r="AJ386" i="1" a="1"/>
  <c r="AJ386" i="1" s="1"/>
  <c r="AN386" i="1" s="1"/>
  <c r="AI386" i="1" a="1"/>
  <c r="AI386" i="1" s="1"/>
  <c r="AM386" i="1" s="1"/>
  <c r="AH386" i="1"/>
  <c r="AA386" i="1"/>
  <c r="Y386" i="1"/>
  <c r="Z386" i="1" s="1"/>
  <c r="G386" i="1"/>
  <c r="D386" i="1"/>
  <c r="C386" i="1"/>
  <c r="AL385" i="1"/>
  <c r="AK385" i="1"/>
  <c r="AJ385" i="1" a="1"/>
  <c r="AJ385" i="1" s="1"/>
  <c r="AN385" i="1" s="1"/>
  <c r="AI385" i="1" a="1"/>
  <c r="AI385" i="1" s="1"/>
  <c r="AM385" i="1" s="1"/>
  <c r="AH385" i="1"/>
  <c r="AA385" i="1"/>
  <c r="Y385" i="1"/>
  <c r="Z385" i="1" s="1"/>
  <c r="G385" i="1"/>
  <c r="D385" i="1"/>
  <c r="C385" i="1"/>
  <c r="AL384" i="1"/>
  <c r="AK384" i="1"/>
  <c r="AJ384" i="1" a="1"/>
  <c r="AJ384" i="1" s="1"/>
  <c r="AN384" i="1" s="1"/>
  <c r="AI384" i="1" a="1"/>
  <c r="AI384" i="1" s="1"/>
  <c r="AM384" i="1" s="1"/>
  <c r="AH384" i="1"/>
  <c r="AA384" i="1"/>
  <c r="Y384" i="1"/>
  <c r="Z384" i="1" s="1"/>
  <c r="G384" i="1"/>
  <c r="D384" i="1"/>
  <c r="C384" i="1"/>
  <c r="AL383" i="1"/>
  <c r="AK383" i="1"/>
  <c r="AJ383" i="1" a="1"/>
  <c r="AJ383" i="1" s="1"/>
  <c r="AN383" i="1" s="1"/>
  <c r="AI383" i="1" a="1"/>
  <c r="AI383" i="1" s="1"/>
  <c r="AM383" i="1" s="1"/>
  <c r="AH383" i="1"/>
  <c r="AA383" i="1"/>
  <c r="Y383" i="1"/>
  <c r="Z383" i="1" s="1"/>
  <c r="G383" i="1"/>
  <c r="D383" i="1"/>
  <c r="C383" i="1"/>
  <c r="AL382" i="1"/>
  <c r="AK382" i="1"/>
  <c r="AJ382" i="1" a="1"/>
  <c r="AJ382" i="1" s="1"/>
  <c r="AN382" i="1" s="1"/>
  <c r="AI382" i="1" a="1"/>
  <c r="AI382" i="1" s="1"/>
  <c r="AM382" i="1" s="1"/>
  <c r="AH382" i="1"/>
  <c r="AA382" i="1"/>
  <c r="Y382" i="1"/>
  <c r="Z382" i="1" s="1"/>
  <c r="G382" i="1"/>
  <c r="D382" i="1"/>
  <c r="C382" i="1"/>
  <c r="AL381" i="1"/>
  <c r="AK381" i="1"/>
  <c r="AJ381" i="1" a="1"/>
  <c r="AJ381" i="1" s="1"/>
  <c r="AN381" i="1" s="1"/>
  <c r="AI381" i="1" a="1"/>
  <c r="AI381" i="1" s="1"/>
  <c r="AM381" i="1" s="1"/>
  <c r="AH381" i="1"/>
  <c r="AA381" i="1"/>
  <c r="Y381" i="1"/>
  <c r="Z381" i="1" s="1"/>
  <c r="G381" i="1"/>
  <c r="D381" i="1"/>
  <c r="C381" i="1"/>
  <c r="AL380" i="1"/>
  <c r="AK380" i="1"/>
  <c r="AJ380" i="1" a="1"/>
  <c r="AJ380" i="1" s="1"/>
  <c r="AN380" i="1" s="1"/>
  <c r="AI380" i="1" a="1"/>
  <c r="AI380" i="1" s="1"/>
  <c r="AM380" i="1" s="1"/>
  <c r="AH380" i="1"/>
  <c r="AA380" i="1"/>
  <c r="Y380" i="1"/>
  <c r="Z380" i="1" s="1"/>
  <c r="G380" i="1"/>
  <c r="D380" i="1"/>
  <c r="C380" i="1"/>
  <c r="AL379" i="1"/>
  <c r="AK379" i="1"/>
  <c r="AJ379" i="1" a="1"/>
  <c r="AJ379" i="1" s="1"/>
  <c r="AN379" i="1" s="1"/>
  <c r="AI379" i="1" a="1"/>
  <c r="AI379" i="1" s="1"/>
  <c r="AM379" i="1" s="1"/>
  <c r="AH379" i="1"/>
  <c r="AA379" i="1"/>
  <c r="Y379" i="1"/>
  <c r="Z379" i="1" s="1"/>
  <c r="G379" i="1"/>
  <c r="D379" i="1"/>
  <c r="C379" i="1"/>
  <c r="AL378" i="1"/>
  <c r="AK378" i="1"/>
  <c r="AJ378" i="1" a="1"/>
  <c r="AJ378" i="1" s="1"/>
  <c r="AN378" i="1" s="1"/>
  <c r="AI378" i="1" a="1"/>
  <c r="AI378" i="1" s="1"/>
  <c r="AM378" i="1" s="1"/>
  <c r="AH378" i="1"/>
  <c r="AA378" i="1"/>
  <c r="Y378" i="1"/>
  <c r="Z378" i="1" s="1"/>
  <c r="G378" i="1"/>
  <c r="D378" i="1"/>
  <c r="C378" i="1"/>
  <c r="AL377" i="1"/>
  <c r="AK377" i="1"/>
  <c r="AJ377" i="1" a="1"/>
  <c r="AJ377" i="1" s="1"/>
  <c r="AN377" i="1" s="1"/>
  <c r="AI377" i="1" a="1"/>
  <c r="AI377" i="1" s="1"/>
  <c r="AM377" i="1" s="1"/>
  <c r="AH377" i="1"/>
  <c r="AA377" i="1"/>
  <c r="Y377" i="1"/>
  <c r="Z377" i="1" s="1"/>
  <c r="G377" i="1"/>
  <c r="D377" i="1"/>
  <c r="C377" i="1"/>
  <c r="AL376" i="1"/>
  <c r="AK376" i="1"/>
  <c r="AJ376" i="1" a="1"/>
  <c r="AJ376" i="1" s="1"/>
  <c r="AN376" i="1" s="1"/>
  <c r="AI376" i="1" a="1"/>
  <c r="AI376" i="1" s="1"/>
  <c r="AM376" i="1" s="1"/>
  <c r="AH376" i="1"/>
  <c r="AA376" i="1"/>
  <c r="Y376" i="1"/>
  <c r="Z376" i="1" s="1"/>
  <c r="G376" i="1"/>
  <c r="D376" i="1"/>
  <c r="C376" i="1"/>
  <c r="AL375" i="1"/>
  <c r="AK375" i="1"/>
  <c r="AJ375" i="1" a="1"/>
  <c r="AJ375" i="1" s="1"/>
  <c r="AN375" i="1" s="1"/>
  <c r="AI375" i="1" a="1"/>
  <c r="AI375" i="1" s="1"/>
  <c r="AM375" i="1" s="1"/>
  <c r="AH375" i="1"/>
  <c r="AA375" i="1"/>
  <c r="Y375" i="1"/>
  <c r="Z375" i="1" s="1"/>
  <c r="G375" i="1"/>
  <c r="D375" i="1"/>
  <c r="C375" i="1"/>
  <c r="AL374" i="1"/>
  <c r="AK374" i="1"/>
  <c r="AJ374" i="1" a="1"/>
  <c r="AJ374" i="1" s="1"/>
  <c r="AN374" i="1" s="1"/>
  <c r="AI374" i="1" a="1"/>
  <c r="AI374" i="1" s="1"/>
  <c r="AM374" i="1" s="1"/>
  <c r="AH374" i="1"/>
  <c r="AA374" i="1"/>
  <c r="Y374" i="1"/>
  <c r="Z374" i="1" s="1"/>
  <c r="G374" i="1"/>
  <c r="D374" i="1"/>
  <c r="C374" i="1"/>
  <c r="AL373" i="1"/>
  <c r="AK373" i="1"/>
  <c r="AJ373" i="1" a="1"/>
  <c r="AJ373" i="1" s="1"/>
  <c r="AN373" i="1" s="1"/>
  <c r="AI373" i="1" a="1"/>
  <c r="AI373" i="1" s="1"/>
  <c r="AM373" i="1" s="1"/>
  <c r="AH373" i="1"/>
  <c r="AA373" i="1"/>
  <c r="Y373" i="1"/>
  <c r="Z373" i="1" s="1"/>
  <c r="G373" i="1"/>
  <c r="D373" i="1"/>
  <c r="C373" i="1"/>
  <c r="AL372" i="1"/>
  <c r="AK372" i="1"/>
  <c r="AJ372" i="1" a="1"/>
  <c r="AJ372" i="1" s="1"/>
  <c r="AN372" i="1" s="1"/>
  <c r="AI372" i="1" a="1"/>
  <c r="AI372" i="1" s="1"/>
  <c r="AM372" i="1" s="1"/>
  <c r="AH372" i="1"/>
  <c r="AA372" i="1"/>
  <c r="Y372" i="1"/>
  <c r="Z372" i="1" s="1"/>
  <c r="G372" i="1"/>
  <c r="D372" i="1"/>
  <c r="C372" i="1"/>
  <c r="AL371" i="1"/>
  <c r="AK371" i="1"/>
  <c r="AJ371" i="1" a="1"/>
  <c r="AJ371" i="1" s="1"/>
  <c r="AN371" i="1" s="1"/>
  <c r="AI371" i="1" a="1"/>
  <c r="AI371" i="1" s="1"/>
  <c r="AM371" i="1" s="1"/>
  <c r="AH371" i="1"/>
  <c r="AA371" i="1"/>
  <c r="Y371" i="1"/>
  <c r="Z371" i="1" s="1"/>
  <c r="G371" i="1"/>
  <c r="D371" i="1"/>
  <c r="C371" i="1"/>
  <c r="AL370" i="1"/>
  <c r="AK370" i="1"/>
  <c r="AJ370" i="1" a="1"/>
  <c r="AJ370" i="1" s="1"/>
  <c r="AN370" i="1" s="1"/>
  <c r="AI370" i="1" a="1"/>
  <c r="AI370" i="1" s="1"/>
  <c r="AM370" i="1" s="1"/>
  <c r="AH370" i="1"/>
  <c r="AA370" i="1"/>
  <c r="Y370" i="1"/>
  <c r="Z370" i="1" s="1"/>
  <c r="G370" i="1"/>
  <c r="D370" i="1"/>
  <c r="C370" i="1"/>
  <c r="AL369" i="1"/>
  <c r="AK369" i="1"/>
  <c r="AJ369" i="1" a="1"/>
  <c r="AJ369" i="1" s="1"/>
  <c r="AN369" i="1" s="1"/>
  <c r="AI369" i="1" a="1"/>
  <c r="AI369" i="1" s="1"/>
  <c r="AM369" i="1" s="1"/>
  <c r="AH369" i="1"/>
  <c r="AA369" i="1"/>
  <c r="Y369" i="1"/>
  <c r="Z369" i="1" s="1"/>
  <c r="G369" i="1"/>
  <c r="D369" i="1"/>
  <c r="C369" i="1"/>
  <c r="AL368" i="1"/>
  <c r="AK368" i="1"/>
  <c r="AJ368" i="1" a="1"/>
  <c r="AJ368" i="1" s="1"/>
  <c r="AN368" i="1" s="1"/>
  <c r="AI368" i="1" a="1"/>
  <c r="AI368" i="1" s="1"/>
  <c r="AM368" i="1" s="1"/>
  <c r="AH368" i="1"/>
  <c r="AA368" i="1"/>
  <c r="Y368" i="1"/>
  <c r="Z368" i="1" s="1"/>
  <c r="G368" i="1"/>
  <c r="D368" i="1"/>
  <c r="C368" i="1"/>
  <c r="AL367" i="1"/>
  <c r="AK367" i="1"/>
  <c r="AJ367" i="1" a="1"/>
  <c r="AJ367" i="1" s="1"/>
  <c r="AN367" i="1" s="1"/>
  <c r="AI367" i="1" a="1"/>
  <c r="AI367" i="1" s="1"/>
  <c r="AM367" i="1" s="1"/>
  <c r="AH367" i="1"/>
  <c r="AA367" i="1"/>
  <c r="Y367" i="1"/>
  <c r="Z367" i="1" s="1"/>
  <c r="G367" i="1"/>
  <c r="D367" i="1"/>
  <c r="C367" i="1"/>
  <c r="AL366" i="1"/>
  <c r="AK366" i="1"/>
  <c r="AJ366" i="1" a="1"/>
  <c r="AJ366" i="1" s="1"/>
  <c r="AN366" i="1" s="1"/>
  <c r="AI366" i="1" a="1"/>
  <c r="AI366" i="1" s="1"/>
  <c r="AM366" i="1" s="1"/>
  <c r="AH366" i="1"/>
  <c r="AA366" i="1"/>
  <c r="Y366" i="1"/>
  <c r="Z366" i="1" s="1"/>
  <c r="G366" i="1"/>
  <c r="D366" i="1"/>
  <c r="C366" i="1"/>
  <c r="AL365" i="1"/>
  <c r="AK365" i="1"/>
  <c r="AJ365" i="1" a="1"/>
  <c r="AJ365" i="1" s="1"/>
  <c r="AN365" i="1" s="1"/>
  <c r="AI365" i="1" a="1"/>
  <c r="AI365" i="1" s="1"/>
  <c r="AM365" i="1" s="1"/>
  <c r="AH365" i="1"/>
  <c r="AA365" i="1"/>
  <c r="Y365" i="1"/>
  <c r="Z365" i="1" s="1"/>
  <c r="G365" i="1"/>
  <c r="D365" i="1"/>
  <c r="C365" i="1"/>
  <c r="AL364" i="1"/>
  <c r="AK364" i="1"/>
  <c r="AJ364" i="1" a="1"/>
  <c r="AJ364" i="1" s="1"/>
  <c r="AN364" i="1" s="1"/>
  <c r="AI364" i="1" a="1"/>
  <c r="AI364" i="1" s="1"/>
  <c r="AM364" i="1" s="1"/>
  <c r="AH364" i="1"/>
  <c r="AA364" i="1"/>
  <c r="Y364" i="1"/>
  <c r="Z364" i="1" s="1"/>
  <c r="G364" i="1"/>
  <c r="D364" i="1"/>
  <c r="C364" i="1"/>
  <c r="AL363" i="1"/>
  <c r="AK363" i="1"/>
  <c r="AJ363" i="1" a="1"/>
  <c r="AJ363" i="1" s="1"/>
  <c r="AN363" i="1" s="1"/>
  <c r="AI363" i="1" a="1"/>
  <c r="AI363" i="1" s="1"/>
  <c r="AM363" i="1" s="1"/>
  <c r="AH363" i="1"/>
  <c r="AA363" i="1"/>
  <c r="Y363" i="1"/>
  <c r="Z363" i="1" s="1"/>
  <c r="G363" i="1"/>
  <c r="D363" i="1"/>
  <c r="C363" i="1"/>
  <c r="AL362" i="1"/>
  <c r="AK362" i="1"/>
  <c r="AJ362" i="1" a="1"/>
  <c r="AJ362" i="1" s="1"/>
  <c r="AN362" i="1" s="1"/>
  <c r="AI362" i="1" a="1"/>
  <c r="AI362" i="1" s="1"/>
  <c r="AM362" i="1" s="1"/>
  <c r="AH362" i="1"/>
  <c r="AA362" i="1"/>
  <c r="Y362" i="1"/>
  <c r="Z362" i="1" s="1"/>
  <c r="G362" i="1"/>
  <c r="D362" i="1"/>
  <c r="C362" i="1"/>
  <c r="AL361" i="1"/>
  <c r="AK361" i="1"/>
  <c r="AJ361" i="1" a="1"/>
  <c r="AJ361" i="1" s="1"/>
  <c r="AN361" i="1" s="1"/>
  <c r="AI361" i="1" a="1"/>
  <c r="AI361" i="1" s="1"/>
  <c r="AM361" i="1" s="1"/>
  <c r="AH361" i="1"/>
  <c r="AA361" i="1"/>
  <c r="Y361" i="1"/>
  <c r="Z361" i="1" s="1"/>
  <c r="G361" i="1"/>
  <c r="D361" i="1"/>
  <c r="C361" i="1"/>
  <c r="AL360" i="1"/>
  <c r="AK360" i="1"/>
  <c r="AJ360" i="1" a="1"/>
  <c r="AJ360" i="1" s="1"/>
  <c r="AN360" i="1" s="1"/>
  <c r="AI360" i="1" a="1"/>
  <c r="AI360" i="1" s="1"/>
  <c r="AM360" i="1" s="1"/>
  <c r="AH360" i="1"/>
  <c r="AA360" i="1"/>
  <c r="Y360" i="1"/>
  <c r="Z360" i="1" s="1"/>
  <c r="G360" i="1"/>
  <c r="D360" i="1"/>
  <c r="C360" i="1"/>
  <c r="AL359" i="1"/>
  <c r="AK359" i="1"/>
  <c r="AJ359" i="1" a="1"/>
  <c r="AJ359" i="1" s="1"/>
  <c r="AN359" i="1" s="1"/>
  <c r="AI359" i="1" a="1"/>
  <c r="AI359" i="1" s="1"/>
  <c r="AM359" i="1" s="1"/>
  <c r="AH359" i="1"/>
  <c r="AA359" i="1"/>
  <c r="Y359" i="1"/>
  <c r="Z359" i="1" s="1"/>
  <c r="G359" i="1"/>
  <c r="D359" i="1"/>
  <c r="C359" i="1"/>
  <c r="AL358" i="1"/>
  <c r="AK358" i="1"/>
  <c r="AJ358" i="1" a="1"/>
  <c r="AJ358" i="1" s="1"/>
  <c r="AN358" i="1" s="1"/>
  <c r="AI358" i="1" a="1"/>
  <c r="AI358" i="1" s="1"/>
  <c r="AM358" i="1" s="1"/>
  <c r="AH358" i="1"/>
  <c r="AA358" i="1"/>
  <c r="Y358" i="1"/>
  <c r="Z358" i="1" s="1"/>
  <c r="G358" i="1"/>
  <c r="D358" i="1"/>
  <c r="C358" i="1"/>
  <c r="AL357" i="1"/>
  <c r="AK357" i="1"/>
  <c r="AJ357" i="1" a="1"/>
  <c r="AJ357" i="1" s="1"/>
  <c r="AN357" i="1" s="1"/>
  <c r="AI357" i="1" a="1"/>
  <c r="AI357" i="1" s="1"/>
  <c r="AM357" i="1" s="1"/>
  <c r="AH357" i="1"/>
  <c r="AA357" i="1"/>
  <c r="Y357" i="1"/>
  <c r="Z357" i="1" s="1"/>
  <c r="G357" i="1"/>
  <c r="D357" i="1"/>
  <c r="C357" i="1"/>
  <c r="AL356" i="1"/>
  <c r="AK356" i="1"/>
  <c r="AJ356" i="1" a="1"/>
  <c r="AJ356" i="1" s="1"/>
  <c r="AN356" i="1" s="1"/>
  <c r="AI356" i="1" a="1"/>
  <c r="AI356" i="1" s="1"/>
  <c r="AM356" i="1" s="1"/>
  <c r="AH356" i="1"/>
  <c r="AA356" i="1"/>
  <c r="Y356" i="1"/>
  <c r="Z356" i="1" s="1"/>
  <c r="G356" i="1"/>
  <c r="D356" i="1"/>
  <c r="C356" i="1"/>
  <c r="AL355" i="1"/>
  <c r="AK355" i="1"/>
  <c r="AJ355" i="1" a="1"/>
  <c r="AJ355" i="1" s="1"/>
  <c r="AN355" i="1" s="1"/>
  <c r="AI355" i="1" a="1"/>
  <c r="AI355" i="1" s="1"/>
  <c r="AM355" i="1" s="1"/>
  <c r="AH355" i="1"/>
  <c r="AA355" i="1"/>
  <c r="Y355" i="1"/>
  <c r="Z355" i="1" s="1"/>
  <c r="G355" i="1"/>
  <c r="D355" i="1"/>
  <c r="C355" i="1"/>
  <c r="AL354" i="1"/>
  <c r="AK354" i="1"/>
  <c r="AJ354" i="1" a="1"/>
  <c r="AJ354" i="1" s="1"/>
  <c r="AN354" i="1" s="1"/>
  <c r="AI354" i="1" a="1"/>
  <c r="AI354" i="1" s="1"/>
  <c r="AM354" i="1" s="1"/>
  <c r="AH354" i="1"/>
  <c r="AA354" i="1"/>
  <c r="Y354" i="1"/>
  <c r="Z354" i="1" s="1"/>
  <c r="G354" i="1"/>
  <c r="D354" i="1"/>
  <c r="C354" i="1"/>
  <c r="AL353" i="1"/>
  <c r="AK353" i="1"/>
  <c r="AJ353" i="1" a="1"/>
  <c r="AJ353" i="1" s="1"/>
  <c r="AN353" i="1" s="1"/>
  <c r="AI353" i="1" a="1"/>
  <c r="AI353" i="1" s="1"/>
  <c r="AM353" i="1" s="1"/>
  <c r="AH353" i="1"/>
  <c r="AA353" i="1"/>
  <c r="Y353" i="1"/>
  <c r="Z353" i="1" s="1"/>
  <c r="G353" i="1"/>
  <c r="D353" i="1"/>
  <c r="C353" i="1"/>
  <c r="AL352" i="1"/>
  <c r="AK352" i="1"/>
  <c r="AJ352" i="1" a="1"/>
  <c r="AJ352" i="1" s="1"/>
  <c r="AN352" i="1" s="1"/>
  <c r="AI352" i="1" a="1"/>
  <c r="AI352" i="1" s="1"/>
  <c r="AM352" i="1" s="1"/>
  <c r="AH352" i="1"/>
  <c r="AA352" i="1"/>
  <c r="Y352" i="1"/>
  <c r="Z352" i="1" s="1"/>
  <c r="G352" i="1"/>
  <c r="D352" i="1"/>
  <c r="C352" i="1"/>
  <c r="AL351" i="1"/>
  <c r="AK351" i="1"/>
  <c r="AJ351" i="1" a="1"/>
  <c r="AJ351" i="1" s="1"/>
  <c r="AN351" i="1" s="1"/>
  <c r="AI351" i="1" a="1"/>
  <c r="AI351" i="1" s="1"/>
  <c r="AM351" i="1" s="1"/>
  <c r="AH351" i="1"/>
  <c r="AA351" i="1"/>
  <c r="Y351" i="1"/>
  <c r="Z351" i="1" s="1"/>
  <c r="G351" i="1"/>
  <c r="D351" i="1"/>
  <c r="C351" i="1"/>
  <c r="AL350" i="1"/>
  <c r="AK350" i="1"/>
  <c r="AJ350" i="1" a="1"/>
  <c r="AJ350" i="1" s="1"/>
  <c r="AN350" i="1" s="1"/>
  <c r="AI350" i="1" a="1"/>
  <c r="AI350" i="1" s="1"/>
  <c r="AM350" i="1" s="1"/>
  <c r="AH350" i="1"/>
  <c r="AA350" i="1"/>
  <c r="Y350" i="1"/>
  <c r="Z350" i="1" s="1"/>
  <c r="G350" i="1"/>
  <c r="D350" i="1"/>
  <c r="C350" i="1"/>
  <c r="AL349" i="1"/>
  <c r="AK349" i="1"/>
  <c r="AJ349" i="1" a="1"/>
  <c r="AJ349" i="1" s="1"/>
  <c r="AN349" i="1" s="1"/>
  <c r="AI349" i="1" a="1"/>
  <c r="AI349" i="1" s="1"/>
  <c r="AM349" i="1" s="1"/>
  <c r="AH349" i="1"/>
  <c r="AA349" i="1"/>
  <c r="Y349" i="1"/>
  <c r="Z349" i="1" s="1"/>
  <c r="G349" i="1"/>
  <c r="D349" i="1"/>
  <c r="C349" i="1"/>
  <c r="AL348" i="1"/>
  <c r="AK348" i="1"/>
  <c r="AJ348" i="1" a="1"/>
  <c r="AJ348" i="1" s="1"/>
  <c r="AN348" i="1" s="1"/>
  <c r="AI348" i="1" a="1"/>
  <c r="AI348" i="1" s="1"/>
  <c r="AM348" i="1" s="1"/>
  <c r="AH348" i="1"/>
  <c r="AA348" i="1"/>
  <c r="Y348" i="1"/>
  <c r="Z348" i="1" s="1"/>
  <c r="G348" i="1"/>
  <c r="D348" i="1"/>
  <c r="C348" i="1"/>
  <c r="AL347" i="1"/>
  <c r="AK347" i="1"/>
  <c r="AJ347" i="1" a="1"/>
  <c r="AJ347" i="1" s="1"/>
  <c r="AN347" i="1" s="1"/>
  <c r="AI347" i="1" a="1"/>
  <c r="AI347" i="1" s="1"/>
  <c r="AM347" i="1" s="1"/>
  <c r="AH347" i="1"/>
  <c r="AA347" i="1"/>
  <c r="Y347" i="1"/>
  <c r="Z347" i="1" s="1"/>
  <c r="G347" i="1"/>
  <c r="D347" i="1"/>
  <c r="C347" i="1"/>
  <c r="AL346" i="1"/>
  <c r="AK346" i="1"/>
  <c r="AJ346" i="1" a="1"/>
  <c r="AJ346" i="1" s="1"/>
  <c r="AN346" i="1" s="1"/>
  <c r="AI346" i="1" a="1"/>
  <c r="AI346" i="1" s="1"/>
  <c r="AM346" i="1" s="1"/>
  <c r="AH346" i="1"/>
  <c r="AA346" i="1"/>
  <c r="Y346" i="1"/>
  <c r="Z346" i="1" s="1"/>
  <c r="G346" i="1"/>
  <c r="D346" i="1"/>
  <c r="C346" i="1"/>
  <c r="AL345" i="1"/>
  <c r="AK345" i="1"/>
  <c r="AJ345" i="1" a="1"/>
  <c r="AJ345" i="1" s="1"/>
  <c r="AN345" i="1" s="1"/>
  <c r="AI345" i="1" a="1"/>
  <c r="AI345" i="1" s="1"/>
  <c r="AM345" i="1" s="1"/>
  <c r="AH345" i="1"/>
  <c r="AA345" i="1"/>
  <c r="Y345" i="1"/>
  <c r="Z345" i="1" s="1"/>
  <c r="G345" i="1"/>
  <c r="D345" i="1"/>
  <c r="C345" i="1"/>
  <c r="AL344" i="1"/>
  <c r="AK344" i="1"/>
  <c r="AJ344" i="1" a="1"/>
  <c r="AJ344" i="1" s="1"/>
  <c r="AN344" i="1" s="1"/>
  <c r="AI344" i="1" a="1"/>
  <c r="AI344" i="1" s="1"/>
  <c r="AM344" i="1" s="1"/>
  <c r="AH344" i="1"/>
  <c r="AA344" i="1"/>
  <c r="Y344" i="1"/>
  <c r="Z344" i="1" s="1"/>
  <c r="G344" i="1"/>
  <c r="D344" i="1"/>
  <c r="C344" i="1"/>
  <c r="AL343" i="1"/>
  <c r="AK343" i="1"/>
  <c r="AJ343" i="1" a="1"/>
  <c r="AJ343" i="1" s="1"/>
  <c r="AN343" i="1" s="1"/>
  <c r="AI343" i="1" a="1"/>
  <c r="AI343" i="1" s="1"/>
  <c r="AM343" i="1" s="1"/>
  <c r="AH343" i="1"/>
  <c r="AA343" i="1"/>
  <c r="Y343" i="1"/>
  <c r="Z343" i="1" s="1"/>
  <c r="G343" i="1"/>
  <c r="D343" i="1"/>
  <c r="C343" i="1"/>
  <c r="AL342" i="1"/>
  <c r="AK342" i="1"/>
  <c r="AJ342" i="1" a="1"/>
  <c r="AJ342" i="1" s="1"/>
  <c r="AN342" i="1" s="1"/>
  <c r="AI342" i="1" a="1"/>
  <c r="AI342" i="1" s="1"/>
  <c r="AM342" i="1" s="1"/>
  <c r="AH342" i="1"/>
  <c r="AA342" i="1"/>
  <c r="Y342" i="1"/>
  <c r="Z342" i="1" s="1"/>
  <c r="G342" i="1"/>
  <c r="D342" i="1"/>
  <c r="C342" i="1"/>
  <c r="AL341" i="1"/>
  <c r="AK341" i="1"/>
  <c r="AJ341" i="1" a="1"/>
  <c r="AJ341" i="1" s="1"/>
  <c r="AN341" i="1" s="1"/>
  <c r="AI341" i="1" a="1"/>
  <c r="AI341" i="1" s="1"/>
  <c r="AM341" i="1" s="1"/>
  <c r="AH341" i="1"/>
  <c r="AA341" i="1"/>
  <c r="Y341" i="1"/>
  <c r="Z341" i="1" s="1"/>
  <c r="G341" i="1"/>
  <c r="D341" i="1"/>
  <c r="C341" i="1"/>
  <c r="AL340" i="1"/>
  <c r="AK340" i="1"/>
  <c r="AJ340" i="1" a="1"/>
  <c r="AJ340" i="1" s="1"/>
  <c r="AN340" i="1" s="1"/>
  <c r="AI340" i="1" a="1"/>
  <c r="AI340" i="1" s="1"/>
  <c r="AM340" i="1" s="1"/>
  <c r="AH340" i="1"/>
  <c r="AA340" i="1"/>
  <c r="Y340" i="1"/>
  <c r="Z340" i="1" s="1"/>
  <c r="G340" i="1"/>
  <c r="D340" i="1"/>
  <c r="C340" i="1"/>
  <c r="AL339" i="1"/>
  <c r="AK339" i="1"/>
  <c r="AJ339" i="1" a="1"/>
  <c r="AJ339" i="1" s="1"/>
  <c r="AN339" i="1" s="1"/>
  <c r="AI339" i="1" a="1"/>
  <c r="AI339" i="1" s="1"/>
  <c r="AM339" i="1" s="1"/>
  <c r="AH339" i="1"/>
  <c r="AA339" i="1"/>
  <c r="Y339" i="1"/>
  <c r="Z339" i="1" s="1"/>
  <c r="G339" i="1"/>
  <c r="D339" i="1"/>
  <c r="C339" i="1"/>
  <c r="AL338" i="1"/>
  <c r="AK338" i="1"/>
  <c r="AJ338" i="1" a="1"/>
  <c r="AJ338" i="1" s="1"/>
  <c r="AN338" i="1" s="1"/>
  <c r="AI338" i="1" a="1"/>
  <c r="AI338" i="1" s="1"/>
  <c r="AM338" i="1" s="1"/>
  <c r="AH338" i="1"/>
  <c r="AA338" i="1"/>
  <c r="Y338" i="1"/>
  <c r="Z338" i="1" s="1"/>
  <c r="G338" i="1"/>
  <c r="D338" i="1"/>
  <c r="C338" i="1"/>
  <c r="AL337" i="1"/>
  <c r="AK337" i="1"/>
  <c r="AJ337" i="1" a="1"/>
  <c r="AJ337" i="1" s="1"/>
  <c r="AN337" i="1" s="1"/>
  <c r="AI337" i="1" a="1"/>
  <c r="AI337" i="1" s="1"/>
  <c r="AM337" i="1" s="1"/>
  <c r="AH337" i="1"/>
  <c r="AA337" i="1"/>
  <c r="Y337" i="1"/>
  <c r="Z337" i="1" s="1"/>
  <c r="G337" i="1"/>
  <c r="D337" i="1"/>
  <c r="C337" i="1"/>
  <c r="AL336" i="1"/>
  <c r="AK336" i="1"/>
  <c r="AJ336" i="1" a="1"/>
  <c r="AJ336" i="1" s="1"/>
  <c r="AN336" i="1" s="1"/>
  <c r="AI336" i="1" a="1"/>
  <c r="AI336" i="1" s="1"/>
  <c r="AM336" i="1" s="1"/>
  <c r="AH336" i="1"/>
  <c r="AA336" i="1"/>
  <c r="Y336" i="1"/>
  <c r="Z336" i="1" s="1"/>
  <c r="G336" i="1"/>
  <c r="D336" i="1"/>
  <c r="C336" i="1"/>
  <c r="AL335" i="1"/>
  <c r="AK335" i="1"/>
  <c r="AJ335" i="1" a="1"/>
  <c r="AJ335" i="1" s="1"/>
  <c r="AN335" i="1" s="1"/>
  <c r="AI335" i="1" a="1"/>
  <c r="AI335" i="1" s="1"/>
  <c r="AM335" i="1" s="1"/>
  <c r="AH335" i="1"/>
  <c r="AA335" i="1"/>
  <c r="Y335" i="1"/>
  <c r="Z335" i="1" s="1"/>
  <c r="G335" i="1"/>
  <c r="D335" i="1"/>
  <c r="C335" i="1"/>
  <c r="AL334" i="1"/>
  <c r="AK334" i="1"/>
  <c r="AJ334" i="1" a="1"/>
  <c r="AJ334" i="1" s="1"/>
  <c r="AN334" i="1" s="1"/>
  <c r="AI334" i="1" a="1"/>
  <c r="AI334" i="1" s="1"/>
  <c r="AM334" i="1" s="1"/>
  <c r="AH334" i="1"/>
  <c r="AA334" i="1"/>
  <c r="Y334" i="1"/>
  <c r="Z334" i="1" s="1"/>
  <c r="G334" i="1"/>
  <c r="D334" i="1"/>
  <c r="C334" i="1"/>
  <c r="AL333" i="1"/>
  <c r="AK333" i="1"/>
  <c r="AJ333" i="1" a="1"/>
  <c r="AJ333" i="1" s="1"/>
  <c r="AN333" i="1" s="1"/>
  <c r="AI333" i="1" a="1"/>
  <c r="AI333" i="1" s="1"/>
  <c r="AM333" i="1" s="1"/>
  <c r="AH333" i="1"/>
  <c r="AA333" i="1"/>
  <c r="Y333" i="1"/>
  <c r="Z333" i="1" s="1"/>
  <c r="G333" i="1"/>
  <c r="D333" i="1"/>
  <c r="C333" i="1"/>
  <c r="AL332" i="1"/>
  <c r="AK332" i="1"/>
  <c r="AJ332" i="1" a="1"/>
  <c r="AJ332" i="1" s="1"/>
  <c r="AN332" i="1" s="1"/>
  <c r="AI332" i="1" a="1"/>
  <c r="AI332" i="1" s="1"/>
  <c r="AM332" i="1" s="1"/>
  <c r="AH332" i="1"/>
  <c r="AA332" i="1"/>
  <c r="Y332" i="1"/>
  <c r="Z332" i="1" s="1"/>
  <c r="G332" i="1"/>
  <c r="D332" i="1"/>
  <c r="C332" i="1"/>
  <c r="AL331" i="1"/>
  <c r="AK331" i="1"/>
  <c r="AJ331" i="1" a="1"/>
  <c r="AJ331" i="1" s="1"/>
  <c r="AN331" i="1" s="1"/>
  <c r="AI331" i="1" a="1"/>
  <c r="AI331" i="1" s="1"/>
  <c r="AM331" i="1" s="1"/>
  <c r="AH331" i="1"/>
  <c r="AA331" i="1"/>
  <c r="Y331" i="1"/>
  <c r="Z331" i="1" s="1"/>
  <c r="G331" i="1"/>
  <c r="D331" i="1"/>
  <c r="C331" i="1"/>
  <c r="AL330" i="1"/>
  <c r="AK330" i="1"/>
  <c r="AJ330" i="1" a="1"/>
  <c r="AJ330" i="1" s="1"/>
  <c r="AN330" i="1" s="1"/>
  <c r="AI330" i="1" a="1"/>
  <c r="AI330" i="1" s="1"/>
  <c r="AM330" i="1" s="1"/>
  <c r="AH330" i="1"/>
  <c r="AA330" i="1"/>
  <c r="Y330" i="1"/>
  <c r="Z330" i="1" s="1"/>
  <c r="G330" i="1"/>
  <c r="D330" i="1"/>
  <c r="C330" i="1"/>
  <c r="AL329" i="1"/>
  <c r="AK329" i="1"/>
  <c r="AJ329" i="1" a="1"/>
  <c r="AJ329" i="1" s="1"/>
  <c r="AN329" i="1" s="1"/>
  <c r="AI329" i="1" a="1"/>
  <c r="AI329" i="1" s="1"/>
  <c r="AM329" i="1" s="1"/>
  <c r="AH329" i="1"/>
  <c r="AA329" i="1"/>
  <c r="Y329" i="1"/>
  <c r="Z329" i="1" s="1"/>
  <c r="G329" i="1"/>
  <c r="D329" i="1"/>
  <c r="C329" i="1"/>
  <c r="AL328" i="1"/>
  <c r="AK328" i="1"/>
  <c r="AJ328" i="1" a="1"/>
  <c r="AJ328" i="1" s="1"/>
  <c r="AN328" i="1" s="1"/>
  <c r="AI328" i="1" a="1"/>
  <c r="AI328" i="1" s="1"/>
  <c r="AM328" i="1" s="1"/>
  <c r="AH328" i="1"/>
  <c r="AA328" i="1"/>
  <c r="Y328" i="1"/>
  <c r="Z328" i="1" s="1"/>
  <c r="G328" i="1"/>
  <c r="D328" i="1"/>
  <c r="C328" i="1"/>
  <c r="AL327" i="1"/>
  <c r="AK327" i="1"/>
  <c r="AJ327" i="1" a="1"/>
  <c r="AJ327" i="1" s="1"/>
  <c r="AN327" i="1" s="1"/>
  <c r="AI327" i="1" a="1"/>
  <c r="AI327" i="1" s="1"/>
  <c r="AM327" i="1" s="1"/>
  <c r="AH327" i="1"/>
  <c r="AA327" i="1"/>
  <c r="Y327" i="1"/>
  <c r="Z327" i="1" s="1"/>
  <c r="G327" i="1"/>
  <c r="D327" i="1"/>
  <c r="C327" i="1"/>
  <c r="AL326" i="1"/>
  <c r="AK326" i="1"/>
  <c r="AJ326" i="1" a="1"/>
  <c r="AJ326" i="1" s="1"/>
  <c r="AN326" i="1" s="1"/>
  <c r="AI326" i="1" a="1"/>
  <c r="AI326" i="1" s="1"/>
  <c r="AM326" i="1" s="1"/>
  <c r="AH326" i="1"/>
  <c r="AA326" i="1"/>
  <c r="Y326" i="1"/>
  <c r="Z326" i="1" s="1"/>
  <c r="G326" i="1"/>
  <c r="D326" i="1"/>
  <c r="C326" i="1"/>
  <c r="AL325" i="1"/>
  <c r="AK325" i="1"/>
  <c r="AJ325" i="1" a="1"/>
  <c r="AJ325" i="1" s="1"/>
  <c r="AN325" i="1" s="1"/>
  <c r="AI325" i="1" a="1"/>
  <c r="AI325" i="1" s="1"/>
  <c r="AM325" i="1" s="1"/>
  <c r="AH325" i="1"/>
  <c r="AA325" i="1"/>
  <c r="Y325" i="1"/>
  <c r="Z325" i="1" s="1"/>
  <c r="G325" i="1"/>
  <c r="D325" i="1"/>
  <c r="C325" i="1"/>
  <c r="AL324" i="1"/>
  <c r="AK324" i="1"/>
  <c r="AJ324" i="1" a="1"/>
  <c r="AJ324" i="1" s="1"/>
  <c r="AN324" i="1" s="1"/>
  <c r="AI324" i="1" a="1"/>
  <c r="AI324" i="1" s="1"/>
  <c r="AM324" i="1" s="1"/>
  <c r="AH324" i="1"/>
  <c r="AA324" i="1"/>
  <c r="Y324" i="1"/>
  <c r="Z324" i="1" s="1"/>
  <c r="G324" i="1"/>
  <c r="D324" i="1"/>
  <c r="C324" i="1"/>
  <c r="AL323" i="1"/>
  <c r="AK323" i="1"/>
  <c r="AJ323" i="1" a="1"/>
  <c r="AJ323" i="1" s="1"/>
  <c r="AN323" i="1" s="1"/>
  <c r="AI323" i="1" a="1"/>
  <c r="AI323" i="1" s="1"/>
  <c r="AM323" i="1" s="1"/>
  <c r="AH323" i="1"/>
  <c r="AA323" i="1"/>
  <c r="Y323" i="1"/>
  <c r="Z323" i="1" s="1"/>
  <c r="G323" i="1"/>
  <c r="D323" i="1"/>
  <c r="C323" i="1"/>
  <c r="AL322" i="1"/>
  <c r="AK322" i="1"/>
  <c r="AJ322" i="1" a="1"/>
  <c r="AJ322" i="1" s="1"/>
  <c r="AN322" i="1" s="1"/>
  <c r="AI322" i="1" a="1"/>
  <c r="AI322" i="1" s="1"/>
  <c r="AM322" i="1" s="1"/>
  <c r="AH322" i="1"/>
  <c r="AA322" i="1"/>
  <c r="Y322" i="1"/>
  <c r="Z322" i="1" s="1"/>
  <c r="G322" i="1"/>
  <c r="D322" i="1"/>
  <c r="C322" i="1"/>
  <c r="AL321" i="1"/>
  <c r="AK321" i="1"/>
  <c r="AJ321" i="1" a="1"/>
  <c r="AJ321" i="1" s="1"/>
  <c r="AN321" i="1" s="1"/>
  <c r="AI321" i="1" a="1"/>
  <c r="AI321" i="1" s="1"/>
  <c r="AM321" i="1" s="1"/>
  <c r="AH321" i="1"/>
  <c r="AA321" i="1"/>
  <c r="Y321" i="1"/>
  <c r="Z321" i="1" s="1"/>
  <c r="G321" i="1"/>
  <c r="D321" i="1"/>
  <c r="C321" i="1"/>
  <c r="AL320" i="1"/>
  <c r="AK320" i="1"/>
  <c r="AJ320" i="1" a="1"/>
  <c r="AJ320" i="1" s="1"/>
  <c r="AN320" i="1" s="1"/>
  <c r="AI320" i="1" a="1"/>
  <c r="AI320" i="1" s="1"/>
  <c r="AM320" i="1" s="1"/>
  <c r="AH320" i="1"/>
  <c r="AA320" i="1"/>
  <c r="Y320" i="1"/>
  <c r="Z320" i="1" s="1"/>
  <c r="G320" i="1"/>
  <c r="D320" i="1"/>
  <c r="C320" i="1"/>
  <c r="AL319" i="1"/>
  <c r="AK319" i="1"/>
  <c r="AJ319" i="1" a="1"/>
  <c r="AJ319" i="1" s="1"/>
  <c r="AN319" i="1" s="1"/>
  <c r="AI319" i="1" a="1"/>
  <c r="AI319" i="1" s="1"/>
  <c r="AM319" i="1" s="1"/>
  <c r="AH319" i="1"/>
  <c r="AA319" i="1"/>
  <c r="Y319" i="1"/>
  <c r="Z319" i="1" s="1"/>
  <c r="G319" i="1"/>
  <c r="D319" i="1"/>
  <c r="C319" i="1"/>
  <c r="AL318" i="1"/>
  <c r="AK318" i="1"/>
  <c r="AJ318" i="1" a="1"/>
  <c r="AJ318" i="1" s="1"/>
  <c r="AN318" i="1" s="1"/>
  <c r="AI318" i="1" a="1"/>
  <c r="AI318" i="1" s="1"/>
  <c r="AM318" i="1" s="1"/>
  <c r="AH318" i="1"/>
  <c r="AA318" i="1"/>
  <c r="Y318" i="1"/>
  <c r="Z318" i="1" s="1"/>
  <c r="G318" i="1"/>
  <c r="D318" i="1"/>
  <c r="C318" i="1"/>
  <c r="AL317" i="1"/>
  <c r="AK317" i="1"/>
  <c r="AJ317" i="1" a="1"/>
  <c r="AJ317" i="1" s="1"/>
  <c r="AN317" i="1" s="1"/>
  <c r="AI317" i="1" a="1"/>
  <c r="AI317" i="1" s="1"/>
  <c r="AM317" i="1" s="1"/>
  <c r="AH317" i="1"/>
  <c r="AA317" i="1"/>
  <c r="Y317" i="1"/>
  <c r="Z317" i="1" s="1"/>
  <c r="G317" i="1"/>
  <c r="D317" i="1"/>
  <c r="C317" i="1"/>
  <c r="AL316" i="1"/>
  <c r="AK316" i="1"/>
  <c r="AJ316" i="1" a="1"/>
  <c r="AJ316" i="1" s="1"/>
  <c r="AN316" i="1" s="1"/>
  <c r="AI316" i="1" a="1"/>
  <c r="AI316" i="1" s="1"/>
  <c r="AM316" i="1" s="1"/>
  <c r="AH316" i="1"/>
  <c r="AA316" i="1"/>
  <c r="Y316" i="1"/>
  <c r="Z316" i="1" s="1"/>
  <c r="G316" i="1"/>
  <c r="D316" i="1"/>
  <c r="C316" i="1"/>
  <c r="AL315" i="1"/>
  <c r="AK315" i="1"/>
  <c r="AJ315" i="1" a="1"/>
  <c r="AJ315" i="1" s="1"/>
  <c r="AN315" i="1" s="1"/>
  <c r="AI315" i="1" a="1"/>
  <c r="AI315" i="1" s="1"/>
  <c r="AM315" i="1" s="1"/>
  <c r="AH315" i="1"/>
  <c r="AA315" i="1"/>
  <c r="Y315" i="1"/>
  <c r="Z315" i="1" s="1"/>
  <c r="G315" i="1"/>
  <c r="D315" i="1"/>
  <c r="C315" i="1"/>
  <c r="AL314" i="1"/>
  <c r="AK314" i="1"/>
  <c r="AJ314" i="1" a="1"/>
  <c r="AJ314" i="1" s="1"/>
  <c r="AN314" i="1" s="1"/>
  <c r="AI314" i="1" a="1"/>
  <c r="AI314" i="1" s="1"/>
  <c r="AM314" i="1" s="1"/>
  <c r="AH314" i="1"/>
  <c r="AA314" i="1"/>
  <c r="Y314" i="1"/>
  <c r="Z314" i="1" s="1"/>
  <c r="G314" i="1"/>
  <c r="D314" i="1"/>
  <c r="C314" i="1"/>
  <c r="AL313" i="1"/>
  <c r="AK313" i="1"/>
  <c r="AJ313" i="1" a="1"/>
  <c r="AJ313" i="1" s="1"/>
  <c r="AN313" i="1" s="1"/>
  <c r="AI313" i="1" a="1"/>
  <c r="AI313" i="1" s="1"/>
  <c r="AM313" i="1" s="1"/>
  <c r="AH313" i="1"/>
  <c r="AA313" i="1"/>
  <c r="Y313" i="1"/>
  <c r="Z313" i="1" s="1"/>
  <c r="G313" i="1"/>
  <c r="D313" i="1"/>
  <c r="C313" i="1"/>
  <c r="AL312" i="1"/>
  <c r="AK312" i="1"/>
  <c r="AJ312" i="1" a="1"/>
  <c r="AJ312" i="1" s="1"/>
  <c r="AN312" i="1" s="1"/>
  <c r="AI312" i="1" a="1"/>
  <c r="AI312" i="1" s="1"/>
  <c r="AM312" i="1" s="1"/>
  <c r="AH312" i="1"/>
  <c r="AA312" i="1"/>
  <c r="Y312" i="1"/>
  <c r="Z312" i="1" s="1"/>
  <c r="G312" i="1"/>
  <c r="D312" i="1"/>
  <c r="C312" i="1"/>
  <c r="AL311" i="1"/>
  <c r="AK311" i="1"/>
  <c r="AJ311" i="1" a="1"/>
  <c r="AJ311" i="1" s="1"/>
  <c r="AN311" i="1" s="1"/>
  <c r="AI311" i="1" a="1"/>
  <c r="AI311" i="1" s="1"/>
  <c r="AM311" i="1" s="1"/>
  <c r="AH311" i="1"/>
  <c r="AA311" i="1"/>
  <c r="Y311" i="1"/>
  <c r="Z311" i="1" s="1"/>
  <c r="G311" i="1"/>
  <c r="D311" i="1"/>
  <c r="C311" i="1"/>
  <c r="AL310" i="1"/>
  <c r="AK310" i="1"/>
  <c r="AJ310" i="1" a="1"/>
  <c r="AJ310" i="1" s="1"/>
  <c r="AN310" i="1" s="1"/>
  <c r="AI310" i="1" a="1"/>
  <c r="AI310" i="1" s="1"/>
  <c r="AM310" i="1" s="1"/>
  <c r="AH310" i="1"/>
  <c r="AA310" i="1"/>
  <c r="Y310" i="1"/>
  <c r="Z310" i="1" s="1"/>
  <c r="G310" i="1"/>
  <c r="D310" i="1"/>
  <c r="C310" i="1"/>
  <c r="AL309" i="1"/>
  <c r="AK309" i="1"/>
  <c r="AJ309" i="1" a="1"/>
  <c r="AJ309" i="1" s="1"/>
  <c r="AN309" i="1" s="1"/>
  <c r="AI309" i="1" a="1"/>
  <c r="AI309" i="1" s="1"/>
  <c r="AM309" i="1" s="1"/>
  <c r="AH309" i="1"/>
  <c r="AA309" i="1"/>
  <c r="Y309" i="1"/>
  <c r="Z309" i="1" s="1"/>
  <c r="G309" i="1"/>
  <c r="D309" i="1"/>
  <c r="C309" i="1"/>
  <c r="AL308" i="1"/>
  <c r="AK308" i="1"/>
  <c r="AJ308" i="1" a="1"/>
  <c r="AJ308" i="1" s="1"/>
  <c r="AN308" i="1" s="1"/>
  <c r="AI308" i="1" a="1"/>
  <c r="AI308" i="1" s="1"/>
  <c r="AM308" i="1" s="1"/>
  <c r="AH308" i="1"/>
  <c r="AA308" i="1"/>
  <c r="Y308" i="1"/>
  <c r="Z308" i="1" s="1"/>
  <c r="G308" i="1"/>
  <c r="D308" i="1"/>
  <c r="C308" i="1"/>
  <c r="AL307" i="1"/>
  <c r="AK307" i="1"/>
  <c r="AJ307" i="1" a="1"/>
  <c r="AJ307" i="1" s="1"/>
  <c r="AN307" i="1" s="1"/>
  <c r="AI307" i="1" a="1"/>
  <c r="AI307" i="1" s="1"/>
  <c r="AM307" i="1" s="1"/>
  <c r="AH307" i="1"/>
  <c r="AA307" i="1"/>
  <c r="Y307" i="1"/>
  <c r="Z307" i="1" s="1"/>
  <c r="G307" i="1"/>
  <c r="D307" i="1"/>
  <c r="C307" i="1"/>
  <c r="AL306" i="1"/>
  <c r="AK306" i="1"/>
  <c r="AJ306" i="1" a="1"/>
  <c r="AJ306" i="1" s="1"/>
  <c r="AN306" i="1" s="1"/>
  <c r="AI306" i="1" a="1"/>
  <c r="AI306" i="1" s="1"/>
  <c r="AM306" i="1" s="1"/>
  <c r="AH306" i="1"/>
  <c r="AA306" i="1"/>
  <c r="Y306" i="1"/>
  <c r="Z306" i="1" s="1"/>
  <c r="G306" i="1"/>
  <c r="D306" i="1"/>
  <c r="C306" i="1"/>
  <c r="AL305" i="1"/>
  <c r="AK305" i="1"/>
  <c r="AJ305" i="1" a="1"/>
  <c r="AJ305" i="1" s="1"/>
  <c r="AN305" i="1" s="1"/>
  <c r="AI305" i="1" a="1"/>
  <c r="AI305" i="1" s="1"/>
  <c r="AM305" i="1" s="1"/>
  <c r="AH305" i="1"/>
  <c r="AA305" i="1"/>
  <c r="Y305" i="1"/>
  <c r="Z305" i="1" s="1"/>
  <c r="G305" i="1"/>
  <c r="D305" i="1"/>
  <c r="C305" i="1"/>
  <c r="AL304" i="1"/>
  <c r="AK304" i="1"/>
  <c r="AJ304" i="1" a="1"/>
  <c r="AJ304" i="1" s="1"/>
  <c r="AN304" i="1" s="1"/>
  <c r="AI304" i="1" a="1"/>
  <c r="AI304" i="1" s="1"/>
  <c r="AM304" i="1" s="1"/>
  <c r="AH304" i="1"/>
  <c r="AA304" i="1"/>
  <c r="Y304" i="1"/>
  <c r="Z304" i="1" s="1"/>
  <c r="G304" i="1"/>
  <c r="D304" i="1"/>
  <c r="C304" i="1"/>
  <c r="AL303" i="1"/>
  <c r="AK303" i="1"/>
  <c r="AJ303" i="1" a="1"/>
  <c r="AJ303" i="1" s="1"/>
  <c r="AN303" i="1" s="1"/>
  <c r="AI303" i="1" a="1"/>
  <c r="AI303" i="1" s="1"/>
  <c r="AM303" i="1" s="1"/>
  <c r="AH303" i="1"/>
  <c r="AA303" i="1"/>
  <c r="Y303" i="1"/>
  <c r="Z303" i="1" s="1"/>
  <c r="G303" i="1"/>
  <c r="D303" i="1"/>
  <c r="C303" i="1"/>
  <c r="AL302" i="1"/>
  <c r="AK302" i="1"/>
  <c r="AJ302" i="1" a="1"/>
  <c r="AJ302" i="1" s="1"/>
  <c r="AN302" i="1" s="1"/>
  <c r="AI302" i="1" a="1"/>
  <c r="AI302" i="1" s="1"/>
  <c r="AM302" i="1" s="1"/>
  <c r="AH302" i="1"/>
  <c r="AA302" i="1"/>
  <c r="Y302" i="1"/>
  <c r="Z302" i="1" s="1"/>
  <c r="G302" i="1"/>
  <c r="D302" i="1"/>
  <c r="C302" i="1"/>
  <c r="AL301" i="1"/>
  <c r="AK301" i="1"/>
  <c r="AJ301" i="1" a="1"/>
  <c r="AJ301" i="1" s="1"/>
  <c r="AN301" i="1" s="1"/>
  <c r="AI301" i="1" a="1"/>
  <c r="AI301" i="1" s="1"/>
  <c r="AM301" i="1" s="1"/>
  <c r="AH301" i="1"/>
  <c r="AA301" i="1"/>
  <c r="Y301" i="1"/>
  <c r="Z301" i="1" s="1"/>
  <c r="G301" i="1"/>
  <c r="D301" i="1"/>
  <c r="C301" i="1"/>
  <c r="AL300" i="1"/>
  <c r="AK300" i="1"/>
  <c r="AJ300" i="1" a="1"/>
  <c r="AJ300" i="1" s="1"/>
  <c r="AN300" i="1" s="1"/>
  <c r="AI300" i="1" a="1"/>
  <c r="AI300" i="1" s="1"/>
  <c r="AM300" i="1" s="1"/>
  <c r="AH300" i="1"/>
  <c r="AA300" i="1"/>
  <c r="Y300" i="1"/>
  <c r="Z300" i="1" s="1"/>
  <c r="G300" i="1"/>
  <c r="D300" i="1"/>
  <c r="C300" i="1"/>
  <c r="AL299" i="1"/>
  <c r="AK299" i="1"/>
  <c r="AJ299" i="1" a="1"/>
  <c r="AJ299" i="1" s="1"/>
  <c r="AN299" i="1" s="1"/>
  <c r="AI299" i="1" a="1"/>
  <c r="AI299" i="1" s="1"/>
  <c r="AM299" i="1" s="1"/>
  <c r="AH299" i="1"/>
  <c r="AA299" i="1"/>
  <c r="Y299" i="1"/>
  <c r="Z299" i="1" s="1"/>
  <c r="G299" i="1"/>
  <c r="D299" i="1"/>
  <c r="C299" i="1"/>
  <c r="AL298" i="1"/>
  <c r="AK298" i="1"/>
  <c r="AJ298" i="1" a="1"/>
  <c r="AJ298" i="1" s="1"/>
  <c r="AN298" i="1" s="1"/>
  <c r="AI298" i="1" a="1"/>
  <c r="AI298" i="1" s="1"/>
  <c r="AM298" i="1" s="1"/>
  <c r="AH298" i="1"/>
  <c r="AA298" i="1"/>
  <c r="Y298" i="1"/>
  <c r="Z298" i="1" s="1"/>
  <c r="G298" i="1"/>
  <c r="D298" i="1"/>
  <c r="C298" i="1"/>
  <c r="AL297" i="1"/>
  <c r="AK297" i="1"/>
  <c r="AJ297" i="1" a="1"/>
  <c r="AJ297" i="1" s="1"/>
  <c r="AN297" i="1" s="1"/>
  <c r="AI297" i="1" a="1"/>
  <c r="AI297" i="1" s="1"/>
  <c r="AM297" i="1" s="1"/>
  <c r="AH297" i="1"/>
  <c r="AA297" i="1"/>
  <c r="Y297" i="1"/>
  <c r="Z297" i="1" s="1"/>
  <c r="G297" i="1"/>
  <c r="D297" i="1"/>
  <c r="C297" i="1"/>
  <c r="AL296" i="1"/>
  <c r="AK296" i="1"/>
  <c r="AJ296" i="1" a="1"/>
  <c r="AJ296" i="1" s="1"/>
  <c r="AN296" i="1" s="1"/>
  <c r="AI296" i="1" a="1"/>
  <c r="AI296" i="1" s="1"/>
  <c r="AM296" i="1" s="1"/>
  <c r="AH296" i="1"/>
  <c r="AA296" i="1"/>
  <c r="Y296" i="1"/>
  <c r="Z296" i="1" s="1"/>
  <c r="G296" i="1"/>
  <c r="D296" i="1"/>
  <c r="C296" i="1"/>
  <c r="AL295" i="1"/>
  <c r="AK295" i="1"/>
  <c r="AJ295" i="1" a="1"/>
  <c r="AJ295" i="1" s="1"/>
  <c r="AN295" i="1" s="1"/>
  <c r="AI295" i="1" a="1"/>
  <c r="AI295" i="1" s="1"/>
  <c r="AM295" i="1" s="1"/>
  <c r="AH295" i="1"/>
  <c r="AA295" i="1"/>
  <c r="Y295" i="1"/>
  <c r="Z295" i="1" s="1"/>
  <c r="G295" i="1"/>
  <c r="D295" i="1"/>
  <c r="C295" i="1"/>
  <c r="AL294" i="1"/>
  <c r="AK294" i="1"/>
  <c r="AJ294" i="1" a="1"/>
  <c r="AJ294" i="1" s="1"/>
  <c r="AN294" i="1" s="1"/>
  <c r="AI294" i="1" a="1"/>
  <c r="AI294" i="1" s="1"/>
  <c r="AM294" i="1" s="1"/>
  <c r="AH294" i="1"/>
  <c r="AA294" i="1"/>
  <c r="Y294" i="1"/>
  <c r="Z294" i="1" s="1"/>
  <c r="G294" i="1"/>
  <c r="D294" i="1"/>
  <c r="C294" i="1"/>
  <c r="AL293" i="1"/>
  <c r="AK293" i="1"/>
  <c r="AJ293" i="1" a="1"/>
  <c r="AJ293" i="1" s="1"/>
  <c r="AN293" i="1" s="1"/>
  <c r="AI293" i="1" a="1"/>
  <c r="AI293" i="1" s="1"/>
  <c r="AM293" i="1" s="1"/>
  <c r="AH293" i="1"/>
  <c r="AA293" i="1"/>
  <c r="Y293" i="1"/>
  <c r="Z293" i="1" s="1"/>
  <c r="G293" i="1"/>
  <c r="D293" i="1"/>
  <c r="C293" i="1"/>
  <c r="AL292" i="1"/>
  <c r="AK292" i="1"/>
  <c r="AJ292" i="1" a="1"/>
  <c r="AJ292" i="1" s="1"/>
  <c r="AN292" i="1" s="1"/>
  <c r="AI292" i="1" a="1"/>
  <c r="AI292" i="1" s="1"/>
  <c r="AM292" i="1" s="1"/>
  <c r="AH292" i="1"/>
  <c r="AA292" i="1"/>
  <c r="Y292" i="1"/>
  <c r="Z292" i="1" s="1"/>
  <c r="G292" i="1"/>
  <c r="D292" i="1"/>
  <c r="C292" i="1"/>
  <c r="AL291" i="1"/>
  <c r="AK291" i="1"/>
  <c r="AJ291" i="1" a="1"/>
  <c r="AJ291" i="1" s="1"/>
  <c r="AN291" i="1" s="1"/>
  <c r="AI291" i="1" a="1"/>
  <c r="AI291" i="1" s="1"/>
  <c r="AM291" i="1" s="1"/>
  <c r="AH291" i="1"/>
  <c r="AA291" i="1"/>
  <c r="Y291" i="1"/>
  <c r="Z291" i="1" s="1"/>
  <c r="G291" i="1"/>
  <c r="D291" i="1"/>
  <c r="C291" i="1"/>
  <c r="AL290" i="1"/>
  <c r="AK290" i="1"/>
  <c r="AJ290" i="1" a="1"/>
  <c r="AJ290" i="1" s="1"/>
  <c r="AN290" i="1" s="1"/>
  <c r="AI290" i="1" a="1"/>
  <c r="AI290" i="1" s="1"/>
  <c r="AM290" i="1" s="1"/>
  <c r="AH290" i="1"/>
  <c r="AA290" i="1"/>
  <c r="Y290" i="1"/>
  <c r="Z290" i="1" s="1"/>
  <c r="G290" i="1"/>
  <c r="D290" i="1"/>
  <c r="C290" i="1"/>
  <c r="AL289" i="1"/>
  <c r="AK289" i="1"/>
  <c r="AJ289" i="1" a="1"/>
  <c r="AJ289" i="1" s="1"/>
  <c r="AN289" i="1" s="1"/>
  <c r="AI289" i="1" a="1"/>
  <c r="AI289" i="1" s="1"/>
  <c r="AM289" i="1" s="1"/>
  <c r="AH289" i="1"/>
  <c r="AA289" i="1"/>
  <c r="Y289" i="1"/>
  <c r="Z289" i="1" s="1"/>
  <c r="G289" i="1"/>
  <c r="D289" i="1"/>
  <c r="C289" i="1"/>
  <c r="AL288" i="1"/>
  <c r="AK288" i="1"/>
  <c r="AJ288" i="1" a="1"/>
  <c r="AJ288" i="1" s="1"/>
  <c r="AN288" i="1" s="1"/>
  <c r="AI288" i="1" a="1"/>
  <c r="AI288" i="1" s="1"/>
  <c r="AM288" i="1" s="1"/>
  <c r="AH288" i="1"/>
  <c r="AA288" i="1"/>
  <c r="Y288" i="1"/>
  <c r="Z288" i="1" s="1"/>
  <c r="G288" i="1"/>
  <c r="D288" i="1"/>
  <c r="C288" i="1"/>
  <c r="AL287" i="1"/>
  <c r="AK287" i="1"/>
  <c r="AJ287" i="1" a="1"/>
  <c r="AJ287" i="1" s="1"/>
  <c r="AN287" i="1" s="1"/>
  <c r="AI287" i="1" a="1"/>
  <c r="AI287" i="1" s="1"/>
  <c r="AM287" i="1" s="1"/>
  <c r="AH287" i="1"/>
  <c r="AA287" i="1"/>
  <c r="Y287" i="1"/>
  <c r="Z287" i="1" s="1"/>
  <c r="G287" i="1"/>
  <c r="D287" i="1"/>
  <c r="C287" i="1"/>
  <c r="AL286" i="1"/>
  <c r="AK286" i="1"/>
  <c r="AJ286" i="1" a="1"/>
  <c r="AJ286" i="1" s="1"/>
  <c r="AN286" i="1" s="1"/>
  <c r="AI286" i="1" a="1"/>
  <c r="AI286" i="1" s="1"/>
  <c r="AM286" i="1" s="1"/>
  <c r="AH286" i="1"/>
  <c r="AA286" i="1"/>
  <c r="Y286" i="1"/>
  <c r="Z286" i="1" s="1"/>
  <c r="G286" i="1"/>
  <c r="D286" i="1"/>
  <c r="C286" i="1"/>
  <c r="AL285" i="1"/>
  <c r="AK285" i="1"/>
  <c r="AJ285" i="1" a="1"/>
  <c r="AJ285" i="1" s="1"/>
  <c r="AN285" i="1" s="1"/>
  <c r="AI285" i="1" a="1"/>
  <c r="AI285" i="1" s="1"/>
  <c r="AM285" i="1" s="1"/>
  <c r="AH285" i="1"/>
  <c r="AA285" i="1"/>
  <c r="Y285" i="1"/>
  <c r="Z285" i="1" s="1"/>
  <c r="G285" i="1"/>
  <c r="D285" i="1"/>
  <c r="C285" i="1"/>
  <c r="AL284" i="1"/>
  <c r="AK284" i="1"/>
  <c r="AJ284" i="1" a="1"/>
  <c r="AJ284" i="1" s="1"/>
  <c r="AN284" i="1" s="1"/>
  <c r="AI284" i="1" a="1"/>
  <c r="AI284" i="1" s="1"/>
  <c r="AM284" i="1" s="1"/>
  <c r="AH284" i="1"/>
  <c r="AA284" i="1"/>
  <c r="Y284" i="1"/>
  <c r="Z284" i="1" s="1"/>
  <c r="G284" i="1"/>
  <c r="D284" i="1"/>
  <c r="C284" i="1"/>
  <c r="AL283" i="1"/>
  <c r="AK283" i="1"/>
  <c r="AJ283" i="1" a="1"/>
  <c r="AJ283" i="1" s="1"/>
  <c r="AN283" i="1" s="1"/>
  <c r="AI283" i="1" a="1"/>
  <c r="AI283" i="1" s="1"/>
  <c r="AM283" i="1" s="1"/>
  <c r="AH283" i="1"/>
  <c r="AA283" i="1"/>
  <c r="Y283" i="1"/>
  <c r="Z283" i="1" s="1"/>
  <c r="G283" i="1"/>
  <c r="D283" i="1"/>
  <c r="C283" i="1"/>
  <c r="AL282" i="1"/>
  <c r="AK282" i="1"/>
  <c r="AJ282" i="1" a="1"/>
  <c r="AJ282" i="1" s="1"/>
  <c r="AN282" i="1" s="1"/>
  <c r="AI282" i="1" a="1"/>
  <c r="AI282" i="1" s="1"/>
  <c r="AM282" i="1" s="1"/>
  <c r="AH282" i="1"/>
  <c r="AA282" i="1"/>
  <c r="Y282" i="1"/>
  <c r="Z282" i="1" s="1"/>
  <c r="G282" i="1"/>
  <c r="D282" i="1"/>
  <c r="C282" i="1"/>
  <c r="AL281" i="1"/>
  <c r="AK281" i="1"/>
  <c r="AJ281" i="1" a="1"/>
  <c r="AJ281" i="1" s="1"/>
  <c r="AN281" i="1" s="1"/>
  <c r="AI281" i="1" a="1"/>
  <c r="AI281" i="1" s="1"/>
  <c r="AM281" i="1" s="1"/>
  <c r="AH281" i="1"/>
  <c r="AA281" i="1"/>
  <c r="Y281" i="1"/>
  <c r="Z281" i="1" s="1"/>
  <c r="G281" i="1"/>
  <c r="D281" i="1"/>
  <c r="C281" i="1"/>
  <c r="AL280" i="1"/>
  <c r="AK280" i="1"/>
  <c r="AJ280" i="1" a="1"/>
  <c r="AJ280" i="1" s="1"/>
  <c r="AN280" i="1" s="1"/>
  <c r="AI280" i="1" a="1"/>
  <c r="AI280" i="1" s="1"/>
  <c r="AM280" i="1" s="1"/>
  <c r="AH280" i="1"/>
  <c r="AA280" i="1"/>
  <c r="Y280" i="1"/>
  <c r="Z280" i="1" s="1"/>
  <c r="G280" i="1"/>
  <c r="D280" i="1"/>
  <c r="C280" i="1"/>
  <c r="AL279" i="1"/>
  <c r="AK279" i="1"/>
  <c r="AJ279" i="1" a="1"/>
  <c r="AJ279" i="1" s="1"/>
  <c r="AN279" i="1" s="1"/>
  <c r="AI279" i="1" a="1"/>
  <c r="AI279" i="1" s="1"/>
  <c r="AM279" i="1" s="1"/>
  <c r="AH279" i="1"/>
  <c r="AA279" i="1"/>
  <c r="Y279" i="1"/>
  <c r="Z279" i="1" s="1"/>
  <c r="G279" i="1"/>
  <c r="D279" i="1"/>
  <c r="C279" i="1"/>
  <c r="AL278" i="1"/>
  <c r="AK278" i="1"/>
  <c r="AJ278" i="1" a="1"/>
  <c r="AJ278" i="1" s="1"/>
  <c r="AN278" i="1" s="1"/>
  <c r="AI278" i="1" a="1"/>
  <c r="AI278" i="1" s="1"/>
  <c r="AM278" i="1" s="1"/>
  <c r="AH278" i="1"/>
  <c r="AA278" i="1"/>
  <c r="Y278" i="1"/>
  <c r="Z278" i="1" s="1"/>
  <c r="G278" i="1"/>
  <c r="D278" i="1"/>
  <c r="C278" i="1"/>
  <c r="AL277" i="1"/>
  <c r="AK277" i="1"/>
  <c r="AJ277" i="1" a="1"/>
  <c r="AJ277" i="1" s="1"/>
  <c r="AN277" i="1" s="1"/>
  <c r="AI277" i="1" a="1"/>
  <c r="AI277" i="1" s="1"/>
  <c r="AM277" i="1" s="1"/>
  <c r="AH277" i="1"/>
  <c r="AA277" i="1"/>
  <c r="Y277" i="1"/>
  <c r="Z277" i="1" s="1"/>
  <c r="G277" i="1"/>
  <c r="D277" i="1"/>
  <c r="C277" i="1"/>
  <c r="AL276" i="1"/>
  <c r="AK276" i="1"/>
  <c r="AJ276" i="1" a="1"/>
  <c r="AJ276" i="1" s="1"/>
  <c r="AN276" i="1" s="1"/>
  <c r="AI276" i="1" a="1"/>
  <c r="AI276" i="1" s="1"/>
  <c r="AM276" i="1" s="1"/>
  <c r="AH276" i="1"/>
  <c r="AA276" i="1"/>
  <c r="Y276" i="1"/>
  <c r="Z276" i="1" s="1"/>
  <c r="G276" i="1"/>
  <c r="D276" i="1"/>
  <c r="C276" i="1"/>
  <c r="AL275" i="1"/>
  <c r="AK275" i="1"/>
  <c r="AJ275" i="1" a="1"/>
  <c r="AJ275" i="1" s="1"/>
  <c r="AN275" i="1" s="1"/>
  <c r="AI275" i="1" a="1"/>
  <c r="AI275" i="1" s="1"/>
  <c r="AM275" i="1" s="1"/>
  <c r="AH275" i="1"/>
  <c r="AA275" i="1"/>
  <c r="Y275" i="1"/>
  <c r="Z275" i="1" s="1"/>
  <c r="G275" i="1"/>
  <c r="D275" i="1"/>
  <c r="C275" i="1"/>
  <c r="AL274" i="1"/>
  <c r="AK274" i="1"/>
  <c r="AJ274" i="1" a="1"/>
  <c r="AJ274" i="1" s="1"/>
  <c r="AN274" i="1" s="1"/>
  <c r="AI274" i="1" a="1"/>
  <c r="AI274" i="1" s="1"/>
  <c r="AM274" i="1" s="1"/>
  <c r="AH274" i="1"/>
  <c r="AA274" i="1"/>
  <c r="Y274" i="1"/>
  <c r="Z274" i="1" s="1"/>
  <c r="G274" i="1"/>
  <c r="D274" i="1"/>
  <c r="C274" i="1"/>
  <c r="AL273" i="1"/>
  <c r="AK273" i="1"/>
  <c r="AJ273" i="1" a="1"/>
  <c r="AJ273" i="1" s="1"/>
  <c r="AN273" i="1" s="1"/>
  <c r="AI273" i="1" a="1"/>
  <c r="AI273" i="1" s="1"/>
  <c r="AM273" i="1" s="1"/>
  <c r="AH273" i="1"/>
  <c r="AA273" i="1"/>
  <c r="Y273" i="1"/>
  <c r="Z273" i="1" s="1"/>
  <c r="G273" i="1"/>
  <c r="D273" i="1"/>
  <c r="C273" i="1"/>
  <c r="AL272" i="1"/>
  <c r="AK272" i="1"/>
  <c r="AJ272" i="1" a="1"/>
  <c r="AJ272" i="1" s="1"/>
  <c r="AN272" i="1" s="1"/>
  <c r="AI272" i="1" a="1"/>
  <c r="AI272" i="1" s="1"/>
  <c r="AM272" i="1" s="1"/>
  <c r="AH272" i="1"/>
  <c r="AA272" i="1"/>
  <c r="Y272" i="1"/>
  <c r="Z272" i="1" s="1"/>
  <c r="G272" i="1"/>
  <c r="D272" i="1"/>
  <c r="C272" i="1"/>
  <c r="AL271" i="1"/>
  <c r="AK271" i="1"/>
  <c r="AJ271" i="1" a="1"/>
  <c r="AJ271" i="1" s="1"/>
  <c r="AN271" i="1" s="1"/>
  <c r="AI271" i="1" a="1"/>
  <c r="AI271" i="1" s="1"/>
  <c r="AM271" i="1" s="1"/>
  <c r="AH271" i="1"/>
  <c r="AA271" i="1"/>
  <c r="Y271" i="1"/>
  <c r="Z271" i="1" s="1"/>
  <c r="G271" i="1"/>
  <c r="D271" i="1"/>
  <c r="C271" i="1"/>
  <c r="AL270" i="1"/>
  <c r="AK270" i="1"/>
  <c r="AJ270" i="1" a="1"/>
  <c r="AJ270" i="1" s="1"/>
  <c r="AN270" i="1" s="1"/>
  <c r="AI270" i="1" a="1"/>
  <c r="AI270" i="1" s="1"/>
  <c r="AM270" i="1" s="1"/>
  <c r="AH270" i="1"/>
  <c r="AA270" i="1"/>
  <c r="Y270" i="1"/>
  <c r="Z270" i="1" s="1"/>
  <c r="G270" i="1"/>
  <c r="D270" i="1"/>
  <c r="C270" i="1"/>
  <c r="AL269" i="1"/>
  <c r="AK269" i="1"/>
  <c r="AJ269" i="1" a="1"/>
  <c r="AJ269" i="1" s="1"/>
  <c r="AN269" i="1" s="1"/>
  <c r="AI269" i="1" a="1"/>
  <c r="AI269" i="1" s="1"/>
  <c r="AM269" i="1" s="1"/>
  <c r="AH269" i="1"/>
  <c r="AA269" i="1"/>
  <c r="Y269" i="1"/>
  <c r="Z269" i="1" s="1"/>
  <c r="G269" i="1"/>
  <c r="D269" i="1"/>
  <c r="C269" i="1"/>
  <c r="AL268" i="1"/>
  <c r="AK268" i="1"/>
  <c r="AJ268" i="1" a="1"/>
  <c r="AJ268" i="1" s="1"/>
  <c r="AN268" i="1" s="1"/>
  <c r="AI268" i="1" a="1"/>
  <c r="AI268" i="1" s="1"/>
  <c r="AM268" i="1" s="1"/>
  <c r="AH268" i="1"/>
  <c r="AA268" i="1"/>
  <c r="Y268" i="1"/>
  <c r="Z268" i="1" s="1"/>
  <c r="G268" i="1"/>
  <c r="D268" i="1"/>
  <c r="C268" i="1"/>
  <c r="AL267" i="1"/>
  <c r="AK267" i="1"/>
  <c r="AJ267" i="1" a="1"/>
  <c r="AJ267" i="1" s="1"/>
  <c r="AN267" i="1" s="1"/>
  <c r="AI267" i="1" a="1"/>
  <c r="AI267" i="1" s="1"/>
  <c r="AM267" i="1" s="1"/>
  <c r="AH267" i="1"/>
  <c r="AA267" i="1"/>
  <c r="Y267" i="1"/>
  <c r="Z267" i="1" s="1"/>
  <c r="G267" i="1"/>
  <c r="D267" i="1"/>
  <c r="C267" i="1"/>
  <c r="AL266" i="1"/>
  <c r="AK266" i="1"/>
  <c r="AJ266" i="1" a="1"/>
  <c r="AJ266" i="1" s="1"/>
  <c r="AN266" i="1" s="1"/>
  <c r="AI266" i="1" a="1"/>
  <c r="AI266" i="1" s="1"/>
  <c r="AM266" i="1" s="1"/>
  <c r="AH266" i="1"/>
  <c r="AA266" i="1"/>
  <c r="Y266" i="1"/>
  <c r="Z266" i="1" s="1"/>
  <c r="G266" i="1"/>
  <c r="D266" i="1"/>
  <c r="C266" i="1"/>
  <c r="AL265" i="1"/>
  <c r="AK265" i="1"/>
  <c r="AJ265" i="1" a="1"/>
  <c r="AJ265" i="1" s="1"/>
  <c r="AN265" i="1" s="1"/>
  <c r="AI265" i="1" a="1"/>
  <c r="AI265" i="1" s="1"/>
  <c r="AM265" i="1" s="1"/>
  <c r="AH265" i="1"/>
  <c r="AA265" i="1"/>
  <c r="Y265" i="1"/>
  <c r="Z265" i="1" s="1"/>
  <c r="G265" i="1"/>
  <c r="D265" i="1"/>
  <c r="C265" i="1"/>
  <c r="AL264" i="1"/>
  <c r="AK264" i="1"/>
  <c r="AJ264" i="1" a="1"/>
  <c r="AJ264" i="1" s="1"/>
  <c r="AN264" i="1" s="1"/>
  <c r="AI264" i="1" a="1"/>
  <c r="AI264" i="1" s="1"/>
  <c r="AM264" i="1" s="1"/>
  <c r="AH264" i="1"/>
  <c r="AA264" i="1"/>
  <c r="Y264" i="1"/>
  <c r="Z264" i="1" s="1"/>
  <c r="G264" i="1"/>
  <c r="D264" i="1"/>
  <c r="C264" i="1"/>
  <c r="AL263" i="1"/>
  <c r="AK263" i="1"/>
  <c r="AJ263" i="1" a="1"/>
  <c r="AJ263" i="1" s="1"/>
  <c r="AN263" i="1" s="1"/>
  <c r="AI263" i="1" a="1"/>
  <c r="AI263" i="1" s="1"/>
  <c r="AM263" i="1" s="1"/>
  <c r="AH263" i="1"/>
  <c r="AA263" i="1"/>
  <c r="Y263" i="1"/>
  <c r="Z263" i="1" s="1"/>
  <c r="G263" i="1"/>
  <c r="D263" i="1"/>
  <c r="C263" i="1"/>
  <c r="AL262" i="1"/>
  <c r="AK262" i="1"/>
  <c r="AJ262" i="1" a="1"/>
  <c r="AJ262" i="1" s="1"/>
  <c r="AN262" i="1" s="1"/>
  <c r="AI262" i="1" a="1"/>
  <c r="AI262" i="1" s="1"/>
  <c r="AM262" i="1" s="1"/>
  <c r="AH262" i="1"/>
  <c r="AA262" i="1"/>
  <c r="Y262" i="1"/>
  <c r="Z262" i="1" s="1"/>
  <c r="G262" i="1"/>
  <c r="D262" i="1"/>
  <c r="C262" i="1"/>
  <c r="AL261" i="1"/>
  <c r="AK261" i="1"/>
  <c r="AJ261" i="1" a="1"/>
  <c r="AJ261" i="1" s="1"/>
  <c r="AN261" i="1" s="1"/>
  <c r="AI261" i="1" a="1"/>
  <c r="AI261" i="1" s="1"/>
  <c r="AM261" i="1" s="1"/>
  <c r="AH261" i="1"/>
  <c r="AA261" i="1"/>
  <c r="Y261" i="1"/>
  <c r="Z261" i="1" s="1"/>
  <c r="G261" i="1"/>
  <c r="D261" i="1"/>
  <c r="C261" i="1"/>
  <c r="AL260" i="1"/>
  <c r="AK260" i="1"/>
  <c r="AJ260" i="1" a="1"/>
  <c r="AJ260" i="1" s="1"/>
  <c r="AN260" i="1" s="1"/>
  <c r="AI260" i="1" a="1"/>
  <c r="AI260" i="1" s="1"/>
  <c r="AM260" i="1" s="1"/>
  <c r="AH260" i="1"/>
  <c r="AA260" i="1"/>
  <c r="Y260" i="1"/>
  <c r="Z260" i="1" s="1"/>
  <c r="G260" i="1"/>
  <c r="D260" i="1"/>
  <c r="C260" i="1"/>
  <c r="AL259" i="1"/>
  <c r="AK259" i="1"/>
  <c r="AJ259" i="1" a="1"/>
  <c r="AJ259" i="1" s="1"/>
  <c r="AN259" i="1" s="1"/>
  <c r="AI259" i="1" a="1"/>
  <c r="AI259" i="1" s="1"/>
  <c r="AM259" i="1" s="1"/>
  <c r="AH259" i="1"/>
  <c r="AA259" i="1"/>
  <c r="Y259" i="1"/>
  <c r="Z259" i="1" s="1"/>
  <c r="G259" i="1"/>
  <c r="D259" i="1"/>
  <c r="C259" i="1"/>
  <c r="AL258" i="1"/>
  <c r="AK258" i="1"/>
  <c r="AJ258" i="1" a="1"/>
  <c r="AJ258" i="1" s="1"/>
  <c r="AN258" i="1" s="1"/>
  <c r="AI258" i="1" a="1"/>
  <c r="AI258" i="1" s="1"/>
  <c r="AM258" i="1" s="1"/>
  <c r="AH258" i="1"/>
  <c r="AA258" i="1"/>
  <c r="Y258" i="1"/>
  <c r="Z258" i="1" s="1"/>
  <c r="G258" i="1"/>
  <c r="D258" i="1"/>
  <c r="C258" i="1"/>
  <c r="AL257" i="1"/>
  <c r="AK257" i="1"/>
  <c r="AJ257" i="1" a="1"/>
  <c r="AJ257" i="1" s="1"/>
  <c r="AN257" i="1" s="1"/>
  <c r="AI257" i="1" a="1"/>
  <c r="AI257" i="1" s="1"/>
  <c r="AM257" i="1" s="1"/>
  <c r="AH257" i="1"/>
  <c r="AA257" i="1"/>
  <c r="Y257" i="1"/>
  <c r="Z257" i="1" s="1"/>
  <c r="G257" i="1"/>
  <c r="D257" i="1"/>
  <c r="C257" i="1"/>
  <c r="AL256" i="1"/>
  <c r="AK256" i="1"/>
  <c r="AJ256" i="1" a="1"/>
  <c r="AJ256" i="1" s="1"/>
  <c r="AN256" i="1" s="1"/>
  <c r="AI256" i="1" a="1"/>
  <c r="AI256" i="1" s="1"/>
  <c r="AM256" i="1" s="1"/>
  <c r="AH256" i="1"/>
  <c r="AA256" i="1"/>
  <c r="Y256" i="1"/>
  <c r="Z256" i="1" s="1"/>
  <c r="G256" i="1"/>
  <c r="D256" i="1"/>
  <c r="C256" i="1"/>
  <c r="AL255" i="1"/>
  <c r="AK255" i="1"/>
  <c r="AJ255" i="1" a="1"/>
  <c r="AJ255" i="1" s="1"/>
  <c r="AN255" i="1" s="1"/>
  <c r="AI255" i="1" a="1"/>
  <c r="AI255" i="1" s="1"/>
  <c r="AM255" i="1" s="1"/>
  <c r="AH255" i="1"/>
  <c r="AA255" i="1"/>
  <c r="Y255" i="1"/>
  <c r="Z255" i="1" s="1"/>
  <c r="G255" i="1"/>
  <c r="D255" i="1"/>
  <c r="C255" i="1"/>
  <c r="AL254" i="1"/>
  <c r="AK254" i="1"/>
  <c r="AJ254" i="1" a="1"/>
  <c r="AJ254" i="1" s="1"/>
  <c r="AN254" i="1" s="1"/>
  <c r="AI254" i="1" a="1"/>
  <c r="AI254" i="1" s="1"/>
  <c r="AM254" i="1" s="1"/>
  <c r="AH254" i="1"/>
  <c r="AA254" i="1"/>
  <c r="Y254" i="1"/>
  <c r="Z254" i="1" s="1"/>
  <c r="G254" i="1"/>
  <c r="D254" i="1"/>
  <c r="C254" i="1"/>
  <c r="AL253" i="1"/>
  <c r="AK253" i="1"/>
  <c r="AJ253" i="1" a="1"/>
  <c r="AJ253" i="1" s="1"/>
  <c r="AN253" i="1" s="1"/>
  <c r="AI253" i="1" a="1"/>
  <c r="AI253" i="1" s="1"/>
  <c r="AM253" i="1" s="1"/>
  <c r="AH253" i="1"/>
  <c r="AA253" i="1"/>
  <c r="Y253" i="1"/>
  <c r="Z253" i="1" s="1"/>
  <c r="G253" i="1"/>
  <c r="D253" i="1"/>
  <c r="C253" i="1"/>
  <c r="AL252" i="1"/>
  <c r="AK252" i="1"/>
  <c r="AJ252" i="1" a="1"/>
  <c r="AJ252" i="1" s="1"/>
  <c r="AN252" i="1" s="1"/>
  <c r="AI252" i="1" a="1"/>
  <c r="AI252" i="1" s="1"/>
  <c r="AM252" i="1" s="1"/>
  <c r="AH252" i="1"/>
  <c r="AA252" i="1"/>
  <c r="Y252" i="1"/>
  <c r="Z252" i="1" s="1"/>
  <c r="G252" i="1"/>
  <c r="D252" i="1"/>
  <c r="C252" i="1"/>
  <c r="AL251" i="1"/>
  <c r="AK251" i="1"/>
  <c r="AJ251" i="1" a="1"/>
  <c r="AJ251" i="1" s="1"/>
  <c r="AN251" i="1" s="1"/>
  <c r="AI251" i="1" a="1"/>
  <c r="AI251" i="1" s="1"/>
  <c r="AM251" i="1" s="1"/>
  <c r="AH251" i="1"/>
  <c r="AA251" i="1"/>
  <c r="Y251" i="1"/>
  <c r="Z251" i="1" s="1"/>
  <c r="G251" i="1"/>
  <c r="D251" i="1"/>
  <c r="C251" i="1"/>
  <c r="AL250" i="1"/>
  <c r="AK250" i="1"/>
  <c r="AJ250" i="1" a="1"/>
  <c r="AJ250" i="1" s="1"/>
  <c r="AN250" i="1" s="1"/>
  <c r="AI250" i="1" a="1"/>
  <c r="AI250" i="1" s="1"/>
  <c r="AM250" i="1" s="1"/>
  <c r="AH250" i="1"/>
  <c r="AA250" i="1"/>
  <c r="Y250" i="1"/>
  <c r="Z250" i="1" s="1"/>
  <c r="G250" i="1"/>
  <c r="D250" i="1"/>
  <c r="C250" i="1"/>
  <c r="AL249" i="1"/>
  <c r="AK249" i="1"/>
  <c r="AJ249" i="1" a="1"/>
  <c r="AJ249" i="1" s="1"/>
  <c r="AN249" i="1" s="1"/>
  <c r="AI249" i="1" a="1"/>
  <c r="AI249" i="1" s="1"/>
  <c r="AM249" i="1" s="1"/>
  <c r="AH249" i="1"/>
  <c r="AA249" i="1"/>
  <c r="Y249" i="1"/>
  <c r="Z249" i="1" s="1"/>
  <c r="G249" i="1"/>
  <c r="D249" i="1"/>
  <c r="C249" i="1"/>
  <c r="AL248" i="1"/>
  <c r="AK248" i="1"/>
  <c r="AJ248" i="1" a="1"/>
  <c r="AJ248" i="1" s="1"/>
  <c r="AN248" i="1" s="1"/>
  <c r="AI248" i="1" a="1"/>
  <c r="AI248" i="1" s="1"/>
  <c r="AM248" i="1" s="1"/>
  <c r="AH248" i="1"/>
  <c r="AA248" i="1"/>
  <c r="Y248" i="1"/>
  <c r="Z248" i="1" s="1"/>
  <c r="G248" i="1"/>
  <c r="D248" i="1"/>
  <c r="C248" i="1"/>
  <c r="AL247" i="1"/>
  <c r="AK247" i="1"/>
  <c r="AJ247" i="1" a="1"/>
  <c r="AJ247" i="1" s="1"/>
  <c r="AN247" i="1" s="1"/>
  <c r="AI247" i="1" a="1"/>
  <c r="AI247" i="1" s="1"/>
  <c r="AM247" i="1" s="1"/>
  <c r="AH247" i="1"/>
  <c r="AA247" i="1"/>
  <c r="Y247" i="1"/>
  <c r="Z247" i="1" s="1"/>
  <c r="G247" i="1"/>
  <c r="D247" i="1"/>
  <c r="C247" i="1"/>
  <c r="AL246" i="1"/>
  <c r="AK246" i="1"/>
  <c r="AJ246" i="1" a="1"/>
  <c r="AJ246" i="1" s="1"/>
  <c r="AN246" i="1" s="1"/>
  <c r="AI246" i="1" a="1"/>
  <c r="AI246" i="1" s="1"/>
  <c r="AM246" i="1" s="1"/>
  <c r="AH246" i="1"/>
  <c r="AA246" i="1"/>
  <c r="Y246" i="1"/>
  <c r="Z246" i="1" s="1"/>
  <c r="G246" i="1"/>
  <c r="D246" i="1"/>
  <c r="C246" i="1"/>
  <c r="AL245" i="1"/>
  <c r="AK245" i="1"/>
  <c r="AJ245" i="1" a="1"/>
  <c r="AJ245" i="1" s="1"/>
  <c r="AN245" i="1" s="1"/>
  <c r="AI245" i="1" a="1"/>
  <c r="AI245" i="1" s="1"/>
  <c r="AM245" i="1" s="1"/>
  <c r="AH245" i="1"/>
  <c r="AA245" i="1"/>
  <c r="Y245" i="1"/>
  <c r="Z245" i="1" s="1"/>
  <c r="G245" i="1"/>
  <c r="D245" i="1"/>
  <c r="C245" i="1"/>
  <c r="AL244" i="1"/>
  <c r="AK244" i="1"/>
  <c r="AJ244" i="1" a="1"/>
  <c r="AJ244" i="1" s="1"/>
  <c r="AN244" i="1" s="1"/>
  <c r="AI244" i="1" a="1"/>
  <c r="AI244" i="1" s="1"/>
  <c r="AM244" i="1" s="1"/>
  <c r="AH244" i="1"/>
  <c r="AA244" i="1"/>
  <c r="Y244" i="1"/>
  <c r="Z244" i="1" s="1"/>
  <c r="G244" i="1"/>
  <c r="D244" i="1"/>
  <c r="C244" i="1"/>
  <c r="AL243" i="1"/>
  <c r="AK243" i="1"/>
  <c r="AJ243" i="1" a="1"/>
  <c r="AJ243" i="1" s="1"/>
  <c r="AN243" i="1" s="1"/>
  <c r="AI243" i="1" a="1"/>
  <c r="AI243" i="1" s="1"/>
  <c r="AM243" i="1" s="1"/>
  <c r="AH243" i="1"/>
  <c r="AA243" i="1"/>
  <c r="Y243" i="1"/>
  <c r="Z243" i="1" s="1"/>
  <c r="G243" i="1"/>
  <c r="D243" i="1"/>
  <c r="C243" i="1"/>
  <c r="AL242" i="1"/>
  <c r="AK242" i="1"/>
  <c r="AJ242" i="1" a="1"/>
  <c r="AJ242" i="1" s="1"/>
  <c r="AN242" i="1" s="1"/>
  <c r="AI242" i="1" a="1"/>
  <c r="AI242" i="1" s="1"/>
  <c r="AM242" i="1" s="1"/>
  <c r="AH242" i="1"/>
  <c r="AA242" i="1"/>
  <c r="Y242" i="1"/>
  <c r="Z242" i="1" s="1"/>
  <c r="G242" i="1"/>
  <c r="D242" i="1"/>
  <c r="C242" i="1"/>
  <c r="AL241" i="1"/>
  <c r="AK241" i="1"/>
  <c r="AJ241" i="1" a="1"/>
  <c r="AJ241" i="1" s="1"/>
  <c r="AN241" i="1" s="1"/>
  <c r="AI241" i="1" a="1"/>
  <c r="AI241" i="1" s="1"/>
  <c r="AM241" i="1" s="1"/>
  <c r="AH241" i="1"/>
  <c r="AA241" i="1"/>
  <c r="Y241" i="1"/>
  <c r="Z241" i="1" s="1"/>
  <c r="G241" i="1"/>
  <c r="D241" i="1"/>
  <c r="C241" i="1"/>
  <c r="AL240" i="1"/>
  <c r="AK240" i="1"/>
  <c r="AJ240" i="1" a="1"/>
  <c r="AJ240" i="1" s="1"/>
  <c r="AN240" i="1" s="1"/>
  <c r="AI240" i="1" a="1"/>
  <c r="AI240" i="1" s="1"/>
  <c r="AM240" i="1" s="1"/>
  <c r="AH240" i="1"/>
  <c r="AA240" i="1"/>
  <c r="Y240" i="1"/>
  <c r="Z240" i="1" s="1"/>
  <c r="G240" i="1"/>
  <c r="D240" i="1"/>
  <c r="C240" i="1"/>
  <c r="AL239" i="1"/>
  <c r="AK239" i="1"/>
  <c r="AJ239" i="1" a="1"/>
  <c r="AJ239" i="1" s="1"/>
  <c r="AN239" i="1" s="1"/>
  <c r="AI239" i="1" a="1"/>
  <c r="AI239" i="1" s="1"/>
  <c r="AM239" i="1" s="1"/>
  <c r="AH239" i="1"/>
  <c r="AA239" i="1"/>
  <c r="Y239" i="1"/>
  <c r="Z239" i="1" s="1"/>
  <c r="G239" i="1"/>
  <c r="D239" i="1"/>
  <c r="C239" i="1"/>
  <c r="AL238" i="1"/>
  <c r="AK238" i="1"/>
  <c r="AJ238" i="1" a="1"/>
  <c r="AJ238" i="1" s="1"/>
  <c r="AN238" i="1" s="1"/>
  <c r="AI238" i="1" a="1"/>
  <c r="AI238" i="1" s="1"/>
  <c r="AM238" i="1" s="1"/>
  <c r="AH238" i="1"/>
  <c r="AA238" i="1"/>
  <c r="Y238" i="1"/>
  <c r="Z238" i="1" s="1"/>
  <c r="G238" i="1"/>
  <c r="D238" i="1"/>
  <c r="C238" i="1"/>
  <c r="AL237" i="1"/>
  <c r="AK237" i="1"/>
  <c r="AJ237" i="1" a="1"/>
  <c r="AJ237" i="1" s="1"/>
  <c r="AN237" i="1" s="1"/>
  <c r="AI237" i="1" a="1"/>
  <c r="AI237" i="1" s="1"/>
  <c r="AM237" i="1" s="1"/>
  <c r="AH237" i="1"/>
  <c r="AA237" i="1"/>
  <c r="Y237" i="1"/>
  <c r="Z237" i="1" s="1"/>
  <c r="G237" i="1"/>
  <c r="D237" i="1"/>
  <c r="C237" i="1"/>
  <c r="AL236" i="1"/>
  <c r="AK236" i="1"/>
  <c r="AJ236" i="1" a="1"/>
  <c r="AJ236" i="1" s="1"/>
  <c r="AN236" i="1" s="1"/>
  <c r="AI236" i="1" a="1"/>
  <c r="AI236" i="1" s="1"/>
  <c r="AM236" i="1" s="1"/>
  <c r="AH236" i="1"/>
  <c r="AA236" i="1"/>
  <c r="Y236" i="1"/>
  <c r="Z236" i="1" s="1"/>
  <c r="G236" i="1"/>
  <c r="D236" i="1"/>
  <c r="C236" i="1"/>
  <c r="AL235" i="1"/>
  <c r="AK235" i="1"/>
  <c r="AJ235" i="1" a="1"/>
  <c r="AJ235" i="1" s="1"/>
  <c r="AN235" i="1" s="1"/>
  <c r="AI235" i="1" a="1"/>
  <c r="AI235" i="1" s="1"/>
  <c r="AM235" i="1" s="1"/>
  <c r="AH235" i="1"/>
  <c r="AA235" i="1"/>
  <c r="Y235" i="1"/>
  <c r="Z235" i="1" s="1"/>
  <c r="G235" i="1"/>
  <c r="D235" i="1"/>
  <c r="C235" i="1"/>
  <c r="AL234" i="1"/>
  <c r="AK234" i="1"/>
  <c r="AJ234" i="1" a="1"/>
  <c r="AJ234" i="1" s="1"/>
  <c r="AN234" i="1" s="1"/>
  <c r="AI234" i="1" a="1"/>
  <c r="AI234" i="1" s="1"/>
  <c r="AM234" i="1" s="1"/>
  <c r="AH234" i="1"/>
  <c r="AA234" i="1"/>
  <c r="Y234" i="1"/>
  <c r="Z234" i="1" s="1"/>
  <c r="G234" i="1"/>
  <c r="D234" i="1"/>
  <c r="C234" i="1"/>
  <c r="AL233" i="1"/>
  <c r="AK233" i="1"/>
  <c r="AJ233" i="1" a="1"/>
  <c r="AJ233" i="1" s="1"/>
  <c r="AN233" i="1" s="1"/>
  <c r="AI233" i="1" a="1"/>
  <c r="AI233" i="1" s="1"/>
  <c r="AM233" i="1" s="1"/>
  <c r="AH233" i="1"/>
  <c r="AA233" i="1"/>
  <c r="Y233" i="1"/>
  <c r="Z233" i="1" s="1"/>
  <c r="G233" i="1"/>
  <c r="D233" i="1"/>
  <c r="C233" i="1"/>
  <c r="AL232" i="1"/>
  <c r="AK232" i="1"/>
  <c r="AJ232" i="1" a="1"/>
  <c r="AJ232" i="1" s="1"/>
  <c r="AN232" i="1" s="1"/>
  <c r="AI232" i="1" a="1"/>
  <c r="AI232" i="1" s="1"/>
  <c r="AM232" i="1" s="1"/>
  <c r="AH232" i="1"/>
  <c r="AA232" i="1"/>
  <c r="Y232" i="1"/>
  <c r="Z232" i="1" s="1"/>
  <c r="G232" i="1"/>
  <c r="D232" i="1"/>
  <c r="C232" i="1"/>
  <c r="AL231" i="1"/>
  <c r="AK231" i="1"/>
  <c r="AJ231" i="1" a="1"/>
  <c r="AJ231" i="1" s="1"/>
  <c r="AN231" i="1" s="1"/>
  <c r="AI231" i="1" a="1"/>
  <c r="AI231" i="1" s="1"/>
  <c r="AM231" i="1" s="1"/>
  <c r="AH231" i="1"/>
  <c r="AA231" i="1"/>
  <c r="Y231" i="1"/>
  <c r="Z231" i="1" s="1"/>
  <c r="G231" i="1"/>
  <c r="D231" i="1"/>
  <c r="C231" i="1"/>
  <c r="AL230" i="1"/>
  <c r="AK230" i="1"/>
  <c r="AJ230" i="1" a="1"/>
  <c r="AJ230" i="1" s="1"/>
  <c r="AN230" i="1" s="1"/>
  <c r="AI230" i="1" a="1"/>
  <c r="AI230" i="1" s="1"/>
  <c r="AM230" i="1" s="1"/>
  <c r="AH230" i="1"/>
  <c r="AA230" i="1"/>
  <c r="Y230" i="1"/>
  <c r="Z230" i="1" s="1"/>
  <c r="G230" i="1"/>
  <c r="D230" i="1"/>
  <c r="C230" i="1"/>
  <c r="AL229" i="1"/>
  <c r="AK229" i="1"/>
  <c r="AJ229" i="1" a="1"/>
  <c r="AJ229" i="1" s="1"/>
  <c r="AN229" i="1" s="1"/>
  <c r="AI229" i="1" a="1"/>
  <c r="AI229" i="1" s="1"/>
  <c r="AM229" i="1" s="1"/>
  <c r="AH229" i="1"/>
  <c r="AA229" i="1"/>
  <c r="Y229" i="1"/>
  <c r="Z229" i="1" s="1"/>
  <c r="G229" i="1"/>
  <c r="D229" i="1"/>
  <c r="C229" i="1"/>
  <c r="AL228" i="1"/>
  <c r="AK228" i="1"/>
  <c r="AJ228" i="1" a="1"/>
  <c r="AJ228" i="1" s="1"/>
  <c r="AN228" i="1" s="1"/>
  <c r="AI228" i="1" a="1"/>
  <c r="AI228" i="1" s="1"/>
  <c r="AM228" i="1" s="1"/>
  <c r="AH228" i="1"/>
  <c r="AA228" i="1"/>
  <c r="Y228" i="1"/>
  <c r="Z228" i="1" s="1"/>
  <c r="G228" i="1"/>
  <c r="D228" i="1"/>
  <c r="C228" i="1"/>
  <c r="AL227" i="1"/>
  <c r="AK227" i="1"/>
  <c r="AJ227" i="1" a="1"/>
  <c r="AJ227" i="1" s="1"/>
  <c r="AN227" i="1" s="1"/>
  <c r="AI227" i="1" a="1"/>
  <c r="AI227" i="1" s="1"/>
  <c r="AM227" i="1" s="1"/>
  <c r="AH227" i="1"/>
  <c r="AA227" i="1"/>
  <c r="Y227" i="1"/>
  <c r="Z227" i="1" s="1"/>
  <c r="G227" i="1"/>
  <c r="D227" i="1"/>
  <c r="C227" i="1"/>
  <c r="AL226" i="1"/>
  <c r="AK226" i="1"/>
  <c r="AJ226" i="1" a="1"/>
  <c r="AJ226" i="1" s="1"/>
  <c r="AN226" i="1" s="1"/>
  <c r="AI226" i="1" a="1"/>
  <c r="AI226" i="1" s="1"/>
  <c r="AM226" i="1" s="1"/>
  <c r="AH226" i="1"/>
  <c r="AA226" i="1"/>
  <c r="Y226" i="1"/>
  <c r="Z226" i="1" s="1"/>
  <c r="G226" i="1"/>
  <c r="D226" i="1"/>
  <c r="C226" i="1"/>
  <c r="AL225" i="1"/>
  <c r="AK225" i="1"/>
  <c r="AJ225" i="1" a="1"/>
  <c r="AJ225" i="1" s="1"/>
  <c r="AN225" i="1" s="1"/>
  <c r="AI225" i="1" a="1"/>
  <c r="AI225" i="1" s="1"/>
  <c r="AM225" i="1" s="1"/>
  <c r="AH225" i="1"/>
  <c r="AA225" i="1"/>
  <c r="Y225" i="1"/>
  <c r="Z225" i="1" s="1"/>
  <c r="G225" i="1"/>
  <c r="D225" i="1"/>
  <c r="C225" i="1"/>
  <c r="AL224" i="1"/>
  <c r="AK224" i="1"/>
  <c r="AJ224" i="1" a="1"/>
  <c r="AJ224" i="1" s="1"/>
  <c r="AN224" i="1" s="1"/>
  <c r="AI224" i="1" a="1"/>
  <c r="AI224" i="1" s="1"/>
  <c r="AM224" i="1" s="1"/>
  <c r="AH224" i="1"/>
  <c r="AA224" i="1"/>
  <c r="Y224" i="1"/>
  <c r="Z224" i="1" s="1"/>
  <c r="G224" i="1"/>
  <c r="D224" i="1"/>
  <c r="C224" i="1"/>
  <c r="AL223" i="1"/>
  <c r="AK223" i="1"/>
  <c r="AJ223" i="1" a="1"/>
  <c r="AJ223" i="1" s="1"/>
  <c r="AN223" i="1" s="1"/>
  <c r="AI223" i="1" a="1"/>
  <c r="AI223" i="1" s="1"/>
  <c r="AM223" i="1" s="1"/>
  <c r="AH223" i="1"/>
  <c r="AA223" i="1"/>
  <c r="Y223" i="1"/>
  <c r="Z223" i="1" s="1"/>
  <c r="G223" i="1"/>
  <c r="D223" i="1"/>
  <c r="C223" i="1"/>
  <c r="AL222" i="1"/>
  <c r="AK222" i="1"/>
  <c r="AJ222" i="1" a="1"/>
  <c r="AJ222" i="1" s="1"/>
  <c r="AN222" i="1" s="1"/>
  <c r="AI222" i="1" a="1"/>
  <c r="AI222" i="1" s="1"/>
  <c r="AM222" i="1" s="1"/>
  <c r="AH222" i="1"/>
  <c r="AA222" i="1"/>
  <c r="Y222" i="1"/>
  <c r="Z222" i="1" s="1"/>
  <c r="G222" i="1"/>
  <c r="D222" i="1"/>
  <c r="C222" i="1"/>
  <c r="AL221" i="1"/>
  <c r="AK221" i="1"/>
  <c r="AJ221" i="1" a="1"/>
  <c r="AJ221" i="1" s="1"/>
  <c r="AN221" i="1" s="1"/>
  <c r="AI221" i="1" a="1"/>
  <c r="AI221" i="1" s="1"/>
  <c r="AM221" i="1" s="1"/>
  <c r="AH221" i="1"/>
  <c r="AA221" i="1"/>
  <c r="Y221" i="1"/>
  <c r="Z221" i="1" s="1"/>
  <c r="G221" i="1"/>
  <c r="D221" i="1"/>
  <c r="C221" i="1"/>
  <c r="AL220" i="1"/>
  <c r="AK220" i="1"/>
  <c r="AJ220" i="1" a="1"/>
  <c r="AJ220" i="1" s="1"/>
  <c r="AN220" i="1" s="1"/>
  <c r="AI220" i="1" a="1"/>
  <c r="AI220" i="1" s="1"/>
  <c r="AM220" i="1" s="1"/>
  <c r="AH220" i="1"/>
  <c r="AA220" i="1"/>
  <c r="Y220" i="1"/>
  <c r="Z220" i="1" s="1"/>
  <c r="G220" i="1"/>
  <c r="D220" i="1"/>
  <c r="C220" i="1"/>
  <c r="AL219" i="1"/>
  <c r="AK219" i="1"/>
  <c r="AJ219" i="1" a="1"/>
  <c r="AJ219" i="1" s="1"/>
  <c r="AN219" i="1" s="1"/>
  <c r="AI219" i="1" a="1"/>
  <c r="AI219" i="1" s="1"/>
  <c r="AM219" i="1" s="1"/>
  <c r="AH219" i="1"/>
  <c r="AA219" i="1"/>
  <c r="Y219" i="1"/>
  <c r="Z219" i="1" s="1"/>
  <c r="G219" i="1"/>
  <c r="D219" i="1"/>
  <c r="C219" i="1"/>
  <c r="AL218" i="1"/>
  <c r="AK218" i="1"/>
  <c r="AJ218" i="1" a="1"/>
  <c r="AJ218" i="1" s="1"/>
  <c r="AN218" i="1" s="1"/>
  <c r="AI218" i="1" a="1"/>
  <c r="AI218" i="1" s="1"/>
  <c r="AM218" i="1" s="1"/>
  <c r="AH218" i="1"/>
  <c r="AA218" i="1"/>
  <c r="Y218" i="1"/>
  <c r="Z218" i="1" s="1"/>
  <c r="G218" i="1"/>
  <c r="D218" i="1"/>
  <c r="C218" i="1"/>
  <c r="AL217" i="1"/>
  <c r="AK217" i="1"/>
  <c r="AJ217" i="1" a="1"/>
  <c r="AJ217" i="1" s="1"/>
  <c r="AN217" i="1" s="1"/>
  <c r="AI217" i="1" a="1"/>
  <c r="AI217" i="1" s="1"/>
  <c r="AM217" i="1" s="1"/>
  <c r="AH217" i="1"/>
  <c r="AA217" i="1"/>
  <c r="Y217" i="1"/>
  <c r="Z217" i="1" s="1"/>
  <c r="G217" i="1"/>
  <c r="D217" i="1"/>
  <c r="C217" i="1"/>
  <c r="AL216" i="1"/>
  <c r="AK216" i="1"/>
  <c r="AJ216" i="1" a="1"/>
  <c r="AJ216" i="1" s="1"/>
  <c r="AN216" i="1" s="1"/>
  <c r="AI216" i="1" a="1"/>
  <c r="AI216" i="1" s="1"/>
  <c r="AM216" i="1" s="1"/>
  <c r="AH216" i="1"/>
  <c r="AA216" i="1"/>
  <c r="Y216" i="1"/>
  <c r="Z216" i="1" s="1"/>
  <c r="G216" i="1"/>
  <c r="D216" i="1"/>
  <c r="C216" i="1"/>
  <c r="AL215" i="1"/>
  <c r="AK215" i="1"/>
  <c r="AJ215" i="1" a="1"/>
  <c r="AJ215" i="1" s="1"/>
  <c r="AN215" i="1" s="1"/>
  <c r="AI215" i="1" a="1"/>
  <c r="AI215" i="1" s="1"/>
  <c r="AM215" i="1" s="1"/>
  <c r="AH215" i="1"/>
  <c r="AA215" i="1"/>
  <c r="Y215" i="1"/>
  <c r="Z215" i="1" s="1"/>
  <c r="G215" i="1"/>
  <c r="D215" i="1"/>
  <c r="C215" i="1"/>
  <c r="AL214" i="1"/>
  <c r="AK214" i="1"/>
  <c r="AJ214" i="1" a="1"/>
  <c r="AJ214" i="1" s="1"/>
  <c r="AN214" i="1" s="1"/>
  <c r="AI214" i="1" a="1"/>
  <c r="AI214" i="1" s="1"/>
  <c r="AM214" i="1" s="1"/>
  <c r="AH214" i="1"/>
  <c r="AA214" i="1"/>
  <c r="Y214" i="1"/>
  <c r="Z214" i="1" s="1"/>
  <c r="G214" i="1"/>
  <c r="D214" i="1"/>
  <c r="C214" i="1"/>
  <c r="AL213" i="1"/>
  <c r="AK213" i="1"/>
  <c r="AJ213" i="1" a="1"/>
  <c r="AJ213" i="1" s="1"/>
  <c r="AN213" i="1" s="1"/>
  <c r="AI213" i="1" a="1"/>
  <c r="AI213" i="1" s="1"/>
  <c r="AM213" i="1" s="1"/>
  <c r="AH213" i="1"/>
  <c r="AA213" i="1"/>
  <c r="Y213" i="1"/>
  <c r="Z213" i="1" s="1"/>
  <c r="G213" i="1"/>
  <c r="D213" i="1"/>
  <c r="C213" i="1"/>
  <c r="AL212" i="1"/>
  <c r="AK212" i="1"/>
  <c r="AJ212" i="1" a="1"/>
  <c r="AJ212" i="1" s="1"/>
  <c r="AN212" i="1" s="1"/>
  <c r="AI212" i="1" a="1"/>
  <c r="AI212" i="1" s="1"/>
  <c r="AM212" i="1" s="1"/>
  <c r="AH212" i="1"/>
  <c r="AA212" i="1"/>
  <c r="Y212" i="1"/>
  <c r="Z212" i="1" s="1"/>
  <c r="G212" i="1"/>
  <c r="D212" i="1"/>
  <c r="C212" i="1"/>
  <c r="AL211" i="1"/>
  <c r="AK211" i="1"/>
  <c r="AJ211" i="1" a="1"/>
  <c r="AJ211" i="1" s="1"/>
  <c r="AN211" i="1" s="1"/>
  <c r="AI211" i="1" a="1"/>
  <c r="AI211" i="1" s="1"/>
  <c r="AM211" i="1" s="1"/>
  <c r="AH211" i="1"/>
  <c r="AA211" i="1"/>
  <c r="Y211" i="1"/>
  <c r="Z211" i="1" s="1"/>
  <c r="G211" i="1"/>
  <c r="D211" i="1"/>
  <c r="C211" i="1"/>
  <c r="AL210" i="1"/>
  <c r="AK210" i="1"/>
  <c r="AJ210" i="1" a="1"/>
  <c r="AJ210" i="1" s="1"/>
  <c r="AN210" i="1" s="1"/>
  <c r="AI210" i="1" a="1"/>
  <c r="AI210" i="1" s="1"/>
  <c r="AM210" i="1" s="1"/>
  <c r="AH210" i="1"/>
  <c r="AA210" i="1"/>
  <c r="Y210" i="1"/>
  <c r="Z210" i="1" s="1"/>
  <c r="G210" i="1"/>
  <c r="D210" i="1"/>
  <c r="C210" i="1"/>
  <c r="AL209" i="1"/>
  <c r="AK209" i="1"/>
  <c r="AJ209" i="1" a="1"/>
  <c r="AJ209" i="1" s="1"/>
  <c r="AN209" i="1" s="1"/>
  <c r="AI209" i="1" a="1"/>
  <c r="AI209" i="1" s="1"/>
  <c r="AM209" i="1" s="1"/>
  <c r="AH209" i="1"/>
  <c r="AA209" i="1"/>
  <c r="Y209" i="1"/>
  <c r="Z209" i="1" s="1"/>
  <c r="G209" i="1"/>
  <c r="D209" i="1"/>
  <c r="C209" i="1"/>
  <c r="AL208" i="1"/>
  <c r="AK208" i="1"/>
  <c r="AJ208" i="1" a="1"/>
  <c r="AJ208" i="1" s="1"/>
  <c r="AN208" i="1" s="1"/>
  <c r="AI208" i="1" a="1"/>
  <c r="AI208" i="1" s="1"/>
  <c r="AM208" i="1" s="1"/>
  <c r="AH208" i="1"/>
  <c r="AA208" i="1"/>
  <c r="Y208" i="1"/>
  <c r="Z208" i="1" s="1"/>
  <c r="G208" i="1"/>
  <c r="D208" i="1"/>
  <c r="C208" i="1"/>
  <c r="AL207" i="1"/>
  <c r="AK207" i="1"/>
  <c r="AJ207" i="1" a="1"/>
  <c r="AJ207" i="1" s="1"/>
  <c r="AN207" i="1" s="1"/>
  <c r="AI207" i="1" a="1"/>
  <c r="AI207" i="1" s="1"/>
  <c r="AM207" i="1" s="1"/>
  <c r="AH207" i="1"/>
  <c r="AA207" i="1"/>
  <c r="Y207" i="1"/>
  <c r="Z207" i="1" s="1"/>
  <c r="G207" i="1"/>
  <c r="D207" i="1"/>
  <c r="C207" i="1"/>
  <c r="AL206" i="1"/>
  <c r="AK206" i="1"/>
  <c r="AJ206" i="1" a="1"/>
  <c r="AJ206" i="1" s="1"/>
  <c r="AN206" i="1" s="1"/>
  <c r="AI206" i="1" a="1"/>
  <c r="AI206" i="1" s="1"/>
  <c r="AM206" i="1" s="1"/>
  <c r="AH206" i="1"/>
  <c r="AA206" i="1"/>
  <c r="Y206" i="1"/>
  <c r="Z206" i="1" s="1"/>
  <c r="G206" i="1"/>
  <c r="D206" i="1"/>
  <c r="C206" i="1"/>
  <c r="AL205" i="1"/>
  <c r="AK205" i="1"/>
  <c r="AJ205" i="1" a="1"/>
  <c r="AJ205" i="1" s="1"/>
  <c r="AN205" i="1" s="1"/>
  <c r="AI205" i="1" a="1"/>
  <c r="AI205" i="1" s="1"/>
  <c r="AM205" i="1" s="1"/>
  <c r="AH205" i="1"/>
  <c r="AA205" i="1"/>
  <c r="Y205" i="1"/>
  <c r="Z205" i="1" s="1"/>
  <c r="G205" i="1"/>
  <c r="D205" i="1"/>
  <c r="C205" i="1"/>
  <c r="AL204" i="1"/>
  <c r="AK204" i="1"/>
  <c r="AJ204" i="1" a="1"/>
  <c r="AJ204" i="1" s="1"/>
  <c r="AN204" i="1" s="1"/>
  <c r="AI204" i="1" a="1"/>
  <c r="AI204" i="1" s="1"/>
  <c r="AM204" i="1" s="1"/>
  <c r="AH204" i="1"/>
  <c r="AA204" i="1"/>
  <c r="Y204" i="1"/>
  <c r="Z204" i="1" s="1"/>
  <c r="G204" i="1"/>
  <c r="D204" i="1"/>
  <c r="C204" i="1"/>
  <c r="AL203" i="1"/>
  <c r="AK203" i="1"/>
  <c r="AJ203" i="1" a="1"/>
  <c r="AJ203" i="1" s="1"/>
  <c r="AN203" i="1" s="1"/>
  <c r="AI203" i="1" a="1"/>
  <c r="AI203" i="1" s="1"/>
  <c r="AM203" i="1" s="1"/>
  <c r="AH203" i="1"/>
  <c r="AA203" i="1"/>
  <c r="Y203" i="1"/>
  <c r="Z203" i="1" s="1"/>
  <c r="G203" i="1"/>
  <c r="D203" i="1"/>
  <c r="C203" i="1"/>
  <c r="AL202" i="1"/>
  <c r="AK202" i="1"/>
  <c r="AJ202" i="1" a="1"/>
  <c r="AJ202" i="1" s="1"/>
  <c r="AN202" i="1" s="1"/>
  <c r="AI202" i="1" a="1"/>
  <c r="AI202" i="1" s="1"/>
  <c r="AM202" i="1" s="1"/>
  <c r="AH202" i="1"/>
  <c r="AA202" i="1"/>
  <c r="Y202" i="1"/>
  <c r="Z202" i="1" s="1"/>
  <c r="G202" i="1"/>
  <c r="D202" i="1"/>
  <c r="C202" i="1"/>
  <c r="AL201" i="1"/>
  <c r="AK201" i="1"/>
  <c r="AJ201" i="1" a="1"/>
  <c r="AJ201" i="1" s="1"/>
  <c r="AN201" i="1" s="1"/>
  <c r="AI201" i="1" a="1"/>
  <c r="AI201" i="1" s="1"/>
  <c r="AM201" i="1" s="1"/>
  <c r="AH201" i="1"/>
  <c r="AA201" i="1"/>
  <c r="Y201" i="1"/>
  <c r="Z201" i="1" s="1"/>
  <c r="G201" i="1"/>
  <c r="D201" i="1"/>
  <c r="C201" i="1"/>
  <c r="AL200" i="1"/>
  <c r="AK200" i="1"/>
  <c r="AJ200" i="1" a="1"/>
  <c r="AJ200" i="1" s="1"/>
  <c r="AN200" i="1" s="1"/>
  <c r="AI200" i="1" a="1"/>
  <c r="AI200" i="1" s="1"/>
  <c r="AM200" i="1" s="1"/>
  <c r="AH200" i="1"/>
  <c r="AA200" i="1"/>
  <c r="Y200" i="1"/>
  <c r="Z200" i="1" s="1"/>
  <c r="G200" i="1"/>
  <c r="D200" i="1"/>
  <c r="C200" i="1"/>
  <c r="AL199" i="1"/>
  <c r="AK199" i="1"/>
  <c r="AJ199" i="1" a="1"/>
  <c r="AJ199" i="1" s="1"/>
  <c r="AN199" i="1" s="1"/>
  <c r="AI199" i="1" a="1"/>
  <c r="AI199" i="1" s="1"/>
  <c r="AM199" i="1" s="1"/>
  <c r="AH199" i="1"/>
  <c r="AA199" i="1"/>
  <c r="Y199" i="1"/>
  <c r="Z199" i="1" s="1"/>
  <c r="G199" i="1"/>
  <c r="D199" i="1"/>
  <c r="C199" i="1"/>
  <c r="AL198" i="1"/>
  <c r="AK198" i="1"/>
  <c r="AJ198" i="1" a="1"/>
  <c r="AJ198" i="1" s="1"/>
  <c r="AN198" i="1" s="1"/>
  <c r="AI198" i="1" a="1"/>
  <c r="AI198" i="1" s="1"/>
  <c r="AM198" i="1" s="1"/>
  <c r="AH198" i="1"/>
  <c r="AA198" i="1"/>
  <c r="Y198" i="1"/>
  <c r="Z198" i="1" s="1"/>
  <c r="G198" i="1"/>
  <c r="D198" i="1"/>
  <c r="C198" i="1"/>
  <c r="AL197" i="1"/>
  <c r="AK197" i="1"/>
  <c r="AJ197" i="1" a="1"/>
  <c r="AJ197" i="1" s="1"/>
  <c r="AN197" i="1" s="1"/>
  <c r="AI197" i="1" a="1"/>
  <c r="AI197" i="1" s="1"/>
  <c r="AM197" i="1" s="1"/>
  <c r="AH197" i="1"/>
  <c r="AA197" i="1"/>
  <c r="Y197" i="1"/>
  <c r="Z197" i="1" s="1"/>
  <c r="G197" i="1"/>
  <c r="D197" i="1"/>
  <c r="C197" i="1"/>
  <c r="AL196" i="1"/>
  <c r="AK196" i="1"/>
  <c r="AJ196" i="1" a="1"/>
  <c r="AJ196" i="1" s="1"/>
  <c r="AN196" i="1" s="1"/>
  <c r="AI196" i="1" a="1"/>
  <c r="AI196" i="1" s="1"/>
  <c r="AM196" i="1" s="1"/>
  <c r="AH196" i="1"/>
  <c r="AA196" i="1"/>
  <c r="Y196" i="1"/>
  <c r="Z196" i="1" s="1"/>
  <c r="G196" i="1"/>
  <c r="D196" i="1"/>
  <c r="C196" i="1"/>
  <c r="AL195" i="1"/>
  <c r="AK195" i="1"/>
  <c r="AJ195" i="1" a="1"/>
  <c r="AJ195" i="1" s="1"/>
  <c r="AN195" i="1" s="1"/>
  <c r="AI195" i="1" a="1"/>
  <c r="AI195" i="1" s="1"/>
  <c r="AM195" i="1" s="1"/>
  <c r="AH195" i="1"/>
  <c r="AA195" i="1"/>
  <c r="Y195" i="1"/>
  <c r="Z195" i="1" s="1"/>
  <c r="G195" i="1"/>
  <c r="D195" i="1"/>
  <c r="C195" i="1"/>
  <c r="AL194" i="1"/>
  <c r="AK194" i="1"/>
  <c r="AJ194" i="1" a="1"/>
  <c r="AJ194" i="1" s="1"/>
  <c r="AN194" i="1" s="1"/>
  <c r="AI194" i="1" a="1"/>
  <c r="AI194" i="1" s="1"/>
  <c r="AM194" i="1" s="1"/>
  <c r="AH194" i="1"/>
  <c r="AA194" i="1"/>
  <c r="Y194" i="1"/>
  <c r="Z194" i="1" s="1"/>
  <c r="G194" i="1"/>
  <c r="D194" i="1"/>
  <c r="C194" i="1"/>
  <c r="AL193" i="1"/>
  <c r="AK193" i="1"/>
  <c r="AJ193" i="1" a="1"/>
  <c r="AJ193" i="1" s="1"/>
  <c r="AN193" i="1" s="1"/>
  <c r="AI193" i="1" a="1"/>
  <c r="AI193" i="1" s="1"/>
  <c r="AM193" i="1" s="1"/>
  <c r="AH193" i="1"/>
  <c r="AA193" i="1"/>
  <c r="Y193" i="1"/>
  <c r="Z193" i="1" s="1"/>
  <c r="G193" i="1"/>
  <c r="D193" i="1"/>
  <c r="C193" i="1"/>
  <c r="AL192" i="1"/>
  <c r="AK192" i="1"/>
  <c r="AJ192" i="1" a="1"/>
  <c r="AJ192" i="1" s="1"/>
  <c r="AN192" i="1" s="1"/>
  <c r="AI192" i="1" a="1"/>
  <c r="AI192" i="1" s="1"/>
  <c r="AM192" i="1" s="1"/>
  <c r="AH192" i="1"/>
  <c r="AA192" i="1"/>
  <c r="Y192" i="1"/>
  <c r="Z192" i="1" s="1"/>
  <c r="G192" i="1"/>
  <c r="D192" i="1"/>
  <c r="C192" i="1"/>
  <c r="AL191" i="1"/>
  <c r="AK191" i="1"/>
  <c r="AJ191" i="1" a="1"/>
  <c r="AJ191" i="1" s="1"/>
  <c r="AN191" i="1" s="1"/>
  <c r="AI191" i="1" a="1"/>
  <c r="AI191" i="1" s="1"/>
  <c r="AM191" i="1" s="1"/>
  <c r="AH191" i="1"/>
  <c r="AA191" i="1"/>
  <c r="Y191" i="1"/>
  <c r="Z191" i="1" s="1"/>
  <c r="G191" i="1"/>
  <c r="D191" i="1"/>
  <c r="C191" i="1"/>
  <c r="AL190" i="1"/>
  <c r="AK190" i="1"/>
  <c r="AJ190" i="1" a="1"/>
  <c r="AJ190" i="1" s="1"/>
  <c r="AN190" i="1" s="1"/>
  <c r="AI190" i="1" a="1"/>
  <c r="AI190" i="1" s="1"/>
  <c r="AM190" i="1" s="1"/>
  <c r="AH190" i="1"/>
  <c r="AA190" i="1"/>
  <c r="Y190" i="1"/>
  <c r="Z190" i="1" s="1"/>
  <c r="G190" i="1"/>
  <c r="D190" i="1"/>
  <c r="C190" i="1"/>
  <c r="AL189" i="1"/>
  <c r="AK189" i="1"/>
  <c r="AJ189" i="1" a="1"/>
  <c r="AJ189" i="1" s="1"/>
  <c r="AN189" i="1" s="1"/>
  <c r="AI189" i="1" a="1"/>
  <c r="AI189" i="1" s="1"/>
  <c r="AM189" i="1" s="1"/>
  <c r="AH189" i="1"/>
  <c r="AA189" i="1"/>
  <c r="Y189" i="1"/>
  <c r="Z189" i="1" s="1"/>
  <c r="G189" i="1"/>
  <c r="D189" i="1"/>
  <c r="C189" i="1"/>
  <c r="AL188" i="1"/>
  <c r="AK188" i="1"/>
  <c r="AJ188" i="1" a="1"/>
  <c r="AJ188" i="1" s="1"/>
  <c r="AN188" i="1" s="1"/>
  <c r="AI188" i="1" a="1"/>
  <c r="AI188" i="1" s="1"/>
  <c r="AM188" i="1" s="1"/>
  <c r="AH188" i="1"/>
  <c r="AA188" i="1"/>
  <c r="Y188" i="1"/>
  <c r="Z188" i="1" s="1"/>
  <c r="G188" i="1"/>
  <c r="D188" i="1"/>
  <c r="C188" i="1"/>
  <c r="AL187" i="1"/>
  <c r="AK187" i="1"/>
  <c r="AJ187" i="1" a="1"/>
  <c r="AJ187" i="1" s="1"/>
  <c r="AN187" i="1" s="1"/>
  <c r="AI187" i="1" a="1"/>
  <c r="AI187" i="1" s="1"/>
  <c r="AM187" i="1" s="1"/>
  <c r="AH187" i="1"/>
  <c r="AA187" i="1"/>
  <c r="Y187" i="1"/>
  <c r="Z187" i="1" s="1"/>
  <c r="G187" i="1"/>
  <c r="D187" i="1"/>
  <c r="C187" i="1"/>
  <c r="AL186" i="1"/>
  <c r="AK186" i="1"/>
  <c r="AJ186" i="1" a="1"/>
  <c r="AJ186" i="1" s="1"/>
  <c r="AN186" i="1" s="1"/>
  <c r="AI186" i="1" a="1"/>
  <c r="AI186" i="1" s="1"/>
  <c r="AM186" i="1" s="1"/>
  <c r="AH186" i="1"/>
  <c r="AA186" i="1"/>
  <c r="Y186" i="1"/>
  <c r="Z186" i="1" s="1"/>
  <c r="G186" i="1"/>
  <c r="D186" i="1"/>
  <c r="C186" i="1"/>
  <c r="AL185" i="1"/>
  <c r="AK185" i="1"/>
  <c r="AJ185" i="1" a="1"/>
  <c r="AJ185" i="1" s="1"/>
  <c r="AN185" i="1" s="1"/>
  <c r="AI185" i="1" a="1"/>
  <c r="AI185" i="1" s="1"/>
  <c r="AM185" i="1" s="1"/>
  <c r="AH185" i="1"/>
  <c r="AA185" i="1"/>
  <c r="Y185" i="1"/>
  <c r="Z185" i="1" s="1"/>
  <c r="G185" i="1"/>
  <c r="D185" i="1"/>
  <c r="C185" i="1"/>
  <c r="AL184" i="1"/>
  <c r="AK184" i="1"/>
  <c r="AJ184" i="1" a="1"/>
  <c r="AJ184" i="1" s="1"/>
  <c r="AN184" i="1" s="1"/>
  <c r="AI184" i="1" a="1"/>
  <c r="AI184" i="1" s="1"/>
  <c r="AM184" i="1" s="1"/>
  <c r="AH184" i="1"/>
  <c r="AA184" i="1"/>
  <c r="Y184" i="1"/>
  <c r="Z184" i="1" s="1"/>
  <c r="G184" i="1"/>
  <c r="D184" i="1"/>
  <c r="C184" i="1"/>
  <c r="AL183" i="1"/>
  <c r="AK183" i="1"/>
  <c r="AJ183" i="1" a="1"/>
  <c r="AJ183" i="1" s="1"/>
  <c r="AN183" i="1" s="1"/>
  <c r="AI183" i="1" a="1"/>
  <c r="AI183" i="1" s="1"/>
  <c r="AM183" i="1" s="1"/>
  <c r="AH183" i="1"/>
  <c r="AA183" i="1"/>
  <c r="Y183" i="1"/>
  <c r="Z183" i="1" s="1"/>
  <c r="G183" i="1"/>
  <c r="D183" i="1"/>
  <c r="C183" i="1"/>
  <c r="AL182" i="1"/>
  <c r="AK182" i="1"/>
  <c r="AJ182" i="1" a="1"/>
  <c r="AJ182" i="1" s="1"/>
  <c r="AN182" i="1" s="1"/>
  <c r="AI182" i="1" a="1"/>
  <c r="AI182" i="1" s="1"/>
  <c r="AM182" i="1" s="1"/>
  <c r="AH182" i="1"/>
  <c r="AA182" i="1"/>
  <c r="Y182" i="1"/>
  <c r="Z182" i="1" s="1"/>
  <c r="G182" i="1"/>
  <c r="D182" i="1"/>
  <c r="C182" i="1"/>
  <c r="AL181" i="1"/>
  <c r="AK181" i="1"/>
  <c r="AJ181" i="1" a="1"/>
  <c r="AJ181" i="1" s="1"/>
  <c r="AN181" i="1" s="1"/>
  <c r="AI181" i="1" a="1"/>
  <c r="AI181" i="1" s="1"/>
  <c r="AM181" i="1" s="1"/>
  <c r="AH181" i="1"/>
  <c r="AA181" i="1"/>
  <c r="Y181" i="1"/>
  <c r="Z181" i="1" s="1"/>
  <c r="G181" i="1"/>
  <c r="D181" i="1"/>
  <c r="C181" i="1"/>
  <c r="AL180" i="1"/>
  <c r="AK180" i="1"/>
  <c r="AJ180" i="1" a="1"/>
  <c r="AJ180" i="1" s="1"/>
  <c r="AN180" i="1" s="1"/>
  <c r="AI180" i="1" a="1"/>
  <c r="AI180" i="1" s="1"/>
  <c r="AM180" i="1" s="1"/>
  <c r="AH180" i="1"/>
  <c r="AA180" i="1"/>
  <c r="Y180" i="1"/>
  <c r="Z180" i="1" s="1"/>
  <c r="G180" i="1"/>
  <c r="D180" i="1"/>
  <c r="C180" i="1"/>
  <c r="AL179" i="1"/>
  <c r="AK179" i="1"/>
  <c r="AJ179" i="1" a="1"/>
  <c r="AJ179" i="1" s="1"/>
  <c r="AN179" i="1" s="1"/>
  <c r="AI179" i="1" a="1"/>
  <c r="AI179" i="1" s="1"/>
  <c r="AM179" i="1" s="1"/>
  <c r="AH179" i="1"/>
  <c r="AA179" i="1"/>
  <c r="Y179" i="1"/>
  <c r="Z179" i="1" s="1"/>
  <c r="G179" i="1"/>
  <c r="D179" i="1"/>
  <c r="C179" i="1"/>
  <c r="AL178" i="1"/>
  <c r="AK178" i="1"/>
  <c r="AJ178" i="1" a="1"/>
  <c r="AJ178" i="1" s="1"/>
  <c r="AN178" i="1" s="1"/>
  <c r="AI178" i="1" a="1"/>
  <c r="AI178" i="1" s="1"/>
  <c r="AM178" i="1" s="1"/>
  <c r="AH178" i="1"/>
  <c r="AA178" i="1"/>
  <c r="Y178" i="1"/>
  <c r="Z178" i="1" s="1"/>
  <c r="G178" i="1"/>
  <c r="D178" i="1"/>
  <c r="C178" i="1"/>
  <c r="AL177" i="1"/>
  <c r="AK177" i="1"/>
  <c r="AJ177" i="1" a="1"/>
  <c r="AJ177" i="1" s="1"/>
  <c r="AN177" i="1" s="1"/>
  <c r="AI177" i="1" a="1"/>
  <c r="AI177" i="1" s="1"/>
  <c r="AM177" i="1" s="1"/>
  <c r="AH177" i="1"/>
  <c r="AA177" i="1"/>
  <c r="Y177" i="1"/>
  <c r="Z177" i="1" s="1"/>
  <c r="G177" i="1"/>
  <c r="D177" i="1"/>
  <c r="C177" i="1"/>
  <c r="AL176" i="1"/>
  <c r="AK176" i="1"/>
  <c r="AJ176" i="1" a="1"/>
  <c r="AJ176" i="1" s="1"/>
  <c r="AN176" i="1" s="1"/>
  <c r="AI176" i="1" a="1"/>
  <c r="AI176" i="1" s="1"/>
  <c r="AM176" i="1" s="1"/>
  <c r="AH176" i="1"/>
  <c r="AA176" i="1"/>
  <c r="Y176" i="1"/>
  <c r="Z176" i="1" s="1"/>
  <c r="G176" i="1"/>
  <c r="D176" i="1"/>
  <c r="C176" i="1"/>
  <c r="AL175" i="1"/>
  <c r="AK175" i="1"/>
  <c r="AJ175" i="1" a="1"/>
  <c r="AJ175" i="1" s="1"/>
  <c r="AN175" i="1" s="1"/>
  <c r="AI175" i="1" a="1"/>
  <c r="AI175" i="1" s="1"/>
  <c r="AM175" i="1" s="1"/>
  <c r="AH175" i="1"/>
  <c r="AA175" i="1"/>
  <c r="Y175" i="1"/>
  <c r="Z175" i="1" s="1"/>
  <c r="G175" i="1"/>
  <c r="D175" i="1"/>
  <c r="C175" i="1"/>
  <c r="AL174" i="1"/>
  <c r="AK174" i="1"/>
  <c r="AJ174" i="1" a="1"/>
  <c r="AJ174" i="1" s="1"/>
  <c r="AN174" i="1" s="1"/>
  <c r="AI174" i="1" a="1"/>
  <c r="AI174" i="1" s="1"/>
  <c r="AM174" i="1" s="1"/>
  <c r="AH174" i="1"/>
  <c r="AA174" i="1"/>
  <c r="Y174" i="1"/>
  <c r="Z174" i="1" s="1"/>
  <c r="G174" i="1"/>
  <c r="D174" i="1"/>
  <c r="C174" i="1"/>
  <c r="AL173" i="1"/>
  <c r="AK173" i="1"/>
  <c r="AJ173" i="1" a="1"/>
  <c r="AJ173" i="1" s="1"/>
  <c r="AN173" i="1" s="1"/>
  <c r="AI173" i="1" a="1"/>
  <c r="AI173" i="1" s="1"/>
  <c r="AM173" i="1" s="1"/>
  <c r="AH173" i="1"/>
  <c r="AA173" i="1"/>
  <c r="Y173" i="1"/>
  <c r="Z173" i="1" s="1"/>
  <c r="G173" i="1"/>
  <c r="D173" i="1"/>
  <c r="C173" i="1"/>
  <c r="AL172" i="1"/>
  <c r="AK172" i="1"/>
  <c r="AJ172" i="1" a="1"/>
  <c r="AJ172" i="1" s="1"/>
  <c r="AN172" i="1" s="1"/>
  <c r="AI172" i="1" a="1"/>
  <c r="AI172" i="1" s="1"/>
  <c r="AM172" i="1" s="1"/>
  <c r="AH172" i="1"/>
  <c r="AA172" i="1"/>
  <c r="Y172" i="1"/>
  <c r="Z172" i="1" s="1"/>
  <c r="G172" i="1"/>
  <c r="D172" i="1"/>
  <c r="C172" i="1"/>
  <c r="AL171" i="1"/>
  <c r="AK171" i="1"/>
  <c r="AJ171" i="1" a="1"/>
  <c r="AJ171" i="1" s="1"/>
  <c r="AN171" i="1" s="1"/>
  <c r="AI171" i="1" a="1"/>
  <c r="AI171" i="1" s="1"/>
  <c r="AM171" i="1" s="1"/>
  <c r="AH171" i="1"/>
  <c r="AA171" i="1"/>
  <c r="Y171" i="1"/>
  <c r="Z171" i="1" s="1"/>
  <c r="G171" i="1"/>
  <c r="D171" i="1"/>
  <c r="C171" i="1"/>
  <c r="AL170" i="1"/>
  <c r="AK170" i="1"/>
  <c r="AJ170" i="1" a="1"/>
  <c r="AJ170" i="1" s="1"/>
  <c r="AN170" i="1" s="1"/>
  <c r="AI170" i="1" a="1"/>
  <c r="AI170" i="1" s="1"/>
  <c r="AM170" i="1" s="1"/>
  <c r="AH170" i="1"/>
  <c r="AA170" i="1"/>
  <c r="Y170" i="1"/>
  <c r="Z170" i="1" s="1"/>
  <c r="G170" i="1"/>
  <c r="D170" i="1"/>
  <c r="C170" i="1"/>
  <c r="AL169" i="1"/>
  <c r="AK169" i="1"/>
  <c r="AJ169" i="1" a="1"/>
  <c r="AJ169" i="1" s="1"/>
  <c r="AN169" i="1" s="1"/>
  <c r="AI169" i="1" a="1"/>
  <c r="AI169" i="1" s="1"/>
  <c r="AM169" i="1" s="1"/>
  <c r="AH169" i="1"/>
  <c r="AA169" i="1"/>
  <c r="Y169" i="1"/>
  <c r="Z169" i="1" s="1"/>
  <c r="G169" i="1"/>
  <c r="D169" i="1"/>
  <c r="C169" i="1"/>
  <c r="AL168" i="1"/>
  <c r="AK168" i="1"/>
  <c r="AJ168" i="1" a="1"/>
  <c r="AJ168" i="1" s="1"/>
  <c r="AN168" i="1" s="1"/>
  <c r="AI168" i="1" a="1"/>
  <c r="AI168" i="1" s="1"/>
  <c r="AM168" i="1" s="1"/>
  <c r="AH168" i="1"/>
  <c r="AA168" i="1"/>
  <c r="Y168" i="1"/>
  <c r="Z168" i="1" s="1"/>
  <c r="G168" i="1"/>
  <c r="D168" i="1"/>
  <c r="C168" i="1"/>
  <c r="AL167" i="1"/>
  <c r="AK167" i="1"/>
  <c r="AJ167" i="1" a="1"/>
  <c r="AJ167" i="1" s="1"/>
  <c r="AN167" i="1" s="1"/>
  <c r="AI167" i="1" a="1"/>
  <c r="AI167" i="1" s="1"/>
  <c r="AM167" i="1" s="1"/>
  <c r="AH167" i="1"/>
  <c r="AA167" i="1"/>
  <c r="Y167" i="1"/>
  <c r="Z167" i="1" s="1"/>
  <c r="G167" i="1"/>
  <c r="D167" i="1"/>
  <c r="C167" i="1"/>
  <c r="AL166" i="1"/>
  <c r="AK166" i="1"/>
  <c r="AJ166" i="1" a="1"/>
  <c r="AJ166" i="1" s="1"/>
  <c r="AN166" i="1" s="1"/>
  <c r="AI166" i="1" a="1"/>
  <c r="AI166" i="1" s="1"/>
  <c r="AM166" i="1" s="1"/>
  <c r="AH166" i="1"/>
  <c r="AA166" i="1"/>
  <c r="Y166" i="1"/>
  <c r="Z166" i="1" s="1"/>
  <c r="G166" i="1"/>
  <c r="D166" i="1"/>
  <c r="C166" i="1"/>
  <c r="AL165" i="1"/>
  <c r="AK165" i="1"/>
  <c r="AJ165" i="1" a="1"/>
  <c r="AJ165" i="1" s="1"/>
  <c r="AN165" i="1" s="1"/>
  <c r="AI165" i="1" a="1"/>
  <c r="AI165" i="1" s="1"/>
  <c r="AM165" i="1" s="1"/>
  <c r="AH165" i="1"/>
  <c r="AA165" i="1"/>
  <c r="Y165" i="1"/>
  <c r="Z165" i="1" s="1"/>
  <c r="G165" i="1"/>
  <c r="D165" i="1"/>
  <c r="C165" i="1"/>
  <c r="AL164" i="1"/>
  <c r="AK164" i="1"/>
  <c r="AJ164" i="1" a="1"/>
  <c r="AJ164" i="1" s="1"/>
  <c r="AN164" i="1" s="1"/>
  <c r="AI164" i="1" a="1"/>
  <c r="AI164" i="1" s="1"/>
  <c r="AM164" i="1" s="1"/>
  <c r="AH164" i="1"/>
  <c r="AA164" i="1"/>
  <c r="Y164" i="1"/>
  <c r="Z164" i="1" s="1"/>
  <c r="G164" i="1"/>
  <c r="D164" i="1"/>
  <c r="C164" i="1"/>
  <c r="AL163" i="1"/>
  <c r="AK163" i="1"/>
  <c r="AJ163" i="1" a="1"/>
  <c r="AJ163" i="1" s="1"/>
  <c r="AN163" i="1" s="1"/>
  <c r="AI163" i="1" a="1"/>
  <c r="AI163" i="1" s="1"/>
  <c r="AM163" i="1" s="1"/>
  <c r="AH163" i="1"/>
  <c r="AA163" i="1"/>
  <c r="Y163" i="1"/>
  <c r="Z163" i="1" s="1"/>
  <c r="G163" i="1"/>
  <c r="D163" i="1"/>
  <c r="C163" i="1"/>
  <c r="AL162" i="1"/>
  <c r="AK162" i="1"/>
  <c r="AJ162" i="1" a="1"/>
  <c r="AJ162" i="1" s="1"/>
  <c r="AN162" i="1" s="1"/>
  <c r="AI162" i="1" a="1"/>
  <c r="AI162" i="1" s="1"/>
  <c r="AM162" i="1" s="1"/>
  <c r="AH162" i="1"/>
  <c r="AA162" i="1"/>
  <c r="Y162" i="1"/>
  <c r="Z162" i="1" s="1"/>
  <c r="G162" i="1"/>
  <c r="D162" i="1"/>
  <c r="C162" i="1"/>
  <c r="AL161" i="1"/>
  <c r="AK161" i="1"/>
  <c r="AJ161" i="1" a="1"/>
  <c r="AJ161" i="1" s="1"/>
  <c r="AN161" i="1" s="1"/>
  <c r="AI161" i="1" a="1"/>
  <c r="AI161" i="1" s="1"/>
  <c r="AM161" i="1" s="1"/>
  <c r="AH161" i="1"/>
  <c r="AA161" i="1"/>
  <c r="Y161" i="1"/>
  <c r="Z161" i="1" s="1"/>
  <c r="G161" i="1"/>
  <c r="D161" i="1"/>
  <c r="C161" i="1"/>
  <c r="AL160" i="1"/>
  <c r="AK160" i="1"/>
  <c r="AJ160" i="1" a="1"/>
  <c r="AJ160" i="1" s="1"/>
  <c r="AN160" i="1" s="1"/>
  <c r="AI160" i="1" a="1"/>
  <c r="AI160" i="1" s="1"/>
  <c r="AM160" i="1" s="1"/>
  <c r="AH160" i="1"/>
  <c r="AA160" i="1"/>
  <c r="Y160" i="1"/>
  <c r="Z160" i="1" s="1"/>
  <c r="G160" i="1"/>
  <c r="D160" i="1"/>
  <c r="C160" i="1"/>
  <c r="AL159" i="1"/>
  <c r="AK159" i="1"/>
  <c r="AJ159" i="1" a="1"/>
  <c r="AJ159" i="1" s="1"/>
  <c r="AN159" i="1" s="1"/>
  <c r="AI159" i="1" a="1"/>
  <c r="AI159" i="1" s="1"/>
  <c r="AM159" i="1" s="1"/>
  <c r="AH159" i="1"/>
  <c r="AA159" i="1"/>
  <c r="Y159" i="1"/>
  <c r="Z159" i="1" s="1"/>
  <c r="G159" i="1"/>
  <c r="D159" i="1"/>
  <c r="C159" i="1"/>
  <c r="AL158" i="1"/>
  <c r="AK158" i="1"/>
  <c r="AJ158" i="1" a="1"/>
  <c r="AJ158" i="1" s="1"/>
  <c r="AN158" i="1" s="1"/>
  <c r="AI158" i="1" a="1"/>
  <c r="AI158" i="1" s="1"/>
  <c r="AM158" i="1" s="1"/>
  <c r="AH158" i="1"/>
  <c r="AA158" i="1"/>
  <c r="Y158" i="1"/>
  <c r="Z158" i="1" s="1"/>
  <c r="G158" i="1"/>
  <c r="D158" i="1"/>
  <c r="C158" i="1"/>
  <c r="AL157" i="1"/>
  <c r="AK157" i="1"/>
  <c r="AJ157" i="1" a="1"/>
  <c r="AJ157" i="1" s="1"/>
  <c r="AN157" i="1" s="1"/>
  <c r="AI157" i="1" a="1"/>
  <c r="AI157" i="1" s="1"/>
  <c r="AM157" i="1" s="1"/>
  <c r="AH157" i="1"/>
  <c r="AA157" i="1"/>
  <c r="Y157" i="1"/>
  <c r="Z157" i="1" s="1"/>
  <c r="G157" i="1"/>
  <c r="D157" i="1"/>
  <c r="C157" i="1"/>
  <c r="AL156" i="1"/>
  <c r="AK156" i="1"/>
  <c r="AJ156" i="1" a="1"/>
  <c r="AJ156" i="1" s="1"/>
  <c r="AN156" i="1" s="1"/>
  <c r="AI156" i="1" a="1"/>
  <c r="AI156" i="1" s="1"/>
  <c r="AM156" i="1" s="1"/>
  <c r="AH156" i="1"/>
  <c r="AA156" i="1"/>
  <c r="Y156" i="1"/>
  <c r="Z156" i="1" s="1"/>
  <c r="G156" i="1"/>
  <c r="D156" i="1"/>
  <c r="C156" i="1"/>
  <c r="AL155" i="1"/>
  <c r="AK155" i="1"/>
  <c r="AJ155" i="1" a="1"/>
  <c r="AJ155" i="1" s="1"/>
  <c r="AN155" i="1" s="1"/>
  <c r="AI155" i="1" a="1"/>
  <c r="AI155" i="1" s="1"/>
  <c r="AM155" i="1" s="1"/>
  <c r="AH155" i="1"/>
  <c r="AA155" i="1"/>
  <c r="Y155" i="1"/>
  <c r="Z155" i="1" s="1"/>
  <c r="G155" i="1"/>
  <c r="D155" i="1"/>
  <c r="C155" i="1"/>
  <c r="AL154" i="1"/>
  <c r="AK154" i="1"/>
  <c r="AJ154" i="1" a="1"/>
  <c r="AJ154" i="1" s="1"/>
  <c r="AN154" i="1" s="1"/>
  <c r="AI154" i="1" a="1"/>
  <c r="AI154" i="1" s="1"/>
  <c r="AM154" i="1" s="1"/>
  <c r="AH154" i="1"/>
  <c r="AA154" i="1"/>
  <c r="Y154" i="1"/>
  <c r="Z154" i="1" s="1"/>
  <c r="G154" i="1"/>
  <c r="D154" i="1"/>
  <c r="C154" i="1"/>
  <c r="AL153" i="1"/>
  <c r="AK153" i="1"/>
  <c r="AJ153" i="1" a="1"/>
  <c r="AJ153" i="1" s="1"/>
  <c r="AN153" i="1" s="1"/>
  <c r="AI153" i="1" a="1"/>
  <c r="AI153" i="1" s="1"/>
  <c r="AM153" i="1" s="1"/>
  <c r="AH153" i="1"/>
  <c r="AA153" i="1"/>
  <c r="Y153" i="1"/>
  <c r="Z153" i="1" s="1"/>
  <c r="G153" i="1"/>
  <c r="D153" i="1"/>
  <c r="C153" i="1"/>
  <c r="AL152" i="1"/>
  <c r="AK152" i="1"/>
  <c r="AJ152" i="1" a="1"/>
  <c r="AJ152" i="1" s="1"/>
  <c r="AN152" i="1" s="1"/>
  <c r="AI152" i="1" a="1"/>
  <c r="AI152" i="1" s="1"/>
  <c r="AM152" i="1" s="1"/>
  <c r="AH152" i="1"/>
  <c r="AA152" i="1"/>
  <c r="Y152" i="1"/>
  <c r="Z152" i="1" s="1"/>
  <c r="G152" i="1"/>
  <c r="D152" i="1"/>
  <c r="C152" i="1"/>
  <c r="AL151" i="1"/>
  <c r="AK151" i="1"/>
  <c r="AJ151" i="1" a="1"/>
  <c r="AJ151" i="1" s="1"/>
  <c r="AN151" i="1" s="1"/>
  <c r="AI151" i="1" a="1"/>
  <c r="AI151" i="1" s="1"/>
  <c r="AM151" i="1" s="1"/>
  <c r="AH151" i="1"/>
  <c r="AA151" i="1"/>
  <c r="Y151" i="1"/>
  <c r="Z151" i="1" s="1"/>
  <c r="G151" i="1"/>
  <c r="D151" i="1"/>
  <c r="C151" i="1"/>
  <c r="AL150" i="1"/>
  <c r="AK150" i="1"/>
  <c r="AJ150" i="1" a="1"/>
  <c r="AJ150" i="1" s="1"/>
  <c r="AN150" i="1" s="1"/>
  <c r="AI150" i="1" a="1"/>
  <c r="AI150" i="1" s="1"/>
  <c r="AM150" i="1" s="1"/>
  <c r="AH150" i="1"/>
  <c r="AA150" i="1"/>
  <c r="Y150" i="1"/>
  <c r="Z150" i="1" s="1"/>
  <c r="G150" i="1"/>
  <c r="D150" i="1"/>
  <c r="C150" i="1"/>
  <c r="AL149" i="1"/>
  <c r="AK149" i="1"/>
  <c r="AJ149" i="1" a="1"/>
  <c r="AJ149" i="1" s="1"/>
  <c r="AN149" i="1" s="1"/>
  <c r="AI149" i="1" a="1"/>
  <c r="AI149" i="1" s="1"/>
  <c r="AM149" i="1" s="1"/>
  <c r="AH149" i="1"/>
  <c r="AA149" i="1"/>
  <c r="Y149" i="1"/>
  <c r="Z149" i="1" s="1"/>
  <c r="G149" i="1"/>
  <c r="D149" i="1"/>
  <c r="C149" i="1"/>
  <c r="AL148" i="1"/>
  <c r="AK148" i="1"/>
  <c r="AJ148" i="1" a="1"/>
  <c r="AJ148" i="1" s="1"/>
  <c r="AN148" i="1" s="1"/>
  <c r="AI148" i="1" a="1"/>
  <c r="AI148" i="1" s="1"/>
  <c r="AM148" i="1" s="1"/>
  <c r="AH148" i="1"/>
  <c r="AA148" i="1"/>
  <c r="Y148" i="1"/>
  <c r="Z148" i="1" s="1"/>
  <c r="G148" i="1"/>
  <c r="D148" i="1"/>
  <c r="C148" i="1"/>
  <c r="AL147" i="1"/>
  <c r="AK147" i="1"/>
  <c r="AJ147" i="1" a="1"/>
  <c r="AJ147" i="1" s="1"/>
  <c r="AN147" i="1" s="1"/>
  <c r="AI147" i="1" a="1"/>
  <c r="AI147" i="1" s="1"/>
  <c r="AM147" i="1" s="1"/>
  <c r="AH147" i="1"/>
  <c r="AA147" i="1"/>
  <c r="Y147" i="1"/>
  <c r="Z147" i="1" s="1"/>
  <c r="G147" i="1"/>
  <c r="D147" i="1"/>
  <c r="C147" i="1"/>
  <c r="AL146" i="1"/>
  <c r="AK146" i="1"/>
  <c r="AJ146" i="1" a="1"/>
  <c r="AJ146" i="1" s="1"/>
  <c r="AN146" i="1" s="1"/>
  <c r="AI146" i="1" a="1"/>
  <c r="AI146" i="1" s="1"/>
  <c r="AM146" i="1" s="1"/>
  <c r="AH146" i="1"/>
  <c r="AA146" i="1"/>
  <c r="Y146" i="1"/>
  <c r="Z146" i="1" s="1"/>
  <c r="G146" i="1"/>
  <c r="D146" i="1"/>
  <c r="C146" i="1"/>
  <c r="AL145" i="1"/>
  <c r="AK145" i="1"/>
  <c r="AJ145" i="1" a="1"/>
  <c r="AJ145" i="1" s="1"/>
  <c r="AN145" i="1" s="1"/>
  <c r="AI145" i="1" a="1"/>
  <c r="AI145" i="1" s="1"/>
  <c r="AM145" i="1" s="1"/>
  <c r="AH145" i="1"/>
  <c r="AA145" i="1"/>
  <c r="Y145" i="1"/>
  <c r="Z145" i="1" s="1"/>
  <c r="G145" i="1"/>
  <c r="D145" i="1"/>
  <c r="C145" i="1"/>
  <c r="AL144" i="1"/>
  <c r="AK144" i="1"/>
  <c r="AJ144" i="1" a="1"/>
  <c r="AJ144" i="1" s="1"/>
  <c r="AN144" i="1" s="1"/>
  <c r="AI144" i="1" a="1"/>
  <c r="AI144" i="1" s="1"/>
  <c r="AM144" i="1" s="1"/>
  <c r="AH144" i="1"/>
  <c r="AA144" i="1"/>
  <c r="Y144" i="1"/>
  <c r="Z144" i="1" s="1"/>
  <c r="G144" i="1"/>
  <c r="D144" i="1"/>
  <c r="C144" i="1"/>
  <c r="AL143" i="1"/>
  <c r="AK143" i="1"/>
  <c r="AJ143" i="1" a="1"/>
  <c r="AJ143" i="1" s="1"/>
  <c r="AN143" i="1" s="1"/>
  <c r="AI143" i="1" a="1"/>
  <c r="AI143" i="1" s="1"/>
  <c r="AM143" i="1" s="1"/>
  <c r="AH143" i="1"/>
  <c r="AA143" i="1"/>
  <c r="Y143" i="1"/>
  <c r="Z143" i="1" s="1"/>
  <c r="G143" i="1"/>
  <c r="D143" i="1"/>
  <c r="C143" i="1"/>
  <c r="AL142" i="1"/>
  <c r="AK142" i="1"/>
  <c r="AJ142" i="1" a="1"/>
  <c r="AJ142" i="1" s="1"/>
  <c r="AN142" i="1" s="1"/>
  <c r="AI142" i="1" a="1"/>
  <c r="AI142" i="1" s="1"/>
  <c r="AM142" i="1" s="1"/>
  <c r="AH142" i="1"/>
  <c r="AA142" i="1"/>
  <c r="Y142" i="1"/>
  <c r="Z142" i="1" s="1"/>
  <c r="G142" i="1"/>
  <c r="D142" i="1"/>
  <c r="C142" i="1"/>
  <c r="AL141" i="1"/>
  <c r="AK141" i="1"/>
  <c r="AJ141" i="1" a="1"/>
  <c r="AJ141" i="1" s="1"/>
  <c r="AN141" i="1" s="1"/>
  <c r="AI141" i="1" a="1"/>
  <c r="AI141" i="1" s="1"/>
  <c r="AM141" i="1" s="1"/>
  <c r="AH141" i="1"/>
  <c r="AA141" i="1"/>
  <c r="Y141" i="1"/>
  <c r="Z141" i="1" s="1"/>
  <c r="G141" i="1"/>
  <c r="D141" i="1"/>
  <c r="C141" i="1"/>
  <c r="AL140" i="1"/>
  <c r="AK140" i="1"/>
  <c r="AJ140" i="1" a="1"/>
  <c r="AJ140" i="1" s="1"/>
  <c r="AN140" i="1" s="1"/>
  <c r="AI140" i="1" a="1"/>
  <c r="AI140" i="1" s="1"/>
  <c r="AM140" i="1" s="1"/>
  <c r="AH140" i="1"/>
  <c r="AA140" i="1"/>
  <c r="Y140" i="1"/>
  <c r="Z140" i="1" s="1"/>
  <c r="G140" i="1"/>
  <c r="D140" i="1"/>
  <c r="C140" i="1"/>
  <c r="AL139" i="1"/>
  <c r="AK139" i="1"/>
  <c r="AJ139" i="1" a="1"/>
  <c r="AJ139" i="1" s="1"/>
  <c r="AN139" i="1" s="1"/>
  <c r="AI139" i="1" a="1"/>
  <c r="AI139" i="1" s="1"/>
  <c r="AM139" i="1" s="1"/>
  <c r="AH139" i="1"/>
  <c r="AA139" i="1"/>
  <c r="Y139" i="1"/>
  <c r="Z139" i="1" s="1"/>
  <c r="G139" i="1"/>
  <c r="D139" i="1"/>
  <c r="C139" i="1"/>
  <c r="AL138" i="1"/>
  <c r="AK138" i="1"/>
  <c r="AJ138" i="1" a="1"/>
  <c r="AJ138" i="1" s="1"/>
  <c r="AN138" i="1" s="1"/>
  <c r="AI138" i="1" a="1"/>
  <c r="AI138" i="1" s="1"/>
  <c r="AM138" i="1" s="1"/>
  <c r="AH138" i="1"/>
  <c r="AA138" i="1"/>
  <c r="Y138" i="1"/>
  <c r="Z138" i="1" s="1"/>
  <c r="G138" i="1"/>
  <c r="D138" i="1"/>
  <c r="C138" i="1"/>
  <c r="AL137" i="1"/>
  <c r="AK137" i="1"/>
  <c r="AJ137" i="1" a="1"/>
  <c r="AJ137" i="1" s="1"/>
  <c r="AN137" i="1" s="1"/>
  <c r="AI137" i="1" a="1"/>
  <c r="AI137" i="1" s="1"/>
  <c r="AM137" i="1" s="1"/>
  <c r="AH137" i="1"/>
  <c r="AA137" i="1"/>
  <c r="Y137" i="1"/>
  <c r="Z137" i="1" s="1"/>
  <c r="G137" i="1"/>
  <c r="D137" i="1"/>
  <c r="C137" i="1"/>
  <c r="AL136" i="1"/>
  <c r="AK136" i="1"/>
  <c r="AJ136" i="1" a="1"/>
  <c r="AJ136" i="1" s="1"/>
  <c r="AN136" i="1" s="1"/>
  <c r="AI136" i="1" a="1"/>
  <c r="AI136" i="1" s="1"/>
  <c r="AM136" i="1" s="1"/>
  <c r="AH136" i="1"/>
  <c r="AA136" i="1"/>
  <c r="Y136" i="1"/>
  <c r="Z136" i="1" s="1"/>
  <c r="G136" i="1"/>
  <c r="D136" i="1"/>
  <c r="C136" i="1"/>
  <c r="AL135" i="1"/>
  <c r="AK135" i="1"/>
  <c r="AJ135" i="1" a="1"/>
  <c r="AJ135" i="1" s="1"/>
  <c r="AN135" i="1" s="1"/>
  <c r="AI135" i="1" a="1"/>
  <c r="AI135" i="1" s="1"/>
  <c r="AM135" i="1" s="1"/>
  <c r="AH135" i="1"/>
  <c r="AA135" i="1"/>
  <c r="Y135" i="1"/>
  <c r="Z135" i="1" s="1"/>
  <c r="G135" i="1"/>
  <c r="D135" i="1"/>
  <c r="C135" i="1"/>
  <c r="AL134" i="1"/>
  <c r="AK134" i="1"/>
  <c r="AJ134" i="1" a="1"/>
  <c r="AJ134" i="1" s="1"/>
  <c r="AN134" i="1" s="1"/>
  <c r="AI134" i="1" a="1"/>
  <c r="AI134" i="1" s="1"/>
  <c r="AM134" i="1" s="1"/>
  <c r="AH134" i="1"/>
  <c r="AA134" i="1"/>
  <c r="Y134" i="1"/>
  <c r="Z134" i="1" s="1"/>
  <c r="G134" i="1"/>
  <c r="D134" i="1"/>
  <c r="C134" i="1"/>
  <c r="AL133" i="1"/>
  <c r="AK133" i="1"/>
  <c r="AJ133" i="1" a="1"/>
  <c r="AJ133" i="1" s="1"/>
  <c r="AN133" i="1" s="1"/>
  <c r="AI133" i="1" a="1"/>
  <c r="AI133" i="1" s="1"/>
  <c r="AM133" i="1" s="1"/>
  <c r="AH133" i="1"/>
  <c r="AA133" i="1"/>
  <c r="Y133" i="1"/>
  <c r="Z133" i="1" s="1"/>
  <c r="G133" i="1"/>
  <c r="D133" i="1"/>
  <c r="C133" i="1"/>
  <c r="AL132" i="1"/>
  <c r="AK132" i="1"/>
  <c r="AJ132" i="1" a="1"/>
  <c r="AJ132" i="1" s="1"/>
  <c r="AN132" i="1" s="1"/>
  <c r="AI132" i="1" a="1"/>
  <c r="AI132" i="1" s="1"/>
  <c r="AM132" i="1" s="1"/>
  <c r="AH132" i="1"/>
  <c r="AA132" i="1"/>
  <c r="Y132" i="1"/>
  <c r="Z132" i="1" s="1"/>
  <c r="G132" i="1"/>
  <c r="D132" i="1"/>
  <c r="C132" i="1"/>
  <c r="AL131" i="1"/>
  <c r="AK131" i="1"/>
  <c r="AJ131" i="1" a="1"/>
  <c r="AJ131" i="1" s="1"/>
  <c r="AN131" i="1" s="1"/>
  <c r="AI131" i="1" a="1"/>
  <c r="AI131" i="1" s="1"/>
  <c r="AM131" i="1" s="1"/>
  <c r="AH131" i="1"/>
  <c r="AA131" i="1"/>
  <c r="Y131" i="1"/>
  <c r="Z131" i="1" s="1"/>
  <c r="G131" i="1"/>
  <c r="D131" i="1"/>
  <c r="C131" i="1"/>
  <c r="AL130" i="1"/>
  <c r="AK130" i="1"/>
  <c r="AJ130" i="1" a="1"/>
  <c r="AJ130" i="1" s="1"/>
  <c r="AN130" i="1" s="1"/>
  <c r="AI130" i="1" a="1"/>
  <c r="AI130" i="1" s="1"/>
  <c r="AM130" i="1" s="1"/>
  <c r="AH130" i="1"/>
  <c r="AA130" i="1"/>
  <c r="Y130" i="1"/>
  <c r="Z130" i="1" s="1"/>
  <c r="G130" i="1"/>
  <c r="D130" i="1"/>
  <c r="C130" i="1"/>
  <c r="AL129" i="1"/>
  <c r="AK129" i="1"/>
  <c r="AJ129" i="1" a="1"/>
  <c r="AJ129" i="1" s="1"/>
  <c r="AN129" i="1" s="1"/>
  <c r="AI129" i="1" a="1"/>
  <c r="AI129" i="1" s="1"/>
  <c r="AM129" i="1" s="1"/>
  <c r="AH129" i="1"/>
  <c r="AA129" i="1"/>
  <c r="Y129" i="1"/>
  <c r="Z129" i="1" s="1"/>
  <c r="G129" i="1"/>
  <c r="D129" i="1"/>
  <c r="C129" i="1"/>
  <c r="AL128" i="1"/>
  <c r="AK128" i="1"/>
  <c r="AJ128" i="1" a="1"/>
  <c r="AJ128" i="1" s="1"/>
  <c r="AN128" i="1" s="1"/>
  <c r="AI128" i="1" a="1"/>
  <c r="AI128" i="1" s="1"/>
  <c r="AM128" i="1" s="1"/>
  <c r="AH128" i="1"/>
  <c r="AA128" i="1"/>
  <c r="Y128" i="1"/>
  <c r="Z128" i="1" s="1"/>
  <c r="G128" i="1"/>
  <c r="D128" i="1"/>
  <c r="C128" i="1"/>
  <c r="AL127" i="1"/>
  <c r="AK127" i="1"/>
  <c r="AJ127" i="1" a="1"/>
  <c r="AJ127" i="1" s="1"/>
  <c r="AN127" i="1" s="1"/>
  <c r="AI127" i="1" a="1"/>
  <c r="AI127" i="1" s="1"/>
  <c r="AM127" i="1" s="1"/>
  <c r="AH127" i="1"/>
  <c r="AA127" i="1"/>
  <c r="Y127" i="1"/>
  <c r="Z127" i="1" s="1"/>
  <c r="G127" i="1"/>
  <c r="D127" i="1"/>
  <c r="C127" i="1"/>
  <c r="AL126" i="1"/>
  <c r="AK126" i="1"/>
  <c r="AJ126" i="1" a="1"/>
  <c r="AJ126" i="1" s="1"/>
  <c r="AN126" i="1" s="1"/>
  <c r="AI126" i="1" a="1"/>
  <c r="AI126" i="1" s="1"/>
  <c r="AM126" i="1" s="1"/>
  <c r="AH126" i="1"/>
  <c r="AA126" i="1"/>
  <c r="Y126" i="1"/>
  <c r="Z126" i="1" s="1"/>
  <c r="G126" i="1"/>
  <c r="D126" i="1"/>
  <c r="C126" i="1"/>
  <c r="AL125" i="1"/>
  <c r="AK125" i="1"/>
  <c r="AJ125" i="1" a="1"/>
  <c r="AJ125" i="1" s="1"/>
  <c r="AN125" i="1" s="1"/>
  <c r="AI125" i="1" a="1"/>
  <c r="AI125" i="1" s="1"/>
  <c r="AM125" i="1" s="1"/>
  <c r="AH125" i="1"/>
  <c r="AA125" i="1"/>
  <c r="Y125" i="1"/>
  <c r="Z125" i="1" s="1"/>
  <c r="G125" i="1"/>
  <c r="D125" i="1"/>
  <c r="C125" i="1"/>
  <c r="AL124" i="1"/>
  <c r="AK124" i="1"/>
  <c r="AJ124" i="1" a="1"/>
  <c r="AJ124" i="1" s="1"/>
  <c r="AN124" i="1" s="1"/>
  <c r="AI124" i="1" a="1"/>
  <c r="AI124" i="1" s="1"/>
  <c r="AM124" i="1" s="1"/>
  <c r="AH124" i="1"/>
  <c r="AA124" i="1"/>
  <c r="Y124" i="1"/>
  <c r="Z124" i="1" s="1"/>
  <c r="G124" i="1"/>
  <c r="D124" i="1"/>
  <c r="C124" i="1"/>
  <c r="AL123" i="1"/>
  <c r="AK123" i="1"/>
  <c r="AJ123" i="1" a="1"/>
  <c r="AJ123" i="1" s="1"/>
  <c r="AN123" i="1" s="1"/>
  <c r="AI123" i="1" a="1"/>
  <c r="AI123" i="1" s="1"/>
  <c r="AM123" i="1" s="1"/>
  <c r="AH123" i="1"/>
  <c r="AA123" i="1"/>
  <c r="Y123" i="1"/>
  <c r="Z123" i="1" s="1"/>
  <c r="G123" i="1"/>
  <c r="D123" i="1"/>
  <c r="C123" i="1"/>
  <c r="AL122" i="1"/>
  <c r="AK122" i="1"/>
  <c r="AJ122" i="1" a="1"/>
  <c r="AJ122" i="1" s="1"/>
  <c r="AN122" i="1" s="1"/>
  <c r="AI122" i="1" a="1"/>
  <c r="AI122" i="1" s="1"/>
  <c r="AM122" i="1" s="1"/>
  <c r="AH122" i="1"/>
  <c r="AA122" i="1"/>
  <c r="Y122" i="1"/>
  <c r="Z122" i="1" s="1"/>
  <c r="G122" i="1"/>
  <c r="D122" i="1"/>
  <c r="C122" i="1"/>
  <c r="AL121" i="1"/>
  <c r="AK121" i="1"/>
  <c r="AJ121" i="1" a="1"/>
  <c r="AJ121" i="1" s="1"/>
  <c r="AN121" i="1" s="1"/>
  <c r="AI121" i="1" a="1"/>
  <c r="AI121" i="1" s="1"/>
  <c r="AM121" i="1" s="1"/>
  <c r="AH121" i="1"/>
  <c r="AA121" i="1"/>
  <c r="Y121" i="1"/>
  <c r="Z121" i="1" s="1"/>
  <c r="G121" i="1"/>
  <c r="D121" i="1"/>
  <c r="C121" i="1"/>
  <c r="AL120" i="1"/>
  <c r="AK120" i="1"/>
  <c r="AJ120" i="1" a="1"/>
  <c r="AJ120" i="1" s="1"/>
  <c r="AN120" i="1" s="1"/>
  <c r="AI120" i="1" a="1"/>
  <c r="AI120" i="1" s="1"/>
  <c r="AM120" i="1" s="1"/>
  <c r="AH120" i="1"/>
  <c r="AA120" i="1"/>
  <c r="Y120" i="1"/>
  <c r="Z120" i="1" s="1"/>
  <c r="G120" i="1"/>
  <c r="D120" i="1"/>
  <c r="C120" i="1"/>
  <c r="AL119" i="1"/>
  <c r="AK119" i="1"/>
  <c r="AJ119" i="1" a="1"/>
  <c r="AJ119" i="1" s="1"/>
  <c r="AN119" i="1" s="1"/>
  <c r="AI119" i="1" a="1"/>
  <c r="AI119" i="1" s="1"/>
  <c r="AM119" i="1" s="1"/>
  <c r="AH119" i="1"/>
  <c r="AA119" i="1"/>
  <c r="Y119" i="1"/>
  <c r="Z119" i="1" s="1"/>
  <c r="G119" i="1"/>
  <c r="D119" i="1"/>
  <c r="C119" i="1"/>
  <c r="AL118" i="1"/>
  <c r="AK118" i="1"/>
  <c r="AJ118" i="1" a="1"/>
  <c r="AJ118" i="1" s="1"/>
  <c r="AN118" i="1" s="1"/>
  <c r="AI118" i="1" a="1"/>
  <c r="AI118" i="1" s="1"/>
  <c r="AM118" i="1" s="1"/>
  <c r="AH118" i="1"/>
  <c r="AA118" i="1"/>
  <c r="Y118" i="1"/>
  <c r="Z118" i="1" s="1"/>
  <c r="G118" i="1"/>
  <c r="D118" i="1"/>
  <c r="C118" i="1"/>
  <c r="AL117" i="1"/>
  <c r="AK117" i="1"/>
  <c r="AJ117" i="1" a="1"/>
  <c r="AJ117" i="1" s="1"/>
  <c r="AN117" i="1" s="1"/>
  <c r="AI117" i="1" a="1"/>
  <c r="AI117" i="1" s="1"/>
  <c r="AM117" i="1" s="1"/>
  <c r="AH117" i="1"/>
  <c r="AA117" i="1"/>
  <c r="Y117" i="1"/>
  <c r="Z117" i="1" s="1"/>
  <c r="G117" i="1"/>
  <c r="D117" i="1"/>
  <c r="C117" i="1"/>
  <c r="AL116" i="1"/>
  <c r="AK116" i="1"/>
  <c r="AJ116" i="1" a="1"/>
  <c r="AJ116" i="1" s="1"/>
  <c r="AN116" i="1" s="1"/>
  <c r="AI116" i="1" a="1"/>
  <c r="AI116" i="1" s="1"/>
  <c r="AM116" i="1" s="1"/>
  <c r="AH116" i="1"/>
  <c r="AA116" i="1"/>
  <c r="Y116" i="1"/>
  <c r="Z116" i="1" s="1"/>
  <c r="G116" i="1"/>
  <c r="D116" i="1"/>
  <c r="C116" i="1"/>
  <c r="AL115" i="1"/>
  <c r="AK115" i="1"/>
  <c r="AJ115" i="1" a="1"/>
  <c r="AJ115" i="1" s="1"/>
  <c r="AN115" i="1" s="1"/>
  <c r="AI115" i="1" a="1"/>
  <c r="AI115" i="1" s="1"/>
  <c r="AM115" i="1" s="1"/>
  <c r="AH115" i="1"/>
  <c r="AA115" i="1"/>
  <c r="Y115" i="1"/>
  <c r="Z115" i="1" s="1"/>
  <c r="G115" i="1"/>
  <c r="D115" i="1"/>
  <c r="C115" i="1"/>
  <c r="AL114" i="1"/>
  <c r="AK114" i="1"/>
  <c r="AJ114" i="1" a="1"/>
  <c r="AJ114" i="1" s="1"/>
  <c r="AN114" i="1" s="1"/>
  <c r="AI114" i="1" a="1"/>
  <c r="AI114" i="1" s="1"/>
  <c r="AM114" i="1" s="1"/>
  <c r="AH114" i="1"/>
  <c r="AA114" i="1"/>
  <c r="Y114" i="1"/>
  <c r="Z114" i="1" s="1"/>
  <c r="G114" i="1"/>
  <c r="D114" i="1"/>
  <c r="C114" i="1"/>
  <c r="AL113" i="1"/>
  <c r="AK113" i="1"/>
  <c r="AJ113" i="1" a="1"/>
  <c r="AJ113" i="1" s="1"/>
  <c r="AN113" i="1" s="1"/>
  <c r="AI113" i="1" a="1"/>
  <c r="AI113" i="1" s="1"/>
  <c r="AM113" i="1" s="1"/>
  <c r="AH113" i="1"/>
  <c r="AA113" i="1"/>
  <c r="Y113" i="1"/>
  <c r="Z113" i="1" s="1"/>
  <c r="G113" i="1"/>
  <c r="D113" i="1"/>
  <c r="C113" i="1"/>
  <c r="AL112" i="1"/>
  <c r="AK112" i="1"/>
  <c r="AJ112" i="1" a="1"/>
  <c r="AJ112" i="1" s="1"/>
  <c r="AN112" i="1" s="1"/>
  <c r="AI112" i="1" a="1"/>
  <c r="AI112" i="1" s="1"/>
  <c r="AM112" i="1" s="1"/>
  <c r="AH112" i="1"/>
  <c r="AA112" i="1"/>
  <c r="Y112" i="1"/>
  <c r="Z112" i="1" s="1"/>
  <c r="G112" i="1"/>
  <c r="D112" i="1"/>
  <c r="C112" i="1"/>
  <c r="AL111" i="1"/>
  <c r="AK111" i="1"/>
  <c r="AJ111" i="1" a="1"/>
  <c r="AJ111" i="1" s="1"/>
  <c r="AN111" i="1" s="1"/>
  <c r="AI111" i="1" a="1"/>
  <c r="AI111" i="1" s="1"/>
  <c r="AM111" i="1" s="1"/>
  <c r="AH111" i="1"/>
  <c r="AA111" i="1"/>
  <c r="Y111" i="1"/>
  <c r="Z111" i="1" s="1"/>
  <c r="G111" i="1"/>
  <c r="D111" i="1"/>
  <c r="C111" i="1"/>
  <c r="AL110" i="1"/>
  <c r="AK110" i="1"/>
  <c r="AJ110" i="1" a="1"/>
  <c r="AJ110" i="1" s="1"/>
  <c r="AN110" i="1" s="1"/>
  <c r="AI110" i="1" a="1"/>
  <c r="AI110" i="1" s="1"/>
  <c r="AM110" i="1" s="1"/>
  <c r="AH110" i="1"/>
  <c r="AA110" i="1"/>
  <c r="Y110" i="1"/>
  <c r="Z110" i="1" s="1"/>
  <c r="G110" i="1"/>
  <c r="D110" i="1"/>
  <c r="C110" i="1"/>
  <c r="AL109" i="1"/>
  <c r="AK109" i="1"/>
  <c r="AJ109" i="1" a="1"/>
  <c r="AJ109" i="1" s="1"/>
  <c r="AN109" i="1" s="1"/>
  <c r="AI109" i="1" a="1"/>
  <c r="AI109" i="1" s="1"/>
  <c r="AM109" i="1" s="1"/>
  <c r="AH109" i="1"/>
  <c r="AA109" i="1"/>
  <c r="Y109" i="1"/>
  <c r="Z109" i="1" s="1"/>
  <c r="G109" i="1"/>
  <c r="D109" i="1"/>
  <c r="C109" i="1"/>
  <c r="AL108" i="1"/>
  <c r="AK108" i="1"/>
  <c r="AJ108" i="1" a="1"/>
  <c r="AJ108" i="1" s="1"/>
  <c r="AN108" i="1" s="1"/>
  <c r="AI108" i="1" a="1"/>
  <c r="AI108" i="1" s="1"/>
  <c r="AM108" i="1" s="1"/>
  <c r="AH108" i="1"/>
  <c r="AA108" i="1"/>
  <c r="Y108" i="1"/>
  <c r="Z108" i="1" s="1"/>
  <c r="G108" i="1"/>
  <c r="D108" i="1"/>
  <c r="C108" i="1"/>
  <c r="AL107" i="1"/>
  <c r="AK107" i="1"/>
  <c r="AJ107" i="1" a="1"/>
  <c r="AJ107" i="1" s="1"/>
  <c r="AN107" i="1" s="1"/>
  <c r="AI107" i="1" a="1"/>
  <c r="AI107" i="1" s="1"/>
  <c r="AM107" i="1" s="1"/>
  <c r="AH107" i="1"/>
  <c r="AA107" i="1"/>
  <c r="Y107" i="1"/>
  <c r="Z107" i="1" s="1"/>
  <c r="G107" i="1"/>
  <c r="D107" i="1"/>
  <c r="C107" i="1"/>
  <c r="AL106" i="1"/>
  <c r="AK106" i="1"/>
  <c r="AJ106" i="1" a="1"/>
  <c r="AJ106" i="1" s="1"/>
  <c r="AN106" i="1" s="1"/>
  <c r="AI106" i="1" a="1"/>
  <c r="AI106" i="1" s="1"/>
  <c r="AM106" i="1" s="1"/>
  <c r="AH106" i="1"/>
  <c r="AA106" i="1"/>
  <c r="Y106" i="1"/>
  <c r="Z106" i="1" s="1"/>
  <c r="G106" i="1"/>
  <c r="D106" i="1"/>
  <c r="C106" i="1"/>
  <c r="AL105" i="1"/>
  <c r="AK105" i="1"/>
  <c r="AJ105" i="1" a="1"/>
  <c r="AJ105" i="1" s="1"/>
  <c r="AN105" i="1" s="1"/>
  <c r="AI105" i="1" a="1"/>
  <c r="AI105" i="1" s="1"/>
  <c r="AM105" i="1" s="1"/>
  <c r="AH105" i="1"/>
  <c r="AA105" i="1"/>
  <c r="Y105" i="1"/>
  <c r="Z105" i="1" s="1"/>
  <c r="G105" i="1"/>
  <c r="D105" i="1"/>
  <c r="C105" i="1"/>
  <c r="AL104" i="1"/>
  <c r="AK104" i="1"/>
  <c r="AJ104" i="1" a="1"/>
  <c r="AJ104" i="1" s="1"/>
  <c r="AN104" i="1" s="1"/>
  <c r="AI104" i="1" a="1"/>
  <c r="AI104" i="1" s="1"/>
  <c r="AM104" i="1" s="1"/>
  <c r="AH104" i="1"/>
  <c r="AA104" i="1"/>
  <c r="Y104" i="1"/>
  <c r="Z104" i="1" s="1"/>
  <c r="G104" i="1"/>
  <c r="D104" i="1"/>
  <c r="C104" i="1"/>
  <c r="AL103" i="1"/>
  <c r="AK103" i="1"/>
  <c r="AJ103" i="1" a="1"/>
  <c r="AJ103" i="1" s="1"/>
  <c r="AN103" i="1" s="1"/>
  <c r="AI103" i="1" a="1"/>
  <c r="AI103" i="1" s="1"/>
  <c r="AM103" i="1" s="1"/>
  <c r="AH103" i="1"/>
  <c r="AA103" i="1"/>
  <c r="Y103" i="1"/>
  <c r="Z103" i="1" s="1"/>
  <c r="G103" i="1"/>
  <c r="D103" i="1"/>
  <c r="C103" i="1"/>
  <c r="AL102" i="1"/>
  <c r="AK102" i="1"/>
  <c r="AJ102" i="1" a="1"/>
  <c r="AJ102" i="1" s="1"/>
  <c r="AN102" i="1" s="1"/>
  <c r="AI102" i="1" a="1"/>
  <c r="AI102" i="1" s="1"/>
  <c r="AM102" i="1" s="1"/>
  <c r="AH102" i="1"/>
  <c r="AA102" i="1"/>
  <c r="Y102" i="1"/>
  <c r="Z102" i="1" s="1"/>
  <c r="G102" i="1"/>
  <c r="D102" i="1"/>
  <c r="C102" i="1"/>
  <c r="AL101" i="1"/>
  <c r="AK101" i="1"/>
  <c r="AJ101" i="1" a="1"/>
  <c r="AJ101" i="1" s="1"/>
  <c r="AN101" i="1" s="1"/>
  <c r="AI101" i="1" a="1"/>
  <c r="AI101" i="1" s="1"/>
  <c r="AM101" i="1" s="1"/>
  <c r="AH101" i="1"/>
  <c r="AA101" i="1"/>
  <c r="Y101" i="1"/>
  <c r="Z101" i="1" s="1"/>
  <c r="G101" i="1"/>
  <c r="D101" i="1"/>
  <c r="C101" i="1"/>
  <c r="AL100" i="1"/>
  <c r="AK100" i="1"/>
  <c r="AJ100" i="1" a="1"/>
  <c r="AJ100" i="1" s="1"/>
  <c r="AN100" i="1" s="1"/>
  <c r="AI100" i="1" a="1"/>
  <c r="AI100" i="1" s="1"/>
  <c r="AM100" i="1" s="1"/>
  <c r="AH100" i="1"/>
  <c r="AA100" i="1"/>
  <c r="Y100" i="1"/>
  <c r="Z100" i="1" s="1"/>
  <c r="G100" i="1"/>
  <c r="D100" i="1"/>
  <c r="C100" i="1"/>
  <c r="AL99" i="1"/>
  <c r="AK99" i="1"/>
  <c r="AJ99" i="1" a="1"/>
  <c r="AJ99" i="1" s="1"/>
  <c r="AN99" i="1" s="1"/>
  <c r="AI99" i="1" a="1"/>
  <c r="AI99" i="1" s="1"/>
  <c r="AM99" i="1" s="1"/>
  <c r="AH99" i="1"/>
  <c r="AA99" i="1"/>
  <c r="Y99" i="1"/>
  <c r="Z99" i="1" s="1"/>
  <c r="G99" i="1"/>
  <c r="D99" i="1"/>
  <c r="C99" i="1"/>
  <c r="AL98" i="1"/>
  <c r="AK98" i="1"/>
  <c r="AJ98" i="1" a="1"/>
  <c r="AJ98" i="1" s="1"/>
  <c r="AN98" i="1" s="1"/>
  <c r="AI98" i="1" a="1"/>
  <c r="AI98" i="1" s="1"/>
  <c r="AM98" i="1" s="1"/>
  <c r="AH98" i="1"/>
  <c r="AA98" i="1"/>
  <c r="Y98" i="1"/>
  <c r="Z98" i="1" s="1"/>
  <c r="G98" i="1"/>
  <c r="D98" i="1"/>
  <c r="C98" i="1"/>
  <c r="AL97" i="1"/>
  <c r="AK97" i="1"/>
  <c r="AJ97" i="1" a="1"/>
  <c r="AJ97" i="1" s="1"/>
  <c r="AN97" i="1" s="1"/>
  <c r="AI97" i="1" a="1"/>
  <c r="AI97" i="1" s="1"/>
  <c r="AM97" i="1" s="1"/>
  <c r="AH97" i="1"/>
  <c r="AA97" i="1"/>
  <c r="Y97" i="1"/>
  <c r="Z97" i="1" s="1"/>
  <c r="G97" i="1"/>
  <c r="D97" i="1"/>
  <c r="C97" i="1"/>
  <c r="AL96" i="1"/>
  <c r="AK96" i="1"/>
  <c r="AJ96" i="1" a="1"/>
  <c r="AJ96" i="1" s="1"/>
  <c r="AN96" i="1" s="1"/>
  <c r="AI96" i="1" a="1"/>
  <c r="AI96" i="1" s="1"/>
  <c r="AM96" i="1" s="1"/>
  <c r="AH96" i="1"/>
  <c r="AA96" i="1"/>
  <c r="Y96" i="1"/>
  <c r="Z96" i="1" s="1"/>
  <c r="G96" i="1"/>
  <c r="D96" i="1"/>
  <c r="C96" i="1"/>
  <c r="AL95" i="1"/>
  <c r="AK95" i="1"/>
  <c r="AJ95" i="1" a="1"/>
  <c r="AJ95" i="1" s="1"/>
  <c r="AN95" i="1" s="1"/>
  <c r="AI95" i="1" a="1"/>
  <c r="AI95" i="1" s="1"/>
  <c r="AM95" i="1" s="1"/>
  <c r="AH95" i="1"/>
  <c r="AA95" i="1"/>
  <c r="Y95" i="1"/>
  <c r="Z95" i="1" s="1"/>
  <c r="G95" i="1"/>
  <c r="D95" i="1"/>
  <c r="C95" i="1"/>
  <c r="AL94" i="1"/>
  <c r="AK94" i="1"/>
  <c r="AJ94" i="1" a="1"/>
  <c r="AJ94" i="1" s="1"/>
  <c r="AN94" i="1" s="1"/>
  <c r="AI94" i="1" a="1"/>
  <c r="AI94" i="1" s="1"/>
  <c r="AM94" i="1" s="1"/>
  <c r="AH94" i="1"/>
  <c r="AA94" i="1"/>
  <c r="Y94" i="1"/>
  <c r="Z94" i="1" s="1"/>
  <c r="G94" i="1"/>
  <c r="D94" i="1"/>
  <c r="C94" i="1"/>
  <c r="AL93" i="1"/>
  <c r="AK93" i="1"/>
  <c r="AJ93" i="1" a="1"/>
  <c r="AJ93" i="1" s="1"/>
  <c r="AN93" i="1" s="1"/>
  <c r="AI93" i="1" a="1"/>
  <c r="AI93" i="1" s="1"/>
  <c r="AM93" i="1" s="1"/>
  <c r="AH93" i="1"/>
  <c r="AA93" i="1"/>
  <c r="Y93" i="1"/>
  <c r="Z93" i="1" s="1"/>
  <c r="G93" i="1"/>
  <c r="D93" i="1"/>
  <c r="C93" i="1"/>
  <c r="AL92" i="1"/>
  <c r="AK92" i="1"/>
  <c r="AJ92" i="1" a="1"/>
  <c r="AJ92" i="1" s="1"/>
  <c r="AN92" i="1" s="1"/>
  <c r="AI92" i="1" a="1"/>
  <c r="AI92" i="1" s="1"/>
  <c r="AM92" i="1" s="1"/>
  <c r="AH92" i="1"/>
  <c r="AA92" i="1"/>
  <c r="Y92" i="1"/>
  <c r="Z92" i="1" s="1"/>
  <c r="G92" i="1"/>
  <c r="D92" i="1"/>
  <c r="C92" i="1"/>
  <c r="AL91" i="1"/>
  <c r="AK91" i="1"/>
  <c r="AJ91" i="1" a="1"/>
  <c r="AJ91" i="1" s="1"/>
  <c r="AN91" i="1" s="1"/>
  <c r="AI91" i="1" a="1"/>
  <c r="AI91" i="1" s="1"/>
  <c r="AM91" i="1" s="1"/>
  <c r="AH91" i="1"/>
  <c r="AA91" i="1"/>
  <c r="Y91" i="1"/>
  <c r="Z91" i="1" s="1"/>
  <c r="G91" i="1"/>
  <c r="D91" i="1"/>
  <c r="C91" i="1"/>
  <c r="AL90" i="1"/>
  <c r="AK90" i="1"/>
  <c r="AJ90" i="1" a="1"/>
  <c r="AJ90" i="1" s="1"/>
  <c r="AN90" i="1" s="1"/>
  <c r="AI90" i="1" a="1"/>
  <c r="AI90" i="1" s="1"/>
  <c r="AM90" i="1" s="1"/>
  <c r="AH90" i="1"/>
  <c r="AA90" i="1"/>
  <c r="Y90" i="1"/>
  <c r="Z90" i="1" s="1"/>
  <c r="G90" i="1"/>
  <c r="D90" i="1"/>
  <c r="C90" i="1"/>
  <c r="AL89" i="1"/>
  <c r="AK89" i="1"/>
  <c r="AJ89" i="1" a="1"/>
  <c r="AJ89" i="1" s="1"/>
  <c r="AN89" i="1" s="1"/>
  <c r="AI89" i="1" a="1"/>
  <c r="AI89" i="1" s="1"/>
  <c r="AM89" i="1" s="1"/>
  <c r="AH89" i="1"/>
  <c r="AA89" i="1"/>
  <c r="Y89" i="1"/>
  <c r="Z89" i="1" s="1"/>
  <c r="G89" i="1"/>
  <c r="D89" i="1"/>
  <c r="C89" i="1"/>
  <c r="AL88" i="1"/>
  <c r="AK88" i="1"/>
  <c r="AJ88" i="1" a="1"/>
  <c r="AJ88" i="1" s="1"/>
  <c r="AN88" i="1" s="1"/>
  <c r="AI88" i="1" a="1"/>
  <c r="AI88" i="1" s="1"/>
  <c r="AM88" i="1" s="1"/>
  <c r="AH88" i="1"/>
  <c r="AA88" i="1"/>
  <c r="Y88" i="1"/>
  <c r="Z88" i="1" s="1"/>
  <c r="G88" i="1"/>
  <c r="D88" i="1"/>
  <c r="C88" i="1"/>
  <c r="AL87" i="1"/>
  <c r="AK87" i="1"/>
  <c r="AJ87" i="1" a="1"/>
  <c r="AJ87" i="1" s="1"/>
  <c r="AN87" i="1" s="1"/>
  <c r="AI87" i="1" a="1"/>
  <c r="AI87" i="1" s="1"/>
  <c r="AM87" i="1" s="1"/>
  <c r="AH87" i="1"/>
  <c r="AA87" i="1"/>
  <c r="Y87" i="1"/>
  <c r="Z87" i="1" s="1"/>
  <c r="G87" i="1"/>
  <c r="D87" i="1"/>
  <c r="C87" i="1"/>
  <c r="AL86" i="1"/>
  <c r="AK86" i="1"/>
  <c r="AJ86" i="1" a="1"/>
  <c r="AJ86" i="1" s="1"/>
  <c r="AN86" i="1" s="1"/>
  <c r="AI86" i="1" a="1"/>
  <c r="AI86" i="1" s="1"/>
  <c r="AM86" i="1" s="1"/>
  <c r="AH86" i="1"/>
  <c r="AA86" i="1"/>
  <c r="Y86" i="1"/>
  <c r="Z86" i="1" s="1"/>
  <c r="G86" i="1"/>
  <c r="D86" i="1"/>
  <c r="C86" i="1"/>
  <c r="AL85" i="1"/>
  <c r="AK85" i="1"/>
  <c r="AJ85" i="1" a="1"/>
  <c r="AJ85" i="1" s="1"/>
  <c r="AN85" i="1" s="1"/>
  <c r="AI85" i="1" a="1"/>
  <c r="AI85" i="1" s="1"/>
  <c r="AM85" i="1" s="1"/>
  <c r="AH85" i="1"/>
  <c r="AA85" i="1"/>
  <c r="Y85" i="1"/>
  <c r="Z85" i="1" s="1"/>
  <c r="G85" i="1"/>
  <c r="D85" i="1"/>
  <c r="C85" i="1"/>
  <c r="AL84" i="1"/>
  <c r="AK84" i="1"/>
  <c r="AJ84" i="1" a="1"/>
  <c r="AJ84" i="1" s="1"/>
  <c r="AN84" i="1" s="1"/>
  <c r="AI84" i="1" a="1"/>
  <c r="AI84" i="1" s="1"/>
  <c r="AM84" i="1" s="1"/>
  <c r="AH84" i="1"/>
  <c r="AA84" i="1"/>
  <c r="Y84" i="1"/>
  <c r="Z84" i="1" s="1"/>
  <c r="G84" i="1"/>
  <c r="D84" i="1"/>
  <c r="C84" i="1"/>
  <c r="AL83" i="1"/>
  <c r="AK83" i="1"/>
  <c r="AJ83" i="1" a="1"/>
  <c r="AJ83" i="1" s="1"/>
  <c r="AN83" i="1" s="1"/>
  <c r="AI83" i="1" a="1"/>
  <c r="AI83" i="1" s="1"/>
  <c r="AM83" i="1" s="1"/>
  <c r="AH83" i="1"/>
  <c r="AA83" i="1"/>
  <c r="Y83" i="1"/>
  <c r="Z83" i="1" s="1"/>
  <c r="G83" i="1"/>
  <c r="D83" i="1"/>
  <c r="C83" i="1"/>
  <c r="AL82" i="1"/>
  <c r="AK82" i="1"/>
  <c r="AJ82" i="1" a="1"/>
  <c r="AJ82" i="1" s="1"/>
  <c r="AN82" i="1" s="1"/>
  <c r="AI82" i="1" a="1"/>
  <c r="AI82" i="1" s="1"/>
  <c r="AM82" i="1" s="1"/>
  <c r="AH82" i="1"/>
  <c r="AA82" i="1"/>
  <c r="Y82" i="1"/>
  <c r="Z82" i="1" s="1"/>
  <c r="G82" i="1"/>
  <c r="D82" i="1"/>
  <c r="C82" i="1"/>
  <c r="AL81" i="1"/>
  <c r="AK81" i="1"/>
  <c r="AJ81" i="1" a="1"/>
  <c r="AJ81" i="1" s="1"/>
  <c r="AN81" i="1" s="1"/>
  <c r="AI81" i="1" a="1"/>
  <c r="AI81" i="1" s="1"/>
  <c r="AM81" i="1" s="1"/>
  <c r="AH81" i="1"/>
  <c r="AA81" i="1"/>
  <c r="Y81" i="1"/>
  <c r="Z81" i="1" s="1"/>
  <c r="G81" i="1"/>
  <c r="D81" i="1"/>
  <c r="C81" i="1"/>
  <c r="AL80" i="1"/>
  <c r="AK80" i="1"/>
  <c r="AJ80" i="1" a="1"/>
  <c r="AJ80" i="1" s="1"/>
  <c r="AN80" i="1" s="1"/>
  <c r="AI80" i="1" a="1"/>
  <c r="AI80" i="1" s="1"/>
  <c r="AM80" i="1" s="1"/>
  <c r="AH80" i="1"/>
  <c r="AA80" i="1"/>
  <c r="Y80" i="1"/>
  <c r="Z80" i="1" s="1"/>
  <c r="G80" i="1"/>
  <c r="D80" i="1"/>
  <c r="C80" i="1"/>
  <c r="AL79" i="1"/>
  <c r="AK79" i="1"/>
  <c r="AJ79" i="1" a="1"/>
  <c r="AJ79" i="1" s="1"/>
  <c r="AN79" i="1" s="1"/>
  <c r="AI79" i="1" a="1"/>
  <c r="AI79" i="1" s="1"/>
  <c r="AM79" i="1" s="1"/>
  <c r="AH79" i="1"/>
  <c r="AA79" i="1"/>
  <c r="Y79" i="1"/>
  <c r="Z79" i="1" s="1"/>
  <c r="G79" i="1"/>
  <c r="D79" i="1"/>
  <c r="C79" i="1"/>
  <c r="AL78" i="1"/>
  <c r="AK78" i="1"/>
  <c r="AJ78" i="1" a="1"/>
  <c r="AJ78" i="1" s="1"/>
  <c r="AN78" i="1" s="1"/>
  <c r="AI78" i="1" a="1"/>
  <c r="AI78" i="1" s="1"/>
  <c r="AM78" i="1" s="1"/>
  <c r="AH78" i="1"/>
  <c r="AA78" i="1"/>
  <c r="Y78" i="1"/>
  <c r="Z78" i="1" s="1"/>
  <c r="G78" i="1"/>
  <c r="D78" i="1"/>
  <c r="C78" i="1"/>
  <c r="AL77" i="1"/>
  <c r="AK77" i="1"/>
  <c r="AJ77" i="1" a="1"/>
  <c r="AJ77" i="1" s="1"/>
  <c r="AN77" i="1" s="1"/>
  <c r="AI77" i="1" a="1"/>
  <c r="AI77" i="1" s="1"/>
  <c r="AM77" i="1" s="1"/>
  <c r="AH77" i="1"/>
  <c r="AA77" i="1"/>
  <c r="Y77" i="1"/>
  <c r="Z77" i="1" s="1"/>
  <c r="G77" i="1"/>
  <c r="D77" i="1"/>
  <c r="C77" i="1"/>
  <c r="AL76" i="1"/>
  <c r="AK76" i="1"/>
  <c r="AJ76" i="1" a="1"/>
  <c r="AJ76" i="1" s="1"/>
  <c r="AN76" i="1" s="1"/>
  <c r="AI76" i="1" a="1"/>
  <c r="AI76" i="1" s="1"/>
  <c r="AM76" i="1" s="1"/>
  <c r="AH76" i="1"/>
  <c r="AA76" i="1"/>
  <c r="Y76" i="1"/>
  <c r="Z76" i="1" s="1"/>
  <c r="G76" i="1"/>
  <c r="D76" i="1"/>
  <c r="C76" i="1"/>
  <c r="AL75" i="1"/>
  <c r="AK75" i="1"/>
  <c r="AJ75" i="1" a="1"/>
  <c r="AJ75" i="1" s="1"/>
  <c r="AN75" i="1" s="1"/>
  <c r="AI75" i="1" a="1"/>
  <c r="AI75" i="1" s="1"/>
  <c r="AM75" i="1" s="1"/>
  <c r="AH75" i="1"/>
  <c r="AA75" i="1"/>
  <c r="Y75" i="1"/>
  <c r="Z75" i="1" s="1"/>
  <c r="G75" i="1"/>
  <c r="D75" i="1"/>
  <c r="C75" i="1"/>
  <c r="AL74" i="1"/>
  <c r="AK74" i="1"/>
  <c r="AJ74" i="1" a="1"/>
  <c r="AJ74" i="1" s="1"/>
  <c r="AN74" i="1" s="1"/>
  <c r="AI74" i="1" a="1"/>
  <c r="AI74" i="1" s="1"/>
  <c r="AM74" i="1" s="1"/>
  <c r="AH74" i="1"/>
  <c r="AA74" i="1"/>
  <c r="Y74" i="1"/>
  <c r="Z74" i="1" s="1"/>
  <c r="G74" i="1"/>
  <c r="D74" i="1"/>
  <c r="C74" i="1"/>
  <c r="AL73" i="1"/>
  <c r="AK73" i="1"/>
  <c r="AJ73" i="1" a="1"/>
  <c r="AJ73" i="1" s="1"/>
  <c r="AN73" i="1" s="1"/>
  <c r="AI73" i="1" a="1"/>
  <c r="AI73" i="1" s="1"/>
  <c r="AM73" i="1" s="1"/>
  <c r="AH73" i="1"/>
  <c r="AA73" i="1"/>
  <c r="Y73" i="1"/>
  <c r="Z73" i="1" s="1"/>
  <c r="G73" i="1"/>
  <c r="D73" i="1"/>
  <c r="C73" i="1"/>
  <c r="AL72" i="1"/>
  <c r="AK72" i="1"/>
  <c r="AJ72" i="1" a="1"/>
  <c r="AJ72" i="1" s="1"/>
  <c r="AN72" i="1" s="1"/>
  <c r="AI72" i="1" a="1"/>
  <c r="AI72" i="1" s="1"/>
  <c r="AM72" i="1" s="1"/>
  <c r="AH72" i="1"/>
  <c r="AA72" i="1"/>
  <c r="Y72" i="1"/>
  <c r="Z72" i="1" s="1"/>
  <c r="G72" i="1"/>
  <c r="D72" i="1"/>
  <c r="C72" i="1"/>
  <c r="AL71" i="1"/>
  <c r="AK71" i="1"/>
  <c r="AJ71" i="1" a="1"/>
  <c r="AJ71" i="1" s="1"/>
  <c r="AN71" i="1" s="1"/>
  <c r="AI71" i="1" a="1"/>
  <c r="AI71" i="1" s="1"/>
  <c r="AM71" i="1" s="1"/>
  <c r="AH71" i="1"/>
  <c r="AA71" i="1"/>
  <c r="Y71" i="1"/>
  <c r="Z71" i="1" s="1"/>
  <c r="G71" i="1"/>
  <c r="D71" i="1"/>
  <c r="C71" i="1"/>
  <c r="AL70" i="1"/>
  <c r="AK70" i="1"/>
  <c r="AJ70" i="1" a="1"/>
  <c r="AJ70" i="1" s="1"/>
  <c r="AN70" i="1" s="1"/>
  <c r="AI70" i="1" a="1"/>
  <c r="AI70" i="1" s="1"/>
  <c r="AM70" i="1" s="1"/>
  <c r="AH70" i="1"/>
  <c r="AA70" i="1"/>
  <c r="Y70" i="1"/>
  <c r="Z70" i="1" s="1"/>
  <c r="G70" i="1"/>
  <c r="D70" i="1"/>
  <c r="C70" i="1"/>
  <c r="AL69" i="1"/>
  <c r="AK69" i="1"/>
  <c r="AJ69" i="1" a="1"/>
  <c r="AJ69" i="1" s="1"/>
  <c r="AN69" i="1" s="1"/>
  <c r="AI69" i="1" a="1"/>
  <c r="AI69" i="1" s="1"/>
  <c r="AM69" i="1" s="1"/>
  <c r="AH69" i="1"/>
  <c r="AA69" i="1"/>
  <c r="Y69" i="1"/>
  <c r="Z69" i="1" s="1"/>
  <c r="G69" i="1"/>
  <c r="D69" i="1"/>
  <c r="C69" i="1"/>
  <c r="AL68" i="1"/>
  <c r="AK68" i="1"/>
  <c r="AJ68" i="1" a="1"/>
  <c r="AJ68" i="1" s="1"/>
  <c r="AN68" i="1" s="1"/>
  <c r="AI68" i="1" a="1"/>
  <c r="AI68" i="1" s="1"/>
  <c r="AM68" i="1" s="1"/>
  <c r="AH68" i="1"/>
  <c r="AA68" i="1"/>
  <c r="Y68" i="1"/>
  <c r="Z68" i="1" s="1"/>
  <c r="G68" i="1"/>
  <c r="D68" i="1"/>
  <c r="C68" i="1"/>
  <c r="AL67" i="1"/>
  <c r="AK67" i="1"/>
  <c r="AJ67" i="1" a="1"/>
  <c r="AJ67" i="1" s="1"/>
  <c r="AN67" i="1" s="1"/>
  <c r="AI67" i="1" a="1"/>
  <c r="AI67" i="1" s="1"/>
  <c r="AM67" i="1" s="1"/>
  <c r="AH67" i="1"/>
  <c r="AA67" i="1"/>
  <c r="Y67" i="1"/>
  <c r="Z67" i="1" s="1"/>
  <c r="G67" i="1"/>
  <c r="D67" i="1"/>
  <c r="C67" i="1"/>
  <c r="AL66" i="1"/>
  <c r="AK66" i="1"/>
  <c r="AJ66" i="1" a="1"/>
  <c r="AJ66" i="1" s="1"/>
  <c r="AN66" i="1" s="1"/>
  <c r="AI66" i="1" a="1"/>
  <c r="AI66" i="1" s="1"/>
  <c r="AM66" i="1" s="1"/>
  <c r="AH66" i="1"/>
  <c r="AA66" i="1"/>
  <c r="Y66" i="1"/>
  <c r="Z66" i="1" s="1"/>
  <c r="G66" i="1"/>
  <c r="D66" i="1"/>
  <c r="C66" i="1"/>
  <c r="AL65" i="1"/>
  <c r="AK65" i="1"/>
  <c r="AJ65" i="1" a="1"/>
  <c r="AJ65" i="1" s="1"/>
  <c r="AN65" i="1" s="1"/>
  <c r="AI65" i="1" a="1"/>
  <c r="AI65" i="1" s="1"/>
  <c r="AM65" i="1" s="1"/>
  <c r="AH65" i="1"/>
  <c r="AA65" i="1"/>
  <c r="Y65" i="1"/>
  <c r="Z65" i="1" s="1"/>
  <c r="G65" i="1"/>
  <c r="D65" i="1"/>
  <c r="C65" i="1"/>
  <c r="AL64" i="1"/>
  <c r="AK64" i="1"/>
  <c r="AJ64" i="1" a="1"/>
  <c r="AJ64" i="1" s="1"/>
  <c r="AN64" i="1" s="1"/>
  <c r="AI64" i="1" a="1"/>
  <c r="AI64" i="1" s="1"/>
  <c r="AM64" i="1" s="1"/>
  <c r="AH64" i="1"/>
  <c r="AA64" i="1"/>
  <c r="Y64" i="1"/>
  <c r="Z64" i="1" s="1"/>
  <c r="G64" i="1"/>
  <c r="D64" i="1"/>
  <c r="C64" i="1"/>
  <c r="AL63" i="1"/>
  <c r="AK63" i="1"/>
  <c r="AJ63" i="1" a="1"/>
  <c r="AJ63" i="1" s="1"/>
  <c r="AN63" i="1" s="1"/>
  <c r="AI63" i="1" a="1"/>
  <c r="AI63" i="1" s="1"/>
  <c r="AM63" i="1" s="1"/>
  <c r="AH63" i="1"/>
  <c r="AA63" i="1"/>
  <c r="Y63" i="1"/>
  <c r="Z63" i="1" s="1"/>
  <c r="G63" i="1"/>
  <c r="D63" i="1"/>
  <c r="C63" i="1"/>
  <c r="AL62" i="1"/>
  <c r="AK62" i="1"/>
  <c r="AJ62" i="1" a="1"/>
  <c r="AJ62" i="1" s="1"/>
  <c r="AN62" i="1" s="1"/>
  <c r="AI62" i="1" a="1"/>
  <c r="AI62" i="1" s="1"/>
  <c r="AM62" i="1" s="1"/>
  <c r="AH62" i="1"/>
  <c r="AA62" i="1"/>
  <c r="Y62" i="1"/>
  <c r="Z62" i="1" s="1"/>
  <c r="G62" i="1"/>
  <c r="D62" i="1"/>
  <c r="C62" i="1"/>
  <c r="AL61" i="1"/>
  <c r="AK61" i="1"/>
  <c r="AJ61" i="1" a="1"/>
  <c r="AJ61" i="1" s="1"/>
  <c r="AN61" i="1" s="1"/>
  <c r="AI61" i="1" a="1"/>
  <c r="AI61" i="1" s="1"/>
  <c r="AM61" i="1" s="1"/>
  <c r="AH61" i="1"/>
  <c r="AA61" i="1"/>
  <c r="Y61" i="1"/>
  <c r="Z61" i="1" s="1"/>
  <c r="G61" i="1"/>
  <c r="D61" i="1"/>
  <c r="C61" i="1"/>
  <c r="AL60" i="1"/>
  <c r="AK60" i="1"/>
  <c r="AJ60" i="1" a="1"/>
  <c r="AJ60" i="1" s="1"/>
  <c r="AN60" i="1" s="1"/>
  <c r="AI60" i="1" a="1"/>
  <c r="AI60" i="1" s="1"/>
  <c r="AM60" i="1" s="1"/>
  <c r="AH60" i="1"/>
  <c r="AA60" i="1"/>
  <c r="Y60" i="1"/>
  <c r="Z60" i="1" s="1"/>
  <c r="G60" i="1"/>
  <c r="D60" i="1"/>
  <c r="C60" i="1"/>
  <c r="AL59" i="1"/>
  <c r="AK59" i="1"/>
  <c r="AJ59" i="1" a="1"/>
  <c r="AJ59" i="1" s="1"/>
  <c r="AN59" i="1" s="1"/>
  <c r="AI59" i="1" a="1"/>
  <c r="AI59" i="1" s="1"/>
  <c r="AM59" i="1" s="1"/>
  <c r="AH59" i="1"/>
  <c r="AA59" i="1"/>
  <c r="Y59" i="1"/>
  <c r="Z59" i="1" s="1"/>
  <c r="G59" i="1"/>
  <c r="D59" i="1"/>
  <c r="C59" i="1"/>
  <c r="AL58" i="1"/>
  <c r="AK58" i="1"/>
  <c r="AJ58" i="1" a="1"/>
  <c r="AJ58" i="1" s="1"/>
  <c r="AN58" i="1" s="1"/>
  <c r="AI58" i="1" a="1"/>
  <c r="AI58" i="1" s="1"/>
  <c r="AM58" i="1" s="1"/>
  <c r="AH58" i="1"/>
  <c r="AA58" i="1"/>
  <c r="Y58" i="1"/>
  <c r="Z58" i="1" s="1"/>
  <c r="G58" i="1"/>
  <c r="D58" i="1"/>
  <c r="C58" i="1"/>
  <c r="AL57" i="1"/>
  <c r="AK57" i="1"/>
  <c r="AJ57" i="1" a="1"/>
  <c r="AJ57" i="1" s="1"/>
  <c r="AN57" i="1" s="1"/>
  <c r="AI57" i="1" a="1"/>
  <c r="AI57" i="1" s="1"/>
  <c r="AM57" i="1" s="1"/>
  <c r="AH57" i="1"/>
  <c r="AA57" i="1"/>
  <c r="Y57" i="1"/>
  <c r="Z57" i="1" s="1"/>
  <c r="G57" i="1"/>
  <c r="D57" i="1"/>
  <c r="C57" i="1"/>
  <c r="AL56" i="1"/>
  <c r="AK56" i="1"/>
  <c r="AJ56" i="1" a="1"/>
  <c r="AJ56" i="1" s="1"/>
  <c r="AN56" i="1" s="1"/>
  <c r="AI56" i="1" a="1"/>
  <c r="AI56" i="1" s="1"/>
  <c r="AM56" i="1" s="1"/>
  <c r="AH56" i="1"/>
  <c r="AA56" i="1"/>
  <c r="Y56" i="1"/>
  <c r="Z56" i="1" s="1"/>
  <c r="G56" i="1"/>
  <c r="D56" i="1"/>
  <c r="C56" i="1"/>
  <c r="AL55" i="1"/>
  <c r="AK55" i="1"/>
  <c r="AJ55" i="1" a="1"/>
  <c r="AJ55" i="1" s="1"/>
  <c r="AN55" i="1" s="1"/>
  <c r="AI55" i="1" a="1"/>
  <c r="AI55" i="1" s="1"/>
  <c r="AM55" i="1" s="1"/>
  <c r="AH55" i="1"/>
  <c r="AA55" i="1"/>
  <c r="Y55" i="1"/>
  <c r="Z55" i="1" s="1"/>
  <c r="G55" i="1"/>
  <c r="D55" i="1"/>
  <c r="C55" i="1"/>
  <c r="AL54" i="1"/>
  <c r="AK54" i="1"/>
  <c r="AJ54" i="1" a="1"/>
  <c r="AJ54" i="1" s="1"/>
  <c r="AN54" i="1" s="1"/>
  <c r="AI54" i="1" a="1"/>
  <c r="AI54" i="1" s="1"/>
  <c r="AM54" i="1" s="1"/>
  <c r="AH54" i="1"/>
  <c r="AA54" i="1"/>
  <c r="Y54" i="1"/>
  <c r="Z54" i="1" s="1"/>
  <c r="G54" i="1"/>
  <c r="D54" i="1"/>
  <c r="C54" i="1"/>
  <c r="AL53" i="1"/>
  <c r="AK53" i="1"/>
  <c r="AJ53" i="1" a="1"/>
  <c r="AJ53" i="1" s="1"/>
  <c r="AN53" i="1" s="1"/>
  <c r="AI53" i="1" a="1"/>
  <c r="AI53" i="1" s="1"/>
  <c r="AM53" i="1" s="1"/>
  <c r="AH53" i="1"/>
  <c r="AA53" i="1"/>
  <c r="Y53" i="1"/>
  <c r="Z53" i="1" s="1"/>
  <c r="G53" i="1"/>
  <c r="D53" i="1"/>
  <c r="C53" i="1"/>
  <c r="AL52" i="1"/>
  <c r="AK52" i="1"/>
  <c r="AJ52" i="1" a="1"/>
  <c r="AJ52" i="1" s="1"/>
  <c r="AN52" i="1" s="1"/>
  <c r="AI52" i="1" a="1"/>
  <c r="AI52" i="1" s="1"/>
  <c r="AM52" i="1" s="1"/>
  <c r="AH52" i="1"/>
  <c r="AA52" i="1"/>
  <c r="Y52" i="1"/>
  <c r="Z52" i="1" s="1"/>
  <c r="G52" i="1"/>
  <c r="D52" i="1"/>
  <c r="C52" i="1"/>
  <c r="AL51" i="1"/>
  <c r="AK51" i="1"/>
  <c r="AJ51" i="1" a="1"/>
  <c r="AJ51" i="1" s="1"/>
  <c r="AN51" i="1" s="1"/>
  <c r="AI51" i="1" a="1"/>
  <c r="AI51" i="1" s="1"/>
  <c r="AM51" i="1" s="1"/>
  <c r="AH51" i="1"/>
  <c r="AA51" i="1"/>
  <c r="Y51" i="1"/>
  <c r="Z51" i="1" s="1"/>
  <c r="G51" i="1"/>
  <c r="D51" i="1"/>
  <c r="C51" i="1"/>
  <c r="AL50" i="1"/>
  <c r="AK50" i="1"/>
  <c r="AJ50" i="1" a="1"/>
  <c r="AJ50" i="1" s="1"/>
  <c r="AN50" i="1" s="1"/>
  <c r="AI50" i="1" a="1"/>
  <c r="AI50" i="1" s="1"/>
  <c r="AM50" i="1" s="1"/>
  <c r="AH50" i="1"/>
  <c r="AA50" i="1"/>
  <c r="Y50" i="1"/>
  <c r="Z50" i="1" s="1"/>
  <c r="G50" i="1"/>
  <c r="D50" i="1"/>
  <c r="C50" i="1"/>
  <c r="AL49" i="1"/>
  <c r="AK49" i="1"/>
  <c r="AJ49" i="1" a="1"/>
  <c r="AJ49" i="1" s="1"/>
  <c r="AN49" i="1" s="1"/>
  <c r="AI49" i="1" a="1"/>
  <c r="AI49" i="1" s="1"/>
  <c r="AM49" i="1" s="1"/>
  <c r="AH49" i="1"/>
  <c r="AA49" i="1"/>
  <c r="Y49" i="1"/>
  <c r="Z49" i="1" s="1"/>
  <c r="G49" i="1"/>
  <c r="D49" i="1"/>
  <c r="C49" i="1"/>
  <c r="AL48" i="1"/>
  <c r="AK48" i="1"/>
  <c r="AJ48" i="1" a="1"/>
  <c r="AJ48" i="1" s="1"/>
  <c r="AN48" i="1" s="1"/>
  <c r="AI48" i="1" a="1"/>
  <c r="AI48" i="1" s="1"/>
  <c r="AM48" i="1" s="1"/>
  <c r="AH48" i="1"/>
  <c r="AA48" i="1"/>
  <c r="Y48" i="1"/>
  <c r="Z48" i="1" s="1"/>
  <c r="G48" i="1"/>
  <c r="D48" i="1"/>
  <c r="C48" i="1"/>
  <c r="AL47" i="1"/>
  <c r="AK47" i="1"/>
  <c r="AJ47" i="1" a="1"/>
  <c r="AJ47" i="1" s="1"/>
  <c r="AN47" i="1" s="1"/>
  <c r="AI47" i="1" a="1"/>
  <c r="AI47" i="1" s="1"/>
  <c r="AM47" i="1" s="1"/>
  <c r="AH47" i="1"/>
  <c r="AA47" i="1"/>
  <c r="Y47" i="1"/>
  <c r="Z47" i="1" s="1"/>
  <c r="G47" i="1"/>
  <c r="D47" i="1"/>
  <c r="C47" i="1"/>
  <c r="AL46" i="1"/>
  <c r="AK46" i="1"/>
  <c r="AJ46" i="1" a="1"/>
  <c r="AJ46" i="1" s="1"/>
  <c r="AN46" i="1" s="1"/>
  <c r="AI46" i="1" a="1"/>
  <c r="AI46" i="1" s="1"/>
  <c r="AM46" i="1" s="1"/>
  <c r="AH46" i="1"/>
  <c r="AA46" i="1"/>
  <c r="Y46" i="1"/>
  <c r="Z46" i="1" s="1"/>
  <c r="G46" i="1"/>
  <c r="D46" i="1"/>
  <c r="C46" i="1"/>
  <c r="AL45" i="1"/>
  <c r="AK45" i="1"/>
  <c r="AJ45" i="1" a="1"/>
  <c r="AJ45" i="1" s="1"/>
  <c r="AN45" i="1" s="1"/>
  <c r="AI45" i="1" a="1"/>
  <c r="AI45" i="1" s="1"/>
  <c r="AM45" i="1" s="1"/>
  <c r="AH45" i="1"/>
  <c r="AA45" i="1"/>
  <c r="Y45" i="1"/>
  <c r="Z45" i="1" s="1"/>
  <c r="G45" i="1"/>
  <c r="D45" i="1"/>
  <c r="C45" i="1"/>
  <c r="AL44" i="1"/>
  <c r="AK44" i="1"/>
  <c r="AJ44" i="1" a="1"/>
  <c r="AJ44" i="1" s="1"/>
  <c r="AN44" i="1" s="1"/>
  <c r="AI44" i="1" a="1"/>
  <c r="AI44" i="1" s="1"/>
  <c r="AM44" i="1" s="1"/>
  <c r="AH44" i="1"/>
  <c r="AA44" i="1"/>
  <c r="Y44" i="1"/>
  <c r="Z44" i="1" s="1"/>
  <c r="G44" i="1"/>
  <c r="D44" i="1"/>
  <c r="C44" i="1"/>
  <c r="AL43" i="1"/>
  <c r="AK43" i="1"/>
  <c r="AJ43" i="1" a="1"/>
  <c r="AJ43" i="1" s="1"/>
  <c r="AN43" i="1" s="1"/>
  <c r="AI43" i="1" a="1"/>
  <c r="AI43" i="1" s="1"/>
  <c r="AM43" i="1" s="1"/>
  <c r="AH43" i="1"/>
  <c r="AA43" i="1"/>
  <c r="Y43" i="1"/>
  <c r="Z43" i="1" s="1"/>
  <c r="G43" i="1"/>
  <c r="D43" i="1"/>
  <c r="C43" i="1"/>
  <c r="AL42" i="1"/>
  <c r="AK42" i="1"/>
  <c r="AJ42" i="1" a="1"/>
  <c r="AJ42" i="1" s="1"/>
  <c r="AN42" i="1" s="1"/>
  <c r="AI42" i="1" a="1"/>
  <c r="AI42" i="1" s="1"/>
  <c r="AM42" i="1" s="1"/>
  <c r="AH42" i="1"/>
  <c r="AA42" i="1"/>
  <c r="Y42" i="1"/>
  <c r="Z42" i="1" s="1"/>
  <c r="G42" i="1"/>
  <c r="D42" i="1"/>
  <c r="C42" i="1"/>
  <c r="AL41" i="1"/>
  <c r="AK41" i="1"/>
  <c r="AJ41" i="1" a="1"/>
  <c r="AJ41" i="1" s="1"/>
  <c r="AN41" i="1" s="1"/>
  <c r="AI41" i="1" a="1"/>
  <c r="AI41" i="1" s="1"/>
  <c r="AM41" i="1" s="1"/>
  <c r="AH41" i="1"/>
  <c r="AA41" i="1"/>
  <c r="Y41" i="1"/>
  <c r="Z41" i="1" s="1"/>
  <c r="G41" i="1"/>
  <c r="D41" i="1"/>
  <c r="C41" i="1"/>
  <c r="AL40" i="1"/>
  <c r="AK40" i="1"/>
  <c r="AJ40" i="1" a="1"/>
  <c r="AJ40" i="1" s="1"/>
  <c r="AN40" i="1" s="1"/>
  <c r="AI40" i="1" a="1"/>
  <c r="AI40" i="1" s="1"/>
  <c r="AM40" i="1" s="1"/>
  <c r="AH40" i="1"/>
  <c r="AA40" i="1"/>
  <c r="Y40" i="1"/>
  <c r="Z40" i="1" s="1"/>
  <c r="G40" i="1"/>
  <c r="D40" i="1"/>
  <c r="C40" i="1"/>
  <c r="AL39" i="1"/>
  <c r="AK39" i="1"/>
  <c r="AJ39" i="1" a="1"/>
  <c r="AJ39" i="1" s="1"/>
  <c r="AN39" i="1" s="1"/>
  <c r="AI39" i="1" a="1"/>
  <c r="AI39" i="1" s="1"/>
  <c r="AM39" i="1" s="1"/>
  <c r="AH39" i="1"/>
  <c r="AA39" i="1"/>
  <c r="Y39" i="1"/>
  <c r="Z39" i="1" s="1"/>
  <c r="G39" i="1"/>
  <c r="D39" i="1"/>
  <c r="C39" i="1"/>
  <c r="AL38" i="1"/>
  <c r="AK38" i="1"/>
  <c r="AJ38" i="1" a="1"/>
  <c r="AJ38" i="1" s="1"/>
  <c r="AN38" i="1" s="1"/>
  <c r="AI38" i="1" a="1"/>
  <c r="AI38" i="1" s="1"/>
  <c r="AM38" i="1" s="1"/>
  <c r="AH38" i="1"/>
  <c r="AA38" i="1"/>
  <c r="Y38" i="1"/>
  <c r="Z38" i="1" s="1"/>
  <c r="G38" i="1"/>
  <c r="D38" i="1"/>
  <c r="C38" i="1"/>
  <c r="AL37" i="1"/>
  <c r="AK37" i="1"/>
  <c r="AJ37" i="1" a="1"/>
  <c r="AJ37" i="1" s="1"/>
  <c r="AN37" i="1" s="1"/>
  <c r="AI37" i="1" a="1"/>
  <c r="AI37" i="1" s="1"/>
  <c r="AM37" i="1" s="1"/>
  <c r="AH37" i="1"/>
  <c r="AA37" i="1"/>
  <c r="Y37" i="1"/>
  <c r="Z37" i="1" s="1"/>
  <c r="G37" i="1"/>
  <c r="D37" i="1"/>
  <c r="C37" i="1"/>
  <c r="AL36" i="1"/>
  <c r="AK36" i="1"/>
  <c r="AJ36" i="1" a="1"/>
  <c r="AJ36" i="1" s="1"/>
  <c r="AN36" i="1" s="1"/>
  <c r="AI36" i="1" a="1"/>
  <c r="AI36" i="1" s="1"/>
  <c r="AM36" i="1" s="1"/>
  <c r="AH36" i="1"/>
  <c r="AA36" i="1"/>
  <c r="Y36" i="1"/>
  <c r="Z36" i="1" s="1"/>
  <c r="G36" i="1"/>
  <c r="D36" i="1"/>
  <c r="C36" i="1"/>
  <c r="AL35" i="1"/>
  <c r="AK35" i="1"/>
  <c r="AJ35" i="1" a="1"/>
  <c r="AJ35" i="1" s="1"/>
  <c r="AN35" i="1" s="1"/>
  <c r="AI35" i="1" a="1"/>
  <c r="AI35" i="1" s="1"/>
  <c r="AM35" i="1" s="1"/>
  <c r="AH35" i="1"/>
  <c r="AA35" i="1"/>
  <c r="Y35" i="1"/>
  <c r="Z35" i="1" s="1"/>
  <c r="G35" i="1"/>
  <c r="D35" i="1"/>
  <c r="C35" i="1"/>
  <c r="AL34" i="1"/>
  <c r="AK34" i="1"/>
  <c r="AJ34" i="1" a="1"/>
  <c r="AJ34" i="1" s="1"/>
  <c r="AN34" i="1" s="1"/>
  <c r="AI34" i="1" a="1"/>
  <c r="AI34" i="1" s="1"/>
  <c r="AM34" i="1" s="1"/>
  <c r="AH34" i="1"/>
  <c r="AA34" i="1"/>
  <c r="Y34" i="1"/>
  <c r="Z34" i="1" s="1"/>
  <c r="G34" i="1"/>
  <c r="D34" i="1"/>
  <c r="C34" i="1"/>
  <c r="AL33" i="1"/>
  <c r="AK33" i="1"/>
  <c r="AJ33" i="1" a="1"/>
  <c r="AJ33" i="1" s="1"/>
  <c r="AN33" i="1" s="1"/>
  <c r="AI33" i="1" a="1"/>
  <c r="AI33" i="1" s="1"/>
  <c r="AM33" i="1" s="1"/>
  <c r="AH33" i="1"/>
  <c r="AA33" i="1"/>
  <c r="Y33" i="1"/>
  <c r="Z33" i="1" s="1"/>
  <c r="G33" i="1"/>
  <c r="D33" i="1"/>
  <c r="C33" i="1"/>
  <c r="AL32" i="1"/>
  <c r="AK32" i="1"/>
  <c r="AJ32" i="1" a="1"/>
  <c r="AJ32" i="1" s="1"/>
  <c r="AN32" i="1" s="1"/>
  <c r="AI32" i="1" a="1"/>
  <c r="AI32" i="1" s="1"/>
  <c r="AM32" i="1" s="1"/>
  <c r="AH32" i="1"/>
  <c r="AA32" i="1"/>
  <c r="Y32" i="1"/>
  <c r="Z32" i="1" s="1"/>
  <c r="G32" i="1"/>
  <c r="D32" i="1"/>
  <c r="C32" i="1"/>
  <c r="AL31" i="1"/>
  <c r="AK31" i="1"/>
  <c r="AJ31" i="1" a="1"/>
  <c r="AJ31" i="1" s="1"/>
  <c r="AN31" i="1" s="1"/>
  <c r="AI31" i="1" a="1"/>
  <c r="AI31" i="1" s="1"/>
  <c r="AM31" i="1" s="1"/>
  <c r="AH31" i="1"/>
  <c r="AA31" i="1"/>
  <c r="Y31" i="1"/>
  <c r="Z31" i="1" s="1"/>
  <c r="G31" i="1"/>
  <c r="D31" i="1"/>
  <c r="C31" i="1"/>
  <c r="AL30" i="1"/>
  <c r="AK30" i="1"/>
  <c r="AJ30" i="1" a="1"/>
  <c r="AJ30" i="1" s="1"/>
  <c r="AN30" i="1" s="1"/>
  <c r="AI30" i="1" a="1"/>
  <c r="AI30" i="1" s="1"/>
  <c r="AM30" i="1" s="1"/>
  <c r="AH30" i="1"/>
  <c r="AA30" i="1"/>
  <c r="Y30" i="1"/>
  <c r="Z30" i="1" s="1"/>
  <c r="G30" i="1"/>
  <c r="D30" i="1"/>
  <c r="C30" i="1"/>
  <c r="AL29" i="1"/>
  <c r="AK29" i="1"/>
  <c r="AJ29" i="1" a="1"/>
  <c r="AJ29" i="1" s="1"/>
  <c r="AN29" i="1" s="1"/>
  <c r="AI29" i="1" a="1"/>
  <c r="AI29" i="1" s="1"/>
  <c r="AM29" i="1" s="1"/>
  <c r="AH29" i="1"/>
  <c r="AA29" i="1"/>
  <c r="Y29" i="1"/>
  <c r="Z29" i="1" s="1"/>
  <c r="G29" i="1"/>
  <c r="D29" i="1"/>
  <c r="C29" i="1"/>
  <c r="AL28" i="1"/>
  <c r="AK28" i="1"/>
  <c r="AJ28" i="1" a="1"/>
  <c r="AJ28" i="1" s="1"/>
  <c r="AN28" i="1" s="1"/>
  <c r="AI28" i="1" a="1"/>
  <c r="AI28" i="1" s="1"/>
  <c r="AM28" i="1" s="1"/>
  <c r="AH28" i="1"/>
  <c r="AA28" i="1"/>
  <c r="Y28" i="1"/>
  <c r="Z28" i="1" s="1"/>
  <c r="G28" i="1"/>
  <c r="D28" i="1"/>
  <c r="C28" i="1"/>
  <c r="AL27" i="1"/>
  <c r="AK27" i="1"/>
  <c r="AJ27" i="1" a="1"/>
  <c r="AJ27" i="1" s="1"/>
  <c r="AN27" i="1" s="1"/>
  <c r="AI27" i="1" a="1"/>
  <c r="AI27" i="1" s="1"/>
  <c r="AM27" i="1" s="1"/>
  <c r="AH27" i="1"/>
  <c r="AA27" i="1"/>
  <c r="Y27" i="1"/>
  <c r="Z27" i="1" s="1"/>
  <c r="G27" i="1"/>
  <c r="D27" i="1"/>
  <c r="C27" i="1"/>
  <c r="AL26" i="1"/>
  <c r="AK26" i="1"/>
  <c r="AJ26" i="1" a="1"/>
  <c r="AJ26" i="1" s="1"/>
  <c r="AN26" i="1" s="1"/>
  <c r="AI26" i="1" a="1"/>
  <c r="AI26" i="1" s="1"/>
  <c r="AM26" i="1" s="1"/>
  <c r="AH26" i="1"/>
  <c r="AA26" i="1"/>
  <c r="Y26" i="1"/>
  <c r="Z26" i="1" s="1"/>
  <c r="G26" i="1"/>
  <c r="D26" i="1"/>
  <c r="C26" i="1"/>
  <c r="AL25" i="1"/>
  <c r="AK25" i="1"/>
  <c r="AJ25" i="1" a="1"/>
  <c r="AJ25" i="1" s="1"/>
  <c r="AN25" i="1" s="1"/>
  <c r="AI25" i="1" a="1"/>
  <c r="AI25" i="1" s="1"/>
  <c r="AM25" i="1" s="1"/>
  <c r="AH25" i="1"/>
  <c r="AA25" i="1"/>
  <c r="Y25" i="1"/>
  <c r="Z25" i="1" s="1"/>
  <c r="G25" i="1"/>
  <c r="D25" i="1"/>
  <c r="C25" i="1"/>
  <c r="AL24" i="1"/>
  <c r="AK24" i="1"/>
  <c r="AJ24" i="1" a="1"/>
  <c r="AJ24" i="1" s="1"/>
  <c r="AN24" i="1" s="1"/>
  <c r="AI24" i="1" a="1"/>
  <c r="AI24" i="1" s="1"/>
  <c r="AM24" i="1" s="1"/>
  <c r="AH24" i="1"/>
  <c r="AA24" i="1"/>
  <c r="Y24" i="1"/>
  <c r="Z24" i="1" s="1"/>
  <c r="G24" i="1"/>
  <c r="D24" i="1"/>
  <c r="C24" i="1"/>
  <c r="AL23" i="1"/>
  <c r="AK23" i="1"/>
  <c r="AJ23" i="1" a="1"/>
  <c r="AJ23" i="1" s="1"/>
  <c r="AN23" i="1" s="1"/>
  <c r="AI23" i="1" a="1"/>
  <c r="AI23" i="1" s="1"/>
  <c r="AM23" i="1" s="1"/>
  <c r="AH23" i="1"/>
  <c r="AA23" i="1"/>
  <c r="Y23" i="1"/>
  <c r="Z23" i="1" s="1"/>
  <c r="G23" i="1"/>
  <c r="D23" i="1"/>
  <c r="C23" i="1"/>
  <c r="AL22" i="1"/>
  <c r="AK22" i="1"/>
  <c r="AJ22" i="1" a="1"/>
  <c r="AJ22" i="1" s="1"/>
  <c r="AN22" i="1" s="1"/>
  <c r="AI22" i="1" a="1"/>
  <c r="AI22" i="1" s="1"/>
  <c r="AM22" i="1" s="1"/>
  <c r="AH22" i="1"/>
  <c r="AA22" i="1"/>
  <c r="Y22" i="1"/>
  <c r="Z22" i="1" s="1"/>
  <c r="G22" i="1"/>
  <c r="D22" i="1"/>
  <c r="C22" i="1"/>
  <c r="AL21" i="1"/>
  <c r="AK21" i="1"/>
  <c r="AJ21" i="1" a="1"/>
  <c r="AJ21" i="1" s="1"/>
  <c r="AN21" i="1" s="1"/>
  <c r="AI21" i="1" a="1"/>
  <c r="AI21" i="1" s="1"/>
  <c r="AM21" i="1" s="1"/>
  <c r="AH21" i="1"/>
  <c r="AA21" i="1"/>
  <c r="Y21" i="1"/>
  <c r="Z21" i="1" s="1"/>
  <c r="G21" i="1"/>
  <c r="D21" i="1"/>
  <c r="C21" i="1"/>
  <c r="AL20" i="1"/>
  <c r="AK20" i="1"/>
  <c r="AJ20" i="1" a="1"/>
  <c r="AJ20" i="1" s="1"/>
  <c r="AN20" i="1" s="1"/>
  <c r="AI20" i="1" a="1"/>
  <c r="AI20" i="1" s="1"/>
  <c r="AM20" i="1" s="1"/>
  <c r="AH20" i="1"/>
  <c r="AA20" i="1"/>
  <c r="Y20" i="1"/>
  <c r="Z20" i="1" s="1"/>
  <c r="G20" i="1"/>
  <c r="D20" i="1"/>
  <c r="C20" i="1"/>
  <c r="AL19" i="1"/>
  <c r="AK19" i="1"/>
  <c r="AJ19" i="1" a="1"/>
  <c r="AJ19" i="1" s="1"/>
  <c r="AN19" i="1" s="1"/>
  <c r="AI19" i="1" a="1"/>
  <c r="AI19" i="1" s="1"/>
  <c r="AM19" i="1" s="1"/>
  <c r="AH19" i="1"/>
  <c r="AA19" i="1"/>
  <c r="Y19" i="1"/>
  <c r="Z19" i="1" s="1"/>
  <c r="G19" i="1"/>
  <c r="D19" i="1"/>
  <c r="C19" i="1"/>
  <c r="AL18" i="1"/>
  <c r="AK18" i="1"/>
  <c r="AJ18" i="1" a="1"/>
  <c r="AJ18" i="1" s="1"/>
  <c r="AN18" i="1" s="1"/>
  <c r="AI18" i="1" a="1"/>
  <c r="AI18" i="1" s="1"/>
  <c r="AM18" i="1" s="1"/>
  <c r="AH18" i="1"/>
  <c r="AA18" i="1"/>
  <c r="Y18" i="1"/>
  <c r="Z18" i="1" s="1"/>
  <c r="G18" i="1"/>
  <c r="D18" i="1"/>
  <c r="C18" i="1"/>
  <c r="AL17" i="1"/>
  <c r="AK17" i="1"/>
  <c r="AJ17" i="1" a="1"/>
  <c r="AJ17" i="1" s="1"/>
  <c r="AN17" i="1" s="1"/>
  <c r="AI17" i="1" a="1"/>
  <c r="AI17" i="1" s="1"/>
  <c r="AM17" i="1" s="1"/>
  <c r="AH17" i="1"/>
  <c r="AA17" i="1"/>
  <c r="Y17" i="1"/>
  <c r="Z17" i="1" s="1"/>
  <c r="G17" i="1"/>
  <c r="D17" i="1"/>
  <c r="C17" i="1"/>
  <c r="AL16" i="1"/>
  <c r="AK16" i="1"/>
  <c r="AJ16" i="1" a="1"/>
  <c r="AJ16" i="1" s="1"/>
  <c r="AN16" i="1" s="1"/>
  <c r="AI16" i="1" a="1"/>
  <c r="AI16" i="1" s="1"/>
  <c r="AM16" i="1" s="1"/>
  <c r="AH16" i="1"/>
  <c r="AA16" i="1"/>
  <c r="Y16" i="1"/>
  <c r="Z16" i="1" s="1"/>
  <c r="G16" i="1"/>
  <c r="D16" i="1"/>
  <c r="C16" i="1"/>
  <c r="AL15" i="1"/>
  <c r="AK15" i="1"/>
  <c r="AJ15" i="1" a="1"/>
  <c r="AJ15" i="1" s="1"/>
  <c r="AN15" i="1" s="1"/>
  <c r="AI15" i="1" a="1"/>
  <c r="AI15" i="1" s="1"/>
  <c r="AM15" i="1" s="1"/>
  <c r="AH15" i="1"/>
  <c r="AA15" i="1"/>
  <c r="Y15" i="1"/>
  <c r="Z15" i="1" s="1"/>
  <c r="G15" i="1"/>
  <c r="D15" i="1"/>
  <c r="C15" i="1"/>
  <c r="AL14" i="1"/>
  <c r="AK14" i="1"/>
  <c r="AJ14" i="1" a="1"/>
  <c r="AJ14" i="1" s="1"/>
  <c r="AN14" i="1" s="1"/>
  <c r="AI14" i="1" a="1"/>
  <c r="AI14" i="1" s="1"/>
  <c r="AM14" i="1" s="1"/>
  <c r="AH14" i="1"/>
  <c r="AA14" i="1"/>
  <c r="Y14" i="1"/>
  <c r="Z14" i="1" s="1"/>
  <c r="G14" i="1"/>
  <c r="D14" i="1"/>
  <c r="C14" i="1"/>
  <c r="AL13" i="1"/>
  <c r="AK13" i="1"/>
  <c r="AJ13" i="1" a="1"/>
  <c r="AJ13" i="1" s="1"/>
  <c r="AN13" i="1" s="1"/>
  <c r="AI13" i="1" a="1"/>
  <c r="AI13" i="1" s="1"/>
  <c r="AM13" i="1" s="1"/>
  <c r="AH13" i="1"/>
  <c r="AA13" i="1"/>
  <c r="Y13" i="1"/>
  <c r="Z13" i="1" s="1"/>
  <c r="G13" i="1"/>
  <c r="D13" i="1"/>
  <c r="C13" i="1"/>
  <c r="AL12" i="1"/>
  <c r="AK12" i="1"/>
  <c r="AJ12" i="1" a="1"/>
  <c r="AJ12" i="1" s="1"/>
  <c r="AN12" i="1" s="1"/>
  <c r="AI12" i="1" a="1"/>
  <c r="AI12" i="1" s="1"/>
  <c r="AM12" i="1" s="1"/>
  <c r="AH12" i="1"/>
  <c r="AA12" i="1"/>
  <c r="Y12" i="1"/>
  <c r="Z12" i="1" s="1"/>
  <c r="G12" i="1"/>
  <c r="D12" i="1"/>
  <c r="C12" i="1"/>
  <c r="AL11" i="1"/>
  <c r="AK11" i="1"/>
  <c r="AJ11" i="1" a="1"/>
  <c r="AJ11" i="1" s="1"/>
  <c r="AN11" i="1" s="1"/>
  <c r="AI11" i="1" a="1"/>
  <c r="AI11" i="1" s="1"/>
  <c r="AM11" i="1" s="1"/>
  <c r="AH11" i="1"/>
  <c r="AA11" i="1"/>
  <c r="Y11" i="1"/>
  <c r="Z11" i="1" s="1"/>
  <c r="G11" i="1"/>
  <c r="D11" i="1"/>
  <c r="C11" i="1"/>
  <c r="AL10" i="1"/>
  <c r="AK10" i="1"/>
  <c r="AJ10" i="1" a="1"/>
  <c r="AJ10" i="1" s="1"/>
  <c r="AN10" i="1" s="1"/>
  <c r="AI10" i="1" a="1"/>
  <c r="AI10" i="1" s="1"/>
  <c r="AM10" i="1" s="1"/>
  <c r="AH10" i="1"/>
  <c r="AA10" i="1"/>
  <c r="Y10" i="1"/>
  <c r="Z10" i="1" s="1"/>
  <c r="G10" i="1"/>
  <c r="D10" i="1"/>
  <c r="C10" i="1"/>
  <c r="AL9" i="1"/>
  <c r="AK9" i="1"/>
  <c r="AJ9" i="1" a="1"/>
  <c r="AJ9" i="1" s="1"/>
  <c r="AN9" i="1" s="1"/>
  <c r="AI9" i="1" a="1"/>
  <c r="AI9" i="1" s="1"/>
  <c r="AM9" i="1" s="1"/>
  <c r="AH9" i="1"/>
  <c r="AA9" i="1"/>
  <c r="Y9" i="1"/>
  <c r="Z9" i="1" s="1"/>
  <c r="G9" i="1"/>
  <c r="D9" i="1"/>
  <c r="C9" i="1"/>
  <c r="AL8" i="1"/>
  <c r="AK8" i="1"/>
  <c r="AJ8" i="1" a="1"/>
  <c r="AJ8" i="1" s="1"/>
  <c r="AN8" i="1" s="1"/>
  <c r="AI8" i="1" a="1"/>
  <c r="AI8" i="1" s="1"/>
  <c r="AM8" i="1" s="1"/>
  <c r="AH8" i="1"/>
  <c r="AA8" i="1"/>
  <c r="Y8" i="1"/>
  <c r="Z8" i="1" s="1"/>
  <c r="G8" i="1"/>
  <c r="D8" i="1"/>
  <c r="C8" i="1"/>
  <c r="AL7" i="1"/>
  <c r="AK7" i="1"/>
  <c r="AJ7" i="1" a="1"/>
  <c r="AJ7" i="1" s="1"/>
  <c r="AN7" i="1" s="1"/>
  <c r="AI7" i="1" a="1"/>
  <c r="AI7" i="1" s="1"/>
  <c r="AM7" i="1" s="1"/>
  <c r="AH7" i="1"/>
  <c r="AA7" i="1"/>
  <c r="Y7" i="1"/>
  <c r="Z7" i="1" s="1"/>
  <c r="G7" i="1"/>
  <c r="D7" i="1"/>
  <c r="C7" i="1"/>
  <c r="AL6" i="1"/>
  <c r="AK6" i="1"/>
  <c r="AJ6" i="1" a="1"/>
  <c r="AJ6" i="1" s="1"/>
  <c r="AN6" i="1" s="1"/>
  <c r="AI6" i="1" a="1"/>
  <c r="AI6" i="1" s="1"/>
  <c r="AM6" i="1" s="1"/>
  <c r="AH6" i="1"/>
  <c r="AA6" i="1"/>
  <c r="Y6" i="1"/>
  <c r="Z6" i="1" s="1"/>
  <c r="G6" i="1"/>
  <c r="D6" i="1"/>
  <c r="C6" i="1"/>
  <c r="AJ5" i="1" a="1"/>
  <c r="AJ5" i="1" s="1"/>
  <c r="AN5" i="1" s="1"/>
  <c r="AI5" i="1" a="1"/>
  <c r="AI5" i="1" s="1"/>
  <c r="AM5" i="1" s="1"/>
  <c r="AH5" i="1"/>
  <c r="AA5" i="1"/>
  <c r="Y5" i="1"/>
  <c r="Z5" i="1" s="1"/>
  <c r="G5" i="1"/>
  <c r="D5" i="1"/>
  <c r="C5" i="1"/>
  <c r="B2" i="1" a="1"/>
  <c r="B2" i="1" s="1"/>
  <c r="B1" i="1"/>
  <c r="Z1386" i="1" l="1"/>
  <c r="Z1387" i="1"/>
  <c r="Z1380" i="1"/>
  <c r="Z1312" i="1"/>
  <c r="Z1286" i="1"/>
  <c r="Z1402" i="1"/>
  <c r="Z1385" i="1"/>
  <c r="Z1435" i="1"/>
  <c r="Z1449" i="1"/>
  <c r="Z1289" i="1"/>
  <c r="Z1439" i="1"/>
  <c r="Z1446" i="1"/>
  <c r="X1385" i="1"/>
  <c r="Z1288" i="1"/>
  <c r="Z1234" i="1"/>
  <c r="Z1287" i="1"/>
  <c r="Z1433" i="1"/>
  <c r="Z1317" i="1"/>
  <c r="Z1378" i="1"/>
  <c r="Z1405" i="1"/>
  <c r="Z1319" i="1"/>
  <c r="Z1447" i="1"/>
  <c r="Z1314" i="1"/>
  <c r="Z1384" i="1"/>
  <c r="Z1398" i="1"/>
  <c r="Z1401" i="1"/>
  <c r="Z1427" i="1"/>
  <c r="Z1379" i="1"/>
  <c r="Z1424" i="1"/>
  <c r="Z1381" i="1"/>
  <c r="Z1400" i="1"/>
  <c r="Z1403" i="1"/>
  <c r="Z1441" i="1"/>
  <c r="Z1275" i="1"/>
  <c r="Z1388" i="1"/>
  <c r="Z1426" i="1"/>
  <c r="AI1" i="1"/>
  <c r="AH1" i="1"/>
  <c r="H1" i="1" a="1"/>
  <c r="H1" i="1" s="1"/>
  <c r="Z1382" i="1"/>
  <c r="Z1311" i="1"/>
  <c r="Z1365" i="1"/>
  <c r="Z1425" i="1"/>
  <c r="Z1353" i="1"/>
  <c r="Z1376" i="1"/>
  <c r="Z1272" i="1"/>
  <c r="Z1406" i="1"/>
  <c r="Z1437" i="1"/>
  <c r="Z1434" i="1"/>
  <c r="Z1390" i="1"/>
  <c r="Z1453" i="1"/>
  <c r="Z1318" i="1"/>
  <c r="Z1389" i="1"/>
  <c r="Z1436" i="1"/>
  <c r="Z1452" i="1"/>
  <c r="Z1273" i="1"/>
  <c r="Z1284" i="1"/>
  <c r="Z1431" i="1"/>
  <c r="X1431" i="1"/>
  <c r="X1317" i="1"/>
  <c r="Z1440" i="1"/>
  <c r="X1440" i="1"/>
  <c r="Z1377" i="1"/>
  <c r="X1377" i="1"/>
  <c r="Z1316" i="1"/>
  <c r="X1316" i="1"/>
  <c r="Z1430" i="1"/>
  <c r="X1430" i="1"/>
  <c r="Z1285" i="1"/>
  <c r="Z1313" i="1"/>
  <c r="X1313" i="1"/>
  <c r="X1318" i="1"/>
  <c r="Z1274" i="1"/>
  <c r="Z1315" i="1"/>
  <c r="X1315" i="1"/>
  <c r="Z1397" i="1"/>
  <c r="X1397" i="1"/>
  <c r="Z1383" i="1"/>
  <c r="X1383" i="1"/>
  <c r="Z1404" i="1"/>
  <c r="Z1448" i="1"/>
  <c r="X1448" i="1"/>
  <c r="X1311" i="1"/>
  <c r="Z1399" i="1"/>
  <c r="X1399" i="1"/>
  <c r="Z1320" i="1"/>
  <c r="Z1438" i="1"/>
  <c r="X1438" i="1"/>
  <c r="X1284" i="1"/>
  <c r="Z1432" i="1"/>
  <c r="X1376" i="1"/>
  <c r="X1437" i="1"/>
  <c r="X1452" i="1"/>
  <c r="X1353" i="1"/>
  <c r="X1365" i="1"/>
  <c r="X1382" i="1"/>
  <c r="X1436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<sst xmlns="http://schemas.openxmlformats.org/spreadsheetml/2006/main" count="21461" uniqueCount="1888">
  <si>
    <t>Spolu pocet zmluv:</t>
  </si>
  <si>
    <t>ks</t>
  </si>
  <si>
    <t>Len 2024:</t>
  </si>
  <si>
    <t>Kontrolar panelar poctar descargar</t>
  </si>
  <si>
    <t>Spolu hodnota zmluv:</t>
  </si>
  <si>
    <t>eur bez DPH</t>
  </si>
  <si>
    <t>V prípade využívania generovania tabuliek pre boxploty nesmú byť žiadne rozdiely v stĺpcoch v dátovom modeli a v tabuľke (napr. nové stĺpce v Power Query, mumble, mumble)...</t>
  </si>
  <si>
    <t>Nazov</t>
  </si>
  <si>
    <t>ID</t>
  </si>
  <si>
    <t>ZoD vzorec</t>
  </si>
  <si>
    <t>SLA vzorec</t>
  </si>
  <si>
    <t>ZoD</t>
  </si>
  <si>
    <t>SLA</t>
  </si>
  <si>
    <t>Veľkosť zmluvy</t>
  </si>
  <si>
    <t>Objednavatel_ICO</t>
  </si>
  <si>
    <t>Objednavatel</t>
  </si>
  <si>
    <t>Objednavatel_adresa</t>
  </si>
  <si>
    <t>Dodavatel_ICO</t>
  </si>
  <si>
    <t>Dodavatel</t>
  </si>
  <si>
    <t>Dodavatel_adresa</t>
  </si>
  <si>
    <t>Datum_zverejnenia</t>
  </si>
  <si>
    <t>Cena_podpisana</t>
  </si>
  <si>
    <t>Rezort</t>
  </si>
  <si>
    <t>Link file</t>
  </si>
  <si>
    <t>Link crz</t>
  </si>
  <si>
    <t>Pozícia</t>
  </si>
  <si>
    <t>Pozícia_add</t>
  </si>
  <si>
    <t>Pozicia_specialista_podskupina</t>
  </si>
  <si>
    <t>Pozicia_technik_podskupina</t>
  </si>
  <si>
    <t>Cena bez DPH</t>
  </si>
  <si>
    <t>Cena s DPH</t>
  </si>
  <si>
    <t>Interná sadzba bez DPH</t>
  </si>
  <si>
    <t>Cena je nižšia ako interná sadzba</t>
  </si>
  <si>
    <t>Typ zmluvy</t>
  </si>
  <si>
    <t>Množstvo práce</t>
  </si>
  <si>
    <t>Množstvo práce ročné</t>
  </si>
  <si>
    <t>Dodatky</t>
  </si>
  <si>
    <t>Dátum vloženia údajov</t>
  </si>
  <si>
    <t>Seniorita</t>
  </si>
  <si>
    <t>Subdodávky</t>
  </si>
  <si>
    <t>Rok</t>
  </si>
  <si>
    <t>Pocet zmluv objednavatela</t>
  </si>
  <si>
    <t>Pocet zmluv dodavatela</t>
  </si>
  <si>
    <t>Zapocet zmluv objednavatela</t>
  </si>
  <si>
    <t>Zapocet zmluv dodavatela</t>
  </si>
  <si>
    <t>Objednavatel_filter</t>
  </si>
  <si>
    <t>Dodavatel_filter</t>
  </si>
  <si>
    <t>Zmluva o poskytovaní špecializovaných služieb spojených so softvérovým vybavením Microsoft</t>
  </si>
  <si>
    <t>Nie</t>
  </si>
  <si>
    <t>Áno</t>
  </si>
  <si>
    <t>Sociálna poisťovňa, ústredie</t>
  </si>
  <si>
    <t>Ul. 29. augusta č. 8 a 10, 813 63 Bratislava 1</t>
  </si>
  <si>
    <t>AUTOCONT s.r.o. / ARICOMA Systems s.r.o.</t>
  </si>
  <si>
    <t>Krasovského 14, 851 01 Bratislava</t>
  </si>
  <si>
    <t>https://www.crz.gov.sk/data/att/4383751_dokument1.pdf</t>
  </si>
  <si>
    <t>https://www.crz.gov.sk/4383750</t>
  </si>
  <si>
    <t>Špecialista</t>
  </si>
  <si>
    <t>Softverový špecialista</t>
  </si>
  <si>
    <t>Ostatné</t>
  </si>
  <si>
    <t>Neurčená</t>
  </si>
  <si>
    <t>Neurčené</t>
  </si>
  <si>
    <t>Zmluva o poskytovaní systémovej a aplikačnej podpory Informačného systému Portál MS SR a eBox (IS PeB)</t>
  </si>
  <si>
    <t>00166073</t>
  </si>
  <si>
    <t>Ministerstvo spravodlivosti SR</t>
  </si>
  <si>
    <t>Župné námestie 13, 813 11 Bratislava</t>
  </si>
  <si>
    <t>ANASOFT APR, spol. s r.o.</t>
  </si>
  <si>
    <t>Mynská Dolina 41, BA</t>
  </si>
  <si>
    <t>https://www.crz.gov.sk/data/att/4392503_dokument1.pdf</t>
  </si>
  <si>
    <t>https://www.crz.gov.sk/4392235</t>
  </si>
  <si>
    <t>Vedúci projektu</t>
  </si>
  <si>
    <t>Projektový manažér</t>
  </si>
  <si>
    <t>Architekt</t>
  </si>
  <si>
    <t xml:space="preserve">Expert pre oblasť architektúry informačných systémov </t>
  </si>
  <si>
    <t>Analytik</t>
  </si>
  <si>
    <t>SW analytik</t>
  </si>
  <si>
    <t>Špecialista na integrácie informačných systémov</t>
  </si>
  <si>
    <t>Integrácia</t>
  </si>
  <si>
    <t>Programátor</t>
  </si>
  <si>
    <t>Hlavný vývojár</t>
  </si>
  <si>
    <t>Tester</t>
  </si>
  <si>
    <t>Hlavný IT tester</t>
  </si>
  <si>
    <t>Zmluva o dielo na dodávku softvérového diela</t>
  </si>
  <si>
    <t>00607223</t>
  </si>
  <si>
    <t>Úrad verejného zdravotníctva SR, Bratislava</t>
  </si>
  <si>
    <t>Trnavská cesta 52, 826 45 Bratislava</t>
  </si>
  <si>
    <t>Asseco Central Europe, a.s.</t>
  </si>
  <si>
    <t>Trenčianska 56/A, 821 09 Bratislava</t>
  </si>
  <si>
    <t>https://www.crz.gov.sk/data/att/4394179_dokument1.PDF</t>
  </si>
  <si>
    <t>https://www.crz.gov.sk/4394142</t>
  </si>
  <si>
    <t>Odborník pre IT senior</t>
  </si>
  <si>
    <t>IT analytik</t>
  </si>
  <si>
    <t>IT analytik - business</t>
  </si>
  <si>
    <t>IT programátor/vývojár</t>
  </si>
  <si>
    <t>IT tester</t>
  </si>
  <si>
    <t>Špecialista pre bezpečnosť IT</t>
  </si>
  <si>
    <t>Kybernetická bezpečnosť</t>
  </si>
  <si>
    <t>Špecialista pre infraštruktúry/HW špecialista</t>
  </si>
  <si>
    <t>Infraštruktúra</t>
  </si>
  <si>
    <t>Školiteľ</t>
  </si>
  <si>
    <t>Školitel pre IT systémy</t>
  </si>
  <si>
    <t>Rutinné práce</t>
  </si>
  <si>
    <t>Iné (pozícia, ktorú nie je možné zaradiť do vyššie uvedených pozícií) - dokumentarista</t>
  </si>
  <si>
    <t>Iné</t>
  </si>
  <si>
    <t>Zmluva o poskytovaní podporných služieb – Underpinning contract /UC/ pre zabezpečenie prevádzky Informačného systému LOGIS /IS / na základe dohodnutých cieľových úrovní podporných služieb –Service Level Target /SLT/</t>
  </si>
  <si>
    <t>Slovenská pošta, a. s.</t>
  </si>
  <si>
    <t>Partizánska cesta 9, 975 99  Banská Bystrica</t>
  </si>
  <si>
    <t>MARTES, s.r.o.</t>
  </si>
  <si>
    <t>Dlhá 88, 010 09 Žilina - Bytčica</t>
  </si>
  <si>
    <t>https://www.crz.gov.sk/data/att/4439587_dokument1.pdf, https://www.crz.gov.sk/data/att/4439623_dokument1.pdf</t>
  </si>
  <si>
    <t>https://www.crz.gov.sk/4439583</t>
  </si>
  <si>
    <t>Kvalitár</t>
  </si>
  <si>
    <t xml:space="preserve">Release manažér </t>
  </si>
  <si>
    <t xml:space="preserve">Systémový špecialista </t>
  </si>
  <si>
    <t>Systémy</t>
  </si>
  <si>
    <t xml:space="preserve">Dokumentarista </t>
  </si>
  <si>
    <t>Zmluva č. 2019/849 -  servisná podpora aplikačných modulov a rozvojových prácach na integrovanom informačnom systéme (IIS)</t>
  </si>
  <si>
    <t>Úrad pre investície a akvizície MO SR</t>
  </si>
  <si>
    <t xml:space="preserve">Kutuzovova 8, 832 47 Bratislava </t>
  </si>
  <si>
    <t>DXC Technology Slovakia s.r.o.</t>
  </si>
  <si>
    <t>Bratislava</t>
  </si>
  <si>
    <t>https://www.crz.gov.sk/data/att/4448601_dokument1.pdf</t>
  </si>
  <si>
    <t>https://www.crz.gov.sk/4448596</t>
  </si>
  <si>
    <t>Analýza</t>
  </si>
  <si>
    <t>Technik</t>
  </si>
  <si>
    <t>Nastavenie, parametrizácia systému</t>
  </si>
  <si>
    <t>Administrácia</t>
  </si>
  <si>
    <t>Vývoj ABAP</t>
  </si>
  <si>
    <t>Vývoj JAVA</t>
  </si>
  <si>
    <t>Poradenstvo na požiadanie</t>
  </si>
  <si>
    <t>Konzultácie</t>
  </si>
  <si>
    <t>Školenie</t>
  </si>
  <si>
    <t>Testovanie</t>
  </si>
  <si>
    <t>Rámcová dohoda na dodávku, montáž, technický servis a opravy automatických sčítačov dopravy</t>
  </si>
  <si>
    <t>Národná diaľničná spoločnosť, a.s.</t>
  </si>
  <si>
    <t>Dúbravská cesta 14, 841 04 Bratislava</t>
  </si>
  <si>
    <t>PPA INŽINIERING, s.r.o.</t>
  </si>
  <si>
    <t/>
  </si>
  <si>
    <t>https://www.crz.gov.sk/data/att/4449454_dokument1.pdf</t>
  </si>
  <si>
    <t>https://www.crz.gov.sk/4449447</t>
  </si>
  <si>
    <t>Oprava zariadení</t>
  </si>
  <si>
    <t>Hardvér</t>
  </si>
  <si>
    <t>Zmluva o poskytovaní systémovej a aplikačnej podpory Informačného systému aplikačnej architektúry a bezpečnostnej infraštruktúry (IS BAI)</t>
  </si>
  <si>
    <t>DITEC, a.s.</t>
  </si>
  <si>
    <t>Plynárenská 7/C Bratislava</t>
  </si>
  <si>
    <t>https://www.crz.gov.sk/data/att/4471082_dokument1.pdf</t>
  </si>
  <si>
    <t>https://www.crz.gov.sk/4471081</t>
  </si>
  <si>
    <t>Expert pre oblasť architektúry informačných systémov</t>
  </si>
  <si>
    <t>Expert pre oblasť integrácie</t>
  </si>
  <si>
    <t>Špecialista pre registračné autority</t>
  </si>
  <si>
    <t>Špecialista pre systémy monitorovania bezpečnosti</t>
  </si>
  <si>
    <t>Špecialista pre oblasť aplikačnej bezpečnosti</t>
  </si>
  <si>
    <t>Špecialista pre oblasť správy používateľov</t>
  </si>
  <si>
    <t>ZMLUVA O POSKYTOVANÍ SLUŽIEB podpory prevádzky</t>
  </si>
  <si>
    <t>00151564</t>
  </si>
  <si>
    <t>DataCentrum</t>
  </si>
  <si>
    <t>Cintorínska 5 , 814 88 Bratislava</t>
  </si>
  <si>
    <t>TEMPEST a.s.</t>
  </si>
  <si>
    <t>Krasovského 14, 851 01 Bratislava mestská časť Petržalka</t>
  </si>
  <si>
    <t>https://www.crz.gov.sk/data/att/4472905_dokument1.pdf</t>
  </si>
  <si>
    <t>https://www.crz.gov.sk/4472902</t>
  </si>
  <si>
    <t>Podpora</t>
  </si>
  <si>
    <t>Podpora prevádzky</t>
  </si>
  <si>
    <t>Administrátor</t>
  </si>
  <si>
    <t>Správca databázovej platformy, zodpovedný za poskytovanie služby správcu DB platforiem Oracle</t>
  </si>
  <si>
    <t xml:space="preserve">Správca virtualizačnej platformy, zodpovedný za poskytovanie služby správcu virtualizačnej platformy VMWare </t>
  </si>
  <si>
    <t>Správca enterprise diskových polí, zodpovedný za poskytovanie služby správcu entreprise diskových polí EMC</t>
  </si>
  <si>
    <t>Správca LAN/SAN, zodpovedný za poskytovanie služieb správcu LAN/SAN pre zariadenia Cisco, Brocade</t>
  </si>
  <si>
    <t>Správca monitorovacieho nástroja, zodpovedný za poskytovanie služieb správcu monitorovacieho nástroja OpenView</t>
  </si>
  <si>
    <t xml:space="preserve">Správca aplikačného delivery controllera, zodpovedný za poskytovanie služieb správy a prevádzky zariadení F5 </t>
  </si>
  <si>
    <t>Správca hardvéru a infraštruktúry typu blade, zodpovedný za poskytovanie služieb správcu hardvéru a infraštruktúry pre zariadenia HP Blade servers</t>
  </si>
  <si>
    <t xml:space="preserve">Správca aplikačného delivery controllera, zodpovedný za poskytovanie služieb správy a prevádzky zariadení Gemalto </t>
  </si>
  <si>
    <t xml:space="preserve">Správca aplikačnej firewall ochrany perimetra, zodpovedný za poskytovanie služieb správy a prevádzky zariadení Checkpoint </t>
  </si>
  <si>
    <t>Správca aplikačného programového vybavenia založeného na technológii Oracle IDM</t>
  </si>
  <si>
    <t>Solution architekt</t>
  </si>
  <si>
    <t>DATACAR, spol. s r.o.</t>
  </si>
  <si>
    <t>Servis</t>
  </si>
  <si>
    <t>Zmluva o dielo</t>
  </si>
  <si>
    <t>Slovenská elektrizačná prenosová sústava, a.s.</t>
  </si>
  <si>
    <t>Mlynské nivy 59/A, 824 84 Bratislava</t>
  </si>
  <si>
    <t>SOITRON, s.r.o.</t>
  </si>
  <si>
    <t>Plynárenská 5, 829 75 Bratislava</t>
  </si>
  <si>
    <t>https://www.crz.gov.sk/data/att/4477373_dokument1.pdf</t>
  </si>
  <si>
    <t>https://www.crz.gov.sk/4476685</t>
  </si>
  <si>
    <t>Blended rate</t>
  </si>
  <si>
    <t>Zmluva o dielo a o poskytovaní služieb</t>
  </si>
  <si>
    <t>Národná agentúra pre sieťové a elektronické služby</t>
  </si>
  <si>
    <t>Kollárova 8, 917 02 Trnava</t>
  </si>
  <si>
    <t>Lomtec.com a.s.</t>
  </si>
  <si>
    <t>Líščie údolie 5, 841 04 Bratislava</t>
  </si>
  <si>
    <t>https://www.crz.gov.sk/data/att/4478808_dokument1.pdf</t>
  </si>
  <si>
    <t>https://www.crz.gov.sk/4478514</t>
  </si>
  <si>
    <t>Hlavný IT analytik</t>
  </si>
  <si>
    <t>IT analytik/Procesný IT analytik</t>
  </si>
  <si>
    <t>Hlavný IT programátor/Hlavný vývojár</t>
  </si>
  <si>
    <t xml:space="preserve">Vývojár/programátor </t>
  </si>
  <si>
    <t>Hlavný IT Tester - Hlavný tester</t>
  </si>
  <si>
    <t>IT architekt</t>
  </si>
  <si>
    <t xml:space="preserve">Špecialista pre integrácie – Integračný konzultant </t>
  </si>
  <si>
    <t xml:space="preserve">Špecialista pre IT bezpečnosť </t>
  </si>
  <si>
    <t xml:space="preserve">Rámcová dohoda na poskytovanie služieb systémovej a aplikačnej podpory, rozvoja a údržby Informačného systému elektronickej správy registratúry (IS ASR) </t>
  </si>
  <si>
    <t>Ministerstvo investícií, regionálneho rozvoja a informatizácie Slovenskej republiky</t>
  </si>
  <si>
    <t>Štefániková 15, 811 05 Bratislava</t>
  </si>
  <si>
    <t xml:space="preserve">DWC Slovakia, a.s. </t>
  </si>
  <si>
    <t xml:space="preserve">Mlynské Nivy 71, 821 05 Bratislava </t>
  </si>
  <si>
    <t>https://www.crz.gov.sk/data/att/4479481_dokument1.pdf</t>
  </si>
  <si>
    <t>https://www.crz.gov.sk/4479479</t>
  </si>
  <si>
    <t>Procesný analytik</t>
  </si>
  <si>
    <t>Procesný metodik</t>
  </si>
  <si>
    <t>Procesy</t>
  </si>
  <si>
    <t>Programátor, vývojár</t>
  </si>
  <si>
    <t>Zmluva o zabezpečení prevádzky a podpory systému na odklonenie kybernetických útokov</t>
  </si>
  <si>
    <t>Disig, a.s.</t>
  </si>
  <si>
    <t>Záhradnícka 151, 821 08  Bratislava</t>
  </si>
  <si>
    <t>https://www.crz.gov.sk/data/att/4487118_dokument1.pdf</t>
  </si>
  <si>
    <t>https://www.crz.gov.sk/4484855</t>
  </si>
  <si>
    <t>Konzultácie k identifikovaným bezpečnostným udalostiam a incidentom</t>
  </si>
  <si>
    <t>NIe</t>
  </si>
  <si>
    <t>https://www.crz.gov.sk/data/att/4500203_dokument1.pdf</t>
  </si>
  <si>
    <t>https://www.crz.gov.sk/4496978</t>
  </si>
  <si>
    <t>Zmluva o podpore prevádzky a vývoja informačného systému SAP</t>
  </si>
  <si>
    <t>Železnice Slovenskej republiky</t>
  </si>
  <si>
    <t xml:space="preserve">Klemensova 8, 813 61 Bratislava </t>
  </si>
  <si>
    <t>TORY CONSULTING, a. s.</t>
  </si>
  <si>
    <t>Slovenskej jednoty 10, 040 01 Košice</t>
  </si>
  <si>
    <t>https://www.crz.gov.sk/data/att/4522666_dokument1.pdf</t>
  </si>
  <si>
    <t>https://www.crz.gov.sk/4522661</t>
  </si>
  <si>
    <t>Programátorské práce SAP</t>
  </si>
  <si>
    <t>Analytické práce SAP</t>
  </si>
  <si>
    <t>Školitel SAP</t>
  </si>
  <si>
    <t>Projektový manažment SAP</t>
  </si>
  <si>
    <t>Servisná zmluva o poskytovaní systémovej, aplikačnej podpory a rozvoja Centrálneho finančného informačného systému pre verejné vysoké školy (IS SOFIA)</t>
  </si>
  <si>
    <t>00164381</t>
  </si>
  <si>
    <t>Ministerstvo školstva, výskumu, vývoja a mládeže SR</t>
  </si>
  <si>
    <t>Stromová 1, Bratislava, 81330</t>
  </si>
  <si>
    <t>Atos IT Solutions and Services s.r.o. / Eviden Slovakia, s.r.o.</t>
  </si>
  <si>
    <t>Pribinova 19/7828, 811 09 Bratislava</t>
  </si>
  <si>
    <t>https://www.crz.gov.sk/data/att/4585898_dokument1.pdf</t>
  </si>
  <si>
    <t>https://www.crz.gov.sk/4585884</t>
  </si>
  <si>
    <t>Služba podpory programového vybavenia IS SOFIA</t>
  </si>
  <si>
    <t>školenie</t>
  </si>
  <si>
    <t>Sw analytik</t>
  </si>
  <si>
    <t>Expert pre riadenie IT procesov</t>
  </si>
  <si>
    <t>Konzultant za oblasť finančné účtovníctvo v systéme SAP</t>
  </si>
  <si>
    <t>Konzultant za oblasť logistiky – materiálové hospodárstvo v systéme SAP</t>
  </si>
  <si>
    <t xml:space="preserve">Konzultant za oblasť logistiky – predaj a distribúcia v systéme SAP </t>
  </si>
  <si>
    <t>Konzultant za oblasť business intelligence v systéme SAP</t>
  </si>
  <si>
    <t xml:space="preserve">Konzultant za oblasť kontroling v systéme SAP </t>
  </si>
  <si>
    <t xml:space="preserve">Konzultant za oblasť process integration v systéme  SAP </t>
  </si>
  <si>
    <t xml:space="preserve">Konzultant pre oblasť personalistiky a miezd v systéme SAP </t>
  </si>
  <si>
    <t>Konzultant pre oblasť SAP HANA v systéme SAP</t>
  </si>
  <si>
    <t>Konzultant za oblasť rozpočet v systéme SAP</t>
  </si>
  <si>
    <t>Expert pre oblasť IT bezpečnosti v systéme SAP</t>
  </si>
  <si>
    <t xml:space="preserve">Dodatok č.1 k servisnej zmluve o poskytovaní systémovej, aplikačnej podpory a rozvoja Centrálneho finančného informačného systému pre verejné vysoké školy (IS SOFIA) </t>
  </si>
  <si>
    <t>https://www.crz.gov.sk/data/att/4590495_dokument1.pdf</t>
  </si>
  <si>
    <t>https://www.crz.gov.sk/4590492</t>
  </si>
  <si>
    <t>Konzultant za oblasť kontroling v systéme SAP</t>
  </si>
  <si>
    <t>Zmluva na pozáručný autorizovaný servis zariadení výpočtovej, kancelárskej a telekomunikačnej techniky</t>
  </si>
  <si>
    <t>DATALAN, a.s.</t>
  </si>
  <si>
    <t>https://www.crz.gov.sk/data/att/4590632_dokument.pdf</t>
  </si>
  <si>
    <t>https://www.crz.gov.sk/4590621</t>
  </si>
  <si>
    <t>Kombinovaný servis telekomunikačnej techniky</t>
  </si>
  <si>
    <t>Kombinovaný servis ostatných zariadení</t>
  </si>
  <si>
    <t>Kombinovaný servis serverov</t>
  </si>
  <si>
    <t>Špecializovaná služba vykonávaná formou servisu na zavolanie</t>
  </si>
  <si>
    <t>Servis na zavolanie kateg. 1</t>
  </si>
  <si>
    <t>Servis na zavolanie kateg. 2</t>
  </si>
  <si>
    <t>https://www.crz.gov.sk/data/att/4624769_dokument1.pdf</t>
  </si>
  <si>
    <t>https://www.crz.gov.sk/4609527</t>
  </si>
  <si>
    <t>Zmluva o poskytovaní služieb</t>
  </si>
  <si>
    <t>00397474</t>
  </si>
  <si>
    <t>Univerzita veterinárskeho lekárstva a farmácie v Košiciach</t>
  </si>
  <si>
    <t>Komenského 73, 04181 Košice SVK</t>
  </si>
  <si>
    <t>00692069</t>
  </si>
  <si>
    <t>LYNX s.r.o.</t>
  </si>
  <si>
    <t>Gavlovičova 9, 04017 Košice SVK</t>
  </si>
  <si>
    <t>https://www.crz.gov.sk/data/att/4624249_dokument.</t>
  </si>
  <si>
    <t>https://www.crz.gov.sk/4624248</t>
  </si>
  <si>
    <t xml:space="preserve">Zmluva o migrácii IS IVIS, RPO Štatistického úradu Slovenskej republiky do vládneho cloudu </t>
  </si>
  <si>
    <t>00166197</t>
  </si>
  <si>
    <t>Štatistický úrad SR</t>
  </si>
  <si>
    <t xml:space="preserve">Miletičova 3, 824 67 Bratislava </t>
  </si>
  <si>
    <t>Rackscale, s.r.o.</t>
  </si>
  <si>
    <t>Tomášikova 64, 841 03 Bratislava</t>
  </si>
  <si>
    <t>https://www.crz.gov.sk/data/att/4653725_dokument1.pdf</t>
  </si>
  <si>
    <t>https://www.crz.gov.sk/4653718</t>
  </si>
  <si>
    <t>Projektový manažér IT projektu</t>
  </si>
  <si>
    <t>IT/IS konzultant</t>
  </si>
  <si>
    <t>Školiteľ pre IT systémy</t>
  </si>
  <si>
    <t>Špecialista pre databázy</t>
  </si>
  <si>
    <t>Dáta a databázy</t>
  </si>
  <si>
    <t>Zmluva o migrácii IS Vnútorná správa, IŠIS Štatistického úradu Slovenskej republiky do vládneho cloudu</t>
  </si>
  <si>
    <t>Plaut Slovensko, s.r.o.</t>
  </si>
  <si>
    <t>Karloveská 34, 841 04 Bratislava</t>
  </si>
  <si>
    <t>https://www.crz.gov.sk/data/att/4653843_dokument1.pdf</t>
  </si>
  <si>
    <t>https://www.crz.gov.sk/4653826</t>
  </si>
  <si>
    <t xml:space="preserve">Zmluva o poskytovaní podporných služieb – Underpinning contract /UC/ pre zabezpečenie prevádzky Informačného systému Jednotný systém spracovania agend /IS / na základe dohodnutých cieľových úrovní podporných služieb –Service Level Target /SLT/  </t>
  </si>
  <si>
    <t>GAMO a.s.</t>
  </si>
  <si>
    <t xml:space="preserve">Kyjevské námestie 6, 974 04  Banská Bystrica </t>
  </si>
  <si>
    <t>https://www.crz.gov.sk/data/att/4707984_dokument1.pdf</t>
  </si>
  <si>
    <t>https://www.crz.gov.sk/4706022</t>
  </si>
  <si>
    <t>Cena práce</t>
  </si>
  <si>
    <t xml:space="preserve">Zmluva  o riešení konsolidácie registrov </t>
  </si>
  <si>
    <t>NextIT s.r.o.</t>
  </si>
  <si>
    <t>Legionárska 670/58, 911 01 Trenčín</t>
  </si>
  <si>
    <t>https://www.crz.gov.sk/data/att/4756718_dokument1.pdf</t>
  </si>
  <si>
    <t>https://www.crz.gov.sk/4756698</t>
  </si>
  <si>
    <t>Iné (pozícia, ktorú nie je možné zaradiť do vyššie uvedených pozícií)</t>
  </si>
  <si>
    <t>Zmluva o poskytovaní služieb č. 324/OI/2019</t>
  </si>
  <si>
    <t>Ústredie práce, sociálnych vecí a rodiny</t>
  </si>
  <si>
    <t xml:space="preserve">Špitálska ulica č. 8, 812 67, Bratislava, </t>
  </si>
  <si>
    <t>InterWay, a.s.</t>
  </si>
  <si>
    <t>Stará Vajnorská 21, 831 04 Bratislava</t>
  </si>
  <si>
    <t>https://www.crz.gov.sk/data/att/4805543_dokument1.pdf</t>
  </si>
  <si>
    <t>https://www.crz.gov.sk/4805523</t>
  </si>
  <si>
    <t>Technická podpora</t>
  </si>
  <si>
    <t>Zmluva o poskytovaní podporných služieb – Underpinningcontract /UC/ pre zabezpečenie prevádzky Informačného systému  Internetové aplikácie – web stránky Slovenskej pošty, a.s. /IS/ na základe dohodnutých cieľových úrovní podporných služieb – SLT</t>
  </si>
  <si>
    <t>FRESHMINI, s.r.o.</t>
  </si>
  <si>
    <t>Martina Granca 3452/8, 841 02 Bratislava</t>
  </si>
  <si>
    <t>https://www.crz.gov.sk/data/att/4812200_dokument1.pdf, https://www.crz.gov.sk/data/att/4812204_dokument1.pdf</t>
  </si>
  <si>
    <t>https://www.crz.gov.sk/4812199</t>
  </si>
  <si>
    <t>Architekt riešenia</t>
  </si>
  <si>
    <t>https://www.crz.gov.sk/4812200</t>
  </si>
  <si>
    <t>Dizajnér riešenia a UX</t>
  </si>
  <si>
    <t>https://www.crz.gov.sk/4812201</t>
  </si>
  <si>
    <t>https://www.crz.gov.sk/4812202</t>
  </si>
  <si>
    <t>Release manažér</t>
  </si>
  <si>
    <t>https://www.crz.gov.sk/4812203</t>
  </si>
  <si>
    <t>https://www.crz.gov.sk/4812204</t>
  </si>
  <si>
    <t>Systémový špecialista</t>
  </si>
  <si>
    <t>https://www.crz.gov.sk/4812205</t>
  </si>
  <si>
    <t>https://www.crz.gov.sk/4812206</t>
  </si>
  <si>
    <t>https://www.crz.gov.sk/4812207</t>
  </si>
  <si>
    <t>https://www.crz.gov.sk/4812208</t>
  </si>
  <si>
    <t>Dokumentarista</t>
  </si>
  <si>
    <t>ZMLUVA O DIELO A POSKYTOVANÍ SLUŽIEB</t>
  </si>
  <si>
    <t>00151882</t>
  </si>
  <si>
    <t>Centrum vedecko-technických informácií SR</t>
  </si>
  <si>
    <t>Lamačská cesta 8/A, P.O. Box 458, 814 99  Bratislava</t>
  </si>
  <si>
    <t>https://www.crz.gov.sk/data/att/4838476_dokument1.pdf</t>
  </si>
  <si>
    <t>https://www.crz.gov.sk/4838473</t>
  </si>
  <si>
    <t>Úprava diela vyplývajúca z prevádzky a konzultácie</t>
  </si>
  <si>
    <t>Rámcová dohoda č. p.: OVO2-2020/000207-063</t>
  </si>
  <si>
    <t>00151866</t>
  </si>
  <si>
    <t>Ministerstvo vnútra SR</t>
  </si>
  <si>
    <t>Pribinova 2, 812 72 Bratislava</t>
  </si>
  <si>
    <t>Telegrafia, a.s.</t>
  </si>
  <si>
    <t>Lomená 7,040 01 Košice, Slovenská republika</t>
  </si>
  <si>
    <t>https://www.crz.gov.sk/data/att/4846224_dokument1.pdf</t>
  </si>
  <si>
    <t>https://www.crz.gov.sk/4846221</t>
  </si>
  <si>
    <t>Technický špecialista</t>
  </si>
  <si>
    <t>Tech. špecialista</t>
  </si>
  <si>
    <t>Rámcová dohoda č. p.: OVO2-2020/000207-065</t>
  </si>
  <si>
    <t>Krasovského 14,851 01 Bratislava 5 - mestská časť Petržalka</t>
  </si>
  <si>
    <t>https://www.crz.gov.sk/data/att/4846306_dokument1.pdf</t>
  </si>
  <si>
    <t>https://www.crz.gov.sk/4846305</t>
  </si>
  <si>
    <t>Rámcová dohoda č. p.: OVO2-2020/000219-021</t>
  </si>
  <si>
    <t>Gratex International, a.s.</t>
  </si>
  <si>
    <t>Galvaniho 17/C , 82104 Bratislava, Slovenská republika</t>
  </si>
  <si>
    <t>https://www.crz.gov.sk/data/att/4860305_dokument1.pdf</t>
  </si>
  <si>
    <t>https://www.crz.gov.sk/4860299</t>
  </si>
  <si>
    <t>Rámcová dohoda č. p.: OVO2-2020/000219-022</t>
  </si>
  <si>
    <t>MICROCOMP – Computersystém s.r.o.</t>
  </si>
  <si>
    <t>Kupecká 9, 949 01 Nitra</t>
  </si>
  <si>
    <t>https://www.crz.gov.sk/data/att/4860436_dokument1.pdf</t>
  </si>
  <si>
    <t>https://www.crz.gov.sk/4860428</t>
  </si>
  <si>
    <t>Rámcová dohoda č. p.: OVO2-2020/000219-023</t>
  </si>
  <si>
    <t>Aliter Technologies, a.s.</t>
  </si>
  <si>
    <t>Turčianska 16, 821 09 Bratislava</t>
  </si>
  <si>
    <t>https://www.crz.gov.sk/data/att/4860510_dokument1.pdf</t>
  </si>
  <si>
    <t>https://www.crz.gov.sk/4860509</t>
  </si>
  <si>
    <t>Rámcová dohoda na poskytovanie autorizovaného pozáručného servisu  HW a SW komponentov na zabezpečenie prevádzky IKT infraštruktúry</t>
  </si>
  <si>
    <t>Všeobecná zdravotná poisťovňa a.s.</t>
  </si>
  <si>
    <t>Panónska cesta 2 , 851 04 Bratislava - mestská časť Petržalka</t>
  </si>
  <si>
    <t>https://www.crz.gov.sk/data/att/4896998_dokument1.pdf</t>
  </si>
  <si>
    <t>https://www.crz.gov.sk/4896982</t>
  </si>
  <si>
    <t>Poskytnutie podpory hardwarovej integrácie rozširujúcich HW komponentov</t>
  </si>
  <si>
    <t>Servis - servery entry level</t>
  </si>
  <si>
    <t>Servis - HDD diskového poľa</t>
  </si>
  <si>
    <t>Servis - kancelársky hw</t>
  </si>
  <si>
    <t>Poradensko-podporné služby (technicko-poradenské, podporné a integračné služby)</t>
  </si>
  <si>
    <t>ZMLUVA O POSKYTOVANÍ SLUŽBY PODPORY IKT ZARIADENÍ A TECHNOLÓGIÍ</t>
  </si>
  <si>
    <t>https://www.crz.gov.sk/data/att/4937583_dokument1.pdf</t>
  </si>
  <si>
    <t>https://www.crz.gov.sk/4937582</t>
  </si>
  <si>
    <t>Podporné služby na riešenie problémov a zmien</t>
  </si>
  <si>
    <t>Zmluva o poskytovaní služieb technickej podpory, údržby a rozvoja pre informačný systém Správny výkon</t>
  </si>
  <si>
    <t xml:space="preserve">DATALAN, a.s.  </t>
  </si>
  <si>
    <t xml:space="preserve">Krasovského 14, 851 01 Bratislava </t>
  </si>
  <si>
    <t>https://www.crz.gov.sk/data/att/4945930_dokument1.pdf</t>
  </si>
  <si>
    <t>https://www.crz.gov.sk/4945924</t>
  </si>
  <si>
    <t>Služby rozvoja IS SV (zapracovávanie legislatívnych zmien, zapracovávanie požiadaviek Objednávateľa na implementáciu úprav a zmien v IS SV)</t>
  </si>
  <si>
    <t>Rámcová dohoda o poskytovaní služieb</t>
  </si>
  <si>
    <t>00681156</t>
  </si>
  <si>
    <t>Ministerstvo práce, sociálnych vecí a rodiny SR</t>
  </si>
  <si>
    <t>Špitálska 4, 6, 8, 816 43 Bratislava</t>
  </si>
  <si>
    <t>Pribinova 19/7828 Bratislava</t>
  </si>
  <si>
    <t>https://www.crz.gov.sk/data/att/4978257_dokument1.pdf, https://www.crz.gov.sk/data/att/4978258_dokument1.pdf</t>
  </si>
  <si>
    <t>https://www.crz.gov.sk/4978247</t>
  </si>
  <si>
    <t>Administrátor IBM AIX</t>
  </si>
  <si>
    <t>Administrátor antivírusu McAfee</t>
  </si>
  <si>
    <t>Administrátor IBM TSM</t>
  </si>
  <si>
    <t>Administrátor fyzických serverov</t>
  </si>
  <si>
    <t>Administrátor siete LAN</t>
  </si>
  <si>
    <t>Administrátor Oracle Linux</t>
  </si>
  <si>
    <t>Administrátor Oracle RDBMS a RAC</t>
  </si>
  <si>
    <t>Administrátor siete SAN</t>
  </si>
  <si>
    <t>Administrátor bezpečnostných prvkov</t>
  </si>
  <si>
    <t>Administrátor MS SQL server</t>
  </si>
  <si>
    <t>Administrátor diskových polí a páskovej knižnice</t>
  </si>
  <si>
    <t>Administrátor VMWare vSphere</t>
  </si>
  <si>
    <t>Administrátor Windows Server</t>
  </si>
  <si>
    <t>Administrátor WebSphere AS ND</t>
  </si>
  <si>
    <t>Administrátor webových serverov</t>
  </si>
  <si>
    <t>Administrátor Cognos serverov</t>
  </si>
  <si>
    <t>Service desk</t>
  </si>
  <si>
    <t>SOC pracovisko</t>
  </si>
  <si>
    <t>Projektový manažér služieb</t>
  </si>
  <si>
    <t>Zmluva o poskytovaní podporných služieb pre zabezpečenie prevádzky informačného systému JRUZ</t>
  </si>
  <si>
    <t>00165387</t>
  </si>
  <si>
    <t>Národné centrum zdravotníckych informácií, Bratislava</t>
  </si>
  <si>
    <t>Lazaretská 26, 811 09 Bratislava 1</t>
  </si>
  <si>
    <t>00603783</t>
  </si>
  <si>
    <t>NESS Slovensko, a.s.</t>
  </si>
  <si>
    <t>Galvaniho 15/C, 821 04 Bratislava</t>
  </si>
  <si>
    <t>https://www.crz.gov.sk/data/att/4987725_dokument1.pdf, https://www.crz.gov.sk/data/att/4987728_dokument1.pdf</t>
  </si>
  <si>
    <t>Prevádzková podpora – Školenie</t>
  </si>
  <si>
    <t>Zmenová podpora – Správa zmien, Upgrade / Update</t>
  </si>
  <si>
    <t>Prevádzková podpora - Profylaktika</t>
  </si>
  <si>
    <t>Zmluva o poskytovaní servisných služieb - Service Level Agreement (SLA) pre sieťovú infraštruktúru, SAN infraštruktúru a podporné služby rezortu spravodlivosti</t>
  </si>
  <si>
    <t>Račianska 71 , 813 11 Bratislava</t>
  </si>
  <si>
    <t>Plynárenská 5, Bratislava</t>
  </si>
  <si>
    <t>https://www.crz.gov.sk/data/att/4992470_dokument1.pdf</t>
  </si>
  <si>
    <t>https://www.crz.gov.sk/4992461</t>
  </si>
  <si>
    <t>Garant pre oblasť sieťovej infraštruktúry</t>
  </si>
  <si>
    <t>Garant pre oblasť sieťovej bezpečnosti</t>
  </si>
  <si>
    <t>Garant pre oblasť ITSM procesy</t>
  </si>
  <si>
    <t>Garant pre oblasť projektového riadenia</t>
  </si>
  <si>
    <t>Garant pre oblasť informačnej bezpečnosti</t>
  </si>
  <si>
    <t>Garant pre oblasť telekomunikačnej a video technológie</t>
  </si>
  <si>
    <t>Garant pre oblasť SAN infraštruktúry</t>
  </si>
  <si>
    <t>Poskytovanie služieb spojených s údržbou a rozvojom GIS SPF</t>
  </si>
  <si>
    <t>Slovenský pozemkový fond</t>
  </si>
  <si>
    <t>00698202</t>
  </si>
  <si>
    <t>C G S spol. s r.o.</t>
  </si>
  <si>
    <t>https://www.crz.gov.sk/data/att/2470204.pdf</t>
  </si>
  <si>
    <t>https://www.crz.gov.sk/zmluva/5052389</t>
  </si>
  <si>
    <t>Zmluva o dielo č. SE-VO1-2020/003209-021</t>
  </si>
  <si>
    <t>https://www.crz.gov.sk/data/att/2470765.pdf</t>
  </si>
  <si>
    <t>https://www.crz.gov.sk/zmluva/5053015</t>
  </si>
  <si>
    <t>Odborník pre IT dohľad/Quality Assurance</t>
  </si>
  <si>
    <t>IT dohľad / QA</t>
  </si>
  <si>
    <t>Procesný špecialista</t>
  </si>
  <si>
    <t>Dodatok č.4</t>
  </si>
  <si>
    <t>00166481</t>
  </si>
  <si>
    <t xml:space="preserve">Generálna prokuratúra Slovenskej republiky </t>
  </si>
  <si>
    <t xml:space="preserve">Štúrova 2 , 812 85  Bratislava , </t>
  </si>
  <si>
    <t>Krasovského 14 , 851 01 Bratislava</t>
  </si>
  <si>
    <t>https://www.crz.gov.sk/data/att/2492509.pdf</t>
  </si>
  <si>
    <t>https://www.crz.gov.sk/zmluva/5084726</t>
  </si>
  <si>
    <t>Konzultant</t>
  </si>
  <si>
    <t>Technologický návrhár</t>
  </si>
  <si>
    <t>Návrh</t>
  </si>
  <si>
    <t>Školitel</t>
  </si>
  <si>
    <t>Grafik</t>
  </si>
  <si>
    <t>Zmenový list č. 007/2020</t>
  </si>
  <si>
    <t>Finančné riaditeľstvo SR</t>
  </si>
  <si>
    <t>Lazovná 63, 974 01 Banská Bystrica</t>
  </si>
  <si>
    <t>https://www.crz.gov.sk/data/att/2492578.pdf</t>
  </si>
  <si>
    <t>https://www.crz.gov.sk/zmluva/5084832</t>
  </si>
  <si>
    <t>Riadiace práce</t>
  </si>
  <si>
    <t>Analytické práce</t>
  </si>
  <si>
    <t>Dizajnérske práce</t>
  </si>
  <si>
    <t>Programátorské práce</t>
  </si>
  <si>
    <t>Testovacie práce u zhotoviteľa</t>
  </si>
  <si>
    <t>Databázová a systémová podpora u zhotoviteľa</t>
  </si>
  <si>
    <t>Zapracovanie zmien do dokumentácie</t>
  </si>
  <si>
    <t>Podpora inštalačných prác u objednávateľa</t>
  </si>
  <si>
    <t>Databázová a systémová podpora u objednávateľa</t>
  </si>
  <si>
    <t>Podpora zhotoviteľa pri testovaní objednávateľom</t>
  </si>
  <si>
    <t>Zmluva  o poskytovaní  služieb</t>
  </si>
  <si>
    <t>Stará Vajnorská 21 Bratislava</t>
  </si>
  <si>
    <t>https://www.crz.gov.sk/data/att/2496118.pdf, https://www.crz.gov.sk/data/att/2496120.pdf</t>
  </si>
  <si>
    <t>https://www.crz.gov.sk/zmluva/5090192</t>
  </si>
  <si>
    <t>Zmenový list č. 005/2020</t>
  </si>
  <si>
    <t>https://www.crz.gov.sk/data/att/2610296.pdf</t>
  </si>
  <si>
    <t>https://www.crz.gov.sk/zmluva/5291746</t>
  </si>
  <si>
    <t>Zmenový list číslo 008/2020</t>
  </si>
  <si>
    <t>https://www.crz.gov.sk/data/att/2628680.pdf</t>
  </si>
  <si>
    <t>https://www.crz.gov.sk/zmluva/5323715</t>
  </si>
  <si>
    <t>Servisná zmluva na poskytovanie služieb podpory užívateľov SAP a údržby licencií SAP</t>
  </si>
  <si>
    <t>https://www.crz.gov.sk/data/att/2635147.pdf</t>
  </si>
  <si>
    <t>https://www.crz.gov.sk/5334862</t>
  </si>
  <si>
    <t>SAP -špecialista</t>
  </si>
  <si>
    <t>Zmluva o dielo a o poskytovaní služieb podpory prevádzky a rozvoja diela</t>
  </si>
  <si>
    <t>00212008</t>
  </si>
  <si>
    <t>Generálne riaditeľstvo Zboru väzenskej a justičnej stráže</t>
  </si>
  <si>
    <t>Šagátová ulica č.1,, 821 08, Bratislava</t>
  </si>
  <si>
    <t>Plynárenská 7/C, 821 09 Bratislava</t>
  </si>
  <si>
    <t>https://www.crz.gov.sk/data/att/2660462.pdf</t>
  </si>
  <si>
    <t>https://www.crz.gov.sk/zmluva/5378689</t>
  </si>
  <si>
    <t>DICIT spol. s r.o.</t>
  </si>
  <si>
    <t>Sekurisova 16, 841 02 Bratislava</t>
  </si>
  <si>
    <t>https://www.crz.gov.sk/data/att/2663310.pdf</t>
  </si>
  <si>
    <t>https://www.crz.gov.sk/zmluva/5383029</t>
  </si>
  <si>
    <t>Bezpečnostný špecialista</t>
  </si>
  <si>
    <t>Vedúci analytik</t>
  </si>
  <si>
    <t>Elektrošpecialista</t>
  </si>
  <si>
    <t xml:space="preserve">Špecialista pre chladiace a klimatizačné systémy </t>
  </si>
  <si>
    <t xml:space="preserve">Systémový špecialista pre technologickú infraštruktúru </t>
  </si>
  <si>
    <t>Elektrotechnik (UPS, Motorgenerátor, Elektro)</t>
  </si>
  <si>
    <t>Technik pre chladiace a klimatizačné systémy</t>
  </si>
  <si>
    <t xml:space="preserve">Revízny technik </t>
  </si>
  <si>
    <t>Technik pre bezpečnostné systémy</t>
  </si>
  <si>
    <t>Špecialista pre CFD analýzu</t>
  </si>
  <si>
    <t>Zmluva o úprave a podpore IS Doklady</t>
  </si>
  <si>
    <t>00699021</t>
  </si>
  <si>
    <t>Ministerstvo zahraničných vecí a európskych záležitostí SR</t>
  </si>
  <si>
    <t>Hlboká cesta 2, 833 36 Bratislava 37</t>
  </si>
  <si>
    <t>https://www.crz.gov.sk/data/att/2665789.pdf</t>
  </si>
  <si>
    <t>https://www.crz.gov.sk/zmluva/5387136</t>
  </si>
  <si>
    <t>Softverový analytik</t>
  </si>
  <si>
    <t>Junior programátor</t>
  </si>
  <si>
    <t>Expert infraštruktúry</t>
  </si>
  <si>
    <t>Databázový špecialista</t>
  </si>
  <si>
    <t>Rámcová dohoda</t>
  </si>
  <si>
    <t>00686832</t>
  </si>
  <si>
    <t>Ministerstvo hospodárstva Slovenskej republiky</t>
  </si>
  <si>
    <t>Mlynské nivy č. 44/a, 827 15 Bratislava</t>
  </si>
  <si>
    <t>https://www.crz.gov.sk/data/att/2706095.pdf</t>
  </si>
  <si>
    <t>https://www.crz.gov.sk/zmluva/5454518</t>
  </si>
  <si>
    <t>Služba- typ 1 (Optimalizácia parametrov výkonnosti, spoľahlivosti a bezpečnosti obstarávaných zariadení IKT a licenčného softvérového vybavenia pre komplexné produkčné systémy. )</t>
  </si>
  <si>
    <t>Služba- typ 3 (Migrácia a konsolidácia dát na obstarávaných diskových poliach. )</t>
  </si>
  <si>
    <t>Služba- typ 4 (Dodávka a fyzická inštalácia zariadení IKT, licenčného softvérového vybavenia a komplexných produkčných systémov.)</t>
  </si>
  <si>
    <t>Služba- typ 5 (Preventívne preverenie deklarovanej funkčnosti obstarávaných zariadení IKT a licenčného softvérového vybavenia (výkonové testy, testy bezpečnosti a spoľahlivosti, produkčné testy). )</t>
  </si>
  <si>
    <t>Služba- typ 6 (Upgrade firmware na najnovšie dostupné verzie, overenie funkčnosti. )</t>
  </si>
  <si>
    <t>Služba- typ 7 (Profylaktika zariadení VT a súvisiacej infraštruktúry (systémov). )</t>
  </si>
  <si>
    <t xml:space="preserve">Dodatok č.6 k Zmluve o poskytovaní servisných služieb na zabezpečenie prevádzky, údržby a aktualizácie rezortného informačného systému </t>
  </si>
  <si>
    <t>Plynárenská 7/C, 821 09 Bratislava. Slovenská republika</t>
  </si>
  <si>
    <t>https://www.crz.gov.sk/data/att/2708388.pdf</t>
  </si>
  <si>
    <t>https://www.crz.gov.sk/zmluva/5458296</t>
  </si>
  <si>
    <t>Analytik, Návrhár</t>
  </si>
  <si>
    <t xml:space="preserve">Operátor </t>
  </si>
  <si>
    <t xml:space="preserve">Technik podpory - administrátor </t>
  </si>
  <si>
    <t>Systémový architekt</t>
  </si>
  <si>
    <t>Systémový inžinier – expert na OS</t>
  </si>
  <si>
    <t>Systémový inžinier – expert na DB</t>
  </si>
  <si>
    <t>Sieťový inžinier – expert</t>
  </si>
  <si>
    <t>Logista</t>
  </si>
  <si>
    <t>Zmluva o poskytovaní služieb manažéra kybernetickej bezpečnosti</t>
  </si>
  <si>
    <t>31341977</t>
  </si>
  <si>
    <t>TRANSPETROL, a. s.</t>
  </si>
  <si>
    <t>Šumavská 38, 821 08 Bratislava 2</t>
  </si>
  <si>
    <t>SHIELD TECH s. r. o.</t>
  </si>
  <si>
    <t>Karpatské námestie 10A, 831 06 Bratislava</t>
  </si>
  <si>
    <t>https://www.crz.gov.sk/data/att/2709880.pdf</t>
  </si>
  <si>
    <t>https://www.crz.gov.sk/zmluva/5460706</t>
  </si>
  <si>
    <t>Iné služby súvisiace s kybernetickou bezpečnosťou</t>
  </si>
  <si>
    <t>Zmenový list č. 004/2021</t>
  </si>
  <si>
    <t>https://www.crz.gov.sk/data/att/2733403.pdf</t>
  </si>
  <si>
    <t>https://www.crz.gov.sk/zmluva/5498421</t>
  </si>
  <si>
    <t>"Dodatok č. 1 k Zmluve o poskytovaní služieb technickej podpory a rozvoja pre Informačný systém nemocenského poistenia a lekárskej posudkovej činnosti a poskytovaní služieb technickej podpory pre licenčné softvérové vybavenie SYRIUS</t>
  </si>
  <si>
    <t>DXC Technology Information Services Slovakia s.r.o.</t>
  </si>
  <si>
    <t>Galvaniho 7, 821 04 Bratislava – mestská časť Ružinov</t>
  </si>
  <si>
    <t>https://www.crz.gov.sk/data/att/2791317.pdf</t>
  </si>
  <si>
    <t>https://www.crz.gov.sk/zmluva/5600113</t>
  </si>
  <si>
    <t>Rámcová zmluva o poskytnutí služby</t>
  </si>
  <si>
    <t>https://www.crz.gov.sk/data/att/2792026.pdf</t>
  </si>
  <si>
    <t>https://www.crz.gov.sk/zmluva/5601020</t>
  </si>
  <si>
    <t>Zmenový list č. 005/2021</t>
  </si>
  <si>
    <t>https://www.crz.gov.sk/data/att/2823952.pdf</t>
  </si>
  <si>
    <t>https://www.crz.gov.sk/zmluva/5653732</t>
  </si>
  <si>
    <t>Zmenový list č. 006/2021</t>
  </si>
  <si>
    <t>https://www.crz.gov.sk/data/att/2823959.pdf</t>
  </si>
  <si>
    <t>https://www.crz.gov.sk/zmluva/5653736</t>
  </si>
  <si>
    <t>Zmluva na poskytovanie služieb softvérového riešenia ETRM</t>
  </si>
  <si>
    <t>Slovenský plynárenský priemysel, a.s.</t>
  </si>
  <si>
    <t>Mlynské nivy 44/a, 825 11 Bratislava</t>
  </si>
  <si>
    <t>IPESOFT spol. s r.o.</t>
  </si>
  <si>
    <t>Bytčická 2, Žilina</t>
  </si>
  <si>
    <t>https://www.crz.gov.sk/data/att/2852790.pdf</t>
  </si>
  <si>
    <t>https://www.crz.gov.sk/zmluva/5700048</t>
  </si>
  <si>
    <t>Administratívne práce</t>
  </si>
  <si>
    <t>Školiace práce</t>
  </si>
  <si>
    <t>Inštalačné práce</t>
  </si>
  <si>
    <t>Inštalácia a konfigurácia</t>
  </si>
  <si>
    <t>Riadenie projektu</t>
  </si>
  <si>
    <t>Konzultačné práce</t>
  </si>
  <si>
    <t>Lamačská cesta 8A, 811 04 Bratislava</t>
  </si>
  <si>
    <t>SPOJNET s. r. o.</t>
  </si>
  <si>
    <t>Brečtanova 4/B, 831 01 Bratislava</t>
  </si>
  <si>
    <t>https://www.crz.gov.sk/data/att/2868640.pdf</t>
  </si>
  <si>
    <t>https://www.crz.gov.sk/zmluva/5725550</t>
  </si>
  <si>
    <t>Odborník pre IT dohľad</t>
  </si>
  <si>
    <t>HW špecialista</t>
  </si>
  <si>
    <t>Špecialista pre datábazy</t>
  </si>
  <si>
    <t>Dodatok č. 1 k Zmluve o dielo na Národnú aplikáciu Sociálnej poisťovne (EESSI - Elektronická výmena dát sociálneho zabezpečenia)</t>
  </si>
  <si>
    <t>Galvaniho ul. 17/C, 821 04 Bratislava</t>
  </si>
  <si>
    <t>https://www.crz.gov.sk/data/att/2873543.pdf</t>
  </si>
  <si>
    <t>https://www.crz.gov.sk/zmluva/5733583</t>
  </si>
  <si>
    <t>Rozvoj podľa bodov c1 až c8</t>
  </si>
  <si>
    <t>Rozvoj podľa bodu c9</t>
  </si>
  <si>
    <t>Rozvoj podľa bodu c10</t>
  </si>
  <si>
    <t>Rozvoj podľa bodu c11</t>
  </si>
  <si>
    <t>ZMLUVA O DIELO č. 60/2021 pre časť I: „Rozvoj platformy integrácie údajov (centrálna integračná platforma)”</t>
  </si>
  <si>
    <t>Štefánikova 15, 811 05 Bratislava</t>
  </si>
  <si>
    <t>Galvaniho 7, 820 02 Bratislava</t>
  </si>
  <si>
    <t>https://www.crz.gov.sk/data/att/2874354.pdf</t>
  </si>
  <si>
    <t>https://www.crz.gov.sk/zmluva/5733991</t>
  </si>
  <si>
    <t xml:space="preserve">Áno </t>
  </si>
  <si>
    <t>IT/IS konzultant (Talend)</t>
  </si>
  <si>
    <t>pozícia, ktorú nie je možné zaradiť do vyššie 
uvedených pozícií)</t>
  </si>
  <si>
    <t>ZMLUVA O DIELO č. 61/2021 pre časť II: „Manažment osobných údajov“</t>
  </si>
  <si>
    <t>https://www.crz.gov.sk/data/att/2874368.pdf</t>
  </si>
  <si>
    <t>https://www.crz.gov.sk/zmluva/5734901</t>
  </si>
  <si>
    <t>IT/IS konzultant (napr. SAP)</t>
  </si>
  <si>
    <t>Zmluva o poskytovaní podporných služieb – Underpinningcontract /UC/ pre zabezpečenie prevádzky Informačného systému Nové SIPO  /IS /na základe dohodnutých cieľových úrovní podporných služieb – ServiceLevelTarget /SLT/</t>
  </si>
  <si>
    <t>Mlynská dolina 41, 811 02 Bratislava</t>
  </si>
  <si>
    <t>https://www.crz.gov.sk/data/att/2897798.pdf</t>
  </si>
  <si>
    <t>https://www.crz.gov.sk/zmluva/5772931</t>
  </si>
  <si>
    <t>RD o servisnej podpore a prispôsobení SW aplikácie subsystému EIS KIS VšZP na báze SAP ERP</t>
  </si>
  <si>
    <t>SLOVAKODATA, a.s.</t>
  </si>
  <si>
    <t>Kutlíkova 17, 850 00 Bratislava</t>
  </si>
  <si>
    <t>https://www.crz.gov.sk/data/att/2902032.pdf</t>
  </si>
  <si>
    <t>https://www.crz.gov.sk/zmluva/5779997</t>
  </si>
  <si>
    <t>Podpora pri závierkových prácach</t>
  </si>
  <si>
    <t>Administácia IS</t>
  </si>
  <si>
    <t>Zabezpečenie prístupu k technickej podpore cez webportál, zabezpečenie možnosti zakladať a eskalovať Service Request</t>
  </si>
  <si>
    <t>Kozultácie a školenia podľa požiadaviek objednávateľa</t>
  </si>
  <si>
    <t>Riešenie nových zmenových požiadaviek (analýza, vypracovanie, testovanie, podpora)</t>
  </si>
  <si>
    <t>Riešenie požiadaviek vychádzajúcich z integrácií na iné systémy v rámci komplexného IS</t>
  </si>
  <si>
    <t>Prispôsobenie SW aplikácie</t>
  </si>
  <si>
    <t>Údržba existujúcich rožšírení</t>
  </si>
  <si>
    <t>Zmluva o implementácii Centrálneho ekonomického systému  a o poskytovaní aplikačnej podpory</t>
  </si>
  <si>
    <t>00151742</t>
  </si>
  <si>
    <t>Ministerstvo financií SR</t>
  </si>
  <si>
    <t xml:space="preserve">Štefanovičova 5, P. O. BOX 82 , 817 82 BRATISLAVA , </t>
  </si>
  <si>
    <t>Galvaniho 7, 820 02 Bratislava 22</t>
  </si>
  <si>
    <t>https://www.crz.gov.sk/data/att/2909815.pdf</t>
  </si>
  <si>
    <t>https://www.crz.gov.sk/zmluva/5792258</t>
  </si>
  <si>
    <t>Senior</t>
  </si>
  <si>
    <t>Junior</t>
  </si>
  <si>
    <t>Servisná zmluva ES MZEZ SR</t>
  </si>
  <si>
    <t>Hlboká cesta 2_x000D_, 833 36 Bratislava 37</t>
  </si>
  <si>
    <t>Kupecká 9, 949 01 Nitra SK</t>
  </si>
  <si>
    <t>https://www.crz.gov.sk/data/att/2911894.pdf</t>
  </si>
  <si>
    <t>https://www.crz.gov.sk/zmluva/5795415</t>
  </si>
  <si>
    <t>Systémový administrátor</t>
  </si>
  <si>
    <t>Bezpečnostný expert</t>
  </si>
  <si>
    <t>Manažér pre servisnú prevádzku a podporu informačných systémov</t>
  </si>
  <si>
    <t>Databázový expert</t>
  </si>
  <si>
    <t>Servisná zmluva na poskytovanie služieb podpory, údržby a rozvoja systému SAP</t>
  </si>
  <si>
    <t>Bratislavská teplárenská, a.s.</t>
  </si>
  <si>
    <t>Turbínová 3, 829 05 Bratislava - mestská časť Nové Mesto</t>
  </si>
  <si>
    <t>Galvaniho 15/C,  821 04 Bratislava</t>
  </si>
  <si>
    <t>https://www.crz.gov.sk/data/att/2917320.pdf</t>
  </si>
  <si>
    <t>https://www.crz.gov.sk/zmluva/5804388</t>
  </si>
  <si>
    <t>SAP konzultant</t>
  </si>
  <si>
    <t xml:space="preserve">Zmluva č. 2021/817 - o servisnej podpore aplikačných modulov a rozvojových prácach na integrovanom informačnom systéme (IIS) </t>
  </si>
  <si>
    <t>https://www.crz.gov.sk/data/att/2931428.pdf</t>
  </si>
  <si>
    <t>https://www.crz.gov.sk/zmluva/5826343</t>
  </si>
  <si>
    <t xml:space="preserve">Nastavenie, parametrizácia systému </t>
  </si>
  <si>
    <t>Vývoj Java</t>
  </si>
  <si>
    <t>Poradentsvo na požiadanie</t>
  </si>
  <si>
    <t>Zmluva o dielo č. 295/2021 Dátová integrácia: sprístupnenie údajovej základne VS vrátane otvorených údajov prostredníctvom platformy dátovej integrácie medzi MIRRI a DXC Technology Slovakia s. r. o., MIM s.r.o, a DITEC a.s.</t>
  </si>
  <si>
    <t>https://www.crz.gov.sk/data/att/2957820.pdf</t>
  </si>
  <si>
    <t>https://www.crz.gov.sk/zmluva/5869137</t>
  </si>
  <si>
    <t>Galvaniho 7, 820 02 Bratislava 23</t>
  </si>
  <si>
    <t>Galvaniho 7, 820 02 Bratislava 24</t>
  </si>
  <si>
    <t>Galvaniho 7, 820 02 Bratislava 25</t>
  </si>
  <si>
    <t>Galvaniho 7, 820 02 Bratislava 26</t>
  </si>
  <si>
    <t>analytik</t>
  </si>
  <si>
    <t>Galvaniho 7, 820 02 Bratislava 27</t>
  </si>
  <si>
    <t>Galvaniho 7, 820 02 Bratislava 28</t>
  </si>
  <si>
    <t>Galvaniho 7, 820 02 Bratislava 29</t>
  </si>
  <si>
    <t>Galvaniho 7, 820 02 Bratislava 30</t>
  </si>
  <si>
    <t>Galvaniho 7, 820 02 Bratislava 31</t>
  </si>
  <si>
    <t>LICENČNÁ ZMLUVA A DOHODA O UROVNANÍ</t>
  </si>
  <si>
    <t>00166260</t>
  </si>
  <si>
    <t>Úrad geodézie, kartografie a katastra SR</t>
  </si>
  <si>
    <t>Chlumeckého 2, 820 12 Bratislava 212</t>
  </si>
  <si>
    <t>Mlynské nivy 71, 821 05 Bratislava</t>
  </si>
  <si>
    <t>https://www.crz.gov.sk/data/att/2980837.pdf, https://www.crz.gov.sk/data/att/2980838.pdf</t>
  </si>
  <si>
    <t>https://www.crz.gov.sk/zmluva/5905829</t>
  </si>
  <si>
    <t>vývoj</t>
  </si>
  <si>
    <t>mapovanie</t>
  </si>
  <si>
    <t>Zmluva o poskytovaní služieb  k prevydaniu certifikátov a knižníc pre komponenty systému E-Kolok</t>
  </si>
  <si>
    <t>Záhradnícka 151, 821 08 Bratislava</t>
  </si>
  <si>
    <t>https://www.crz.gov.sk/data/att/3022505.pdf, https://www.crz.gov.sk/data/att/3022507.pdf</t>
  </si>
  <si>
    <t>https://www.crz.gov.sk/zmluva/5975457</t>
  </si>
  <si>
    <t>Zmluva o dielo: "Systémová integrácia a projektové riadenie"</t>
  </si>
  <si>
    <t>TEKO, a. s. / MH Teplárenský holding, a.s.</t>
  </si>
  <si>
    <t>Teplárenská 3, 042 92 Košice</t>
  </si>
  <si>
    <t>Hewlett Packard Enterprise Slovakia, s.r.o.</t>
  </si>
  <si>
    <t>Galvaniho 7, 821 04 Bratislava - mestská časť Ružinov</t>
  </si>
  <si>
    <t>https://www.crz.gov.sk/data/att/3037080.pdf</t>
  </si>
  <si>
    <t>https://www.crz.gov.sk/zmluva/5999260</t>
  </si>
  <si>
    <t>ZMLUVA na poskytovanie služieb</t>
  </si>
  <si>
    <t>None</t>
  </si>
  <si>
    <t>https://www.crz.gov.sk/data/att/3042871.pdf</t>
  </si>
  <si>
    <t>https://www.crz.gov.sk/zmluva/6008689</t>
  </si>
  <si>
    <t>Zmluva o dielo č. 30121174</t>
  </si>
  <si>
    <t>SOFTIP, a. s.</t>
  </si>
  <si>
    <t>Krasovského 14, 851 01 Bratislava - mestská časť Petržalka</t>
  </si>
  <si>
    <t>https://www.crz.gov.sk/data/att/3044214.pdf, https://www.crz.gov.sk/data/att/3044218.pdf</t>
  </si>
  <si>
    <t>https://www.crz.gov.sk/zmluva/6010823</t>
  </si>
  <si>
    <t>ZMLUVA O DIELO</t>
  </si>
  <si>
    <t>Slovenská komora daňových poradcov</t>
  </si>
  <si>
    <t>Trnavská cesta 74/A, 821 01 Bratislava</t>
  </si>
  <si>
    <t>JUMP soft a.s.</t>
  </si>
  <si>
    <t>Landererova 12, 811 09 Bratislava</t>
  </si>
  <si>
    <t>https://www.crz.gov.sk/data/att/3047275.pdf</t>
  </si>
  <si>
    <t>https://www.crz.gov.sk/zmluva/6015697</t>
  </si>
  <si>
    <t>Zmluva o poskytovaní servisných a rozvojových služieb Kontrolórskeho informačného systému NKÚ SR</t>
  </si>
  <si>
    <t>Najvyšší kontrolný úrad Slovenskej republiky</t>
  </si>
  <si>
    <t>Priemyselná 2, 82473 Bratislava 26,</t>
  </si>
  <si>
    <t>https://www.crz.gov.sk/data/att/3075665.pdf</t>
  </si>
  <si>
    <t>https://www.crz.gov.sk/zmluva/6029654</t>
  </si>
  <si>
    <t>Špecialista pre cloud</t>
  </si>
  <si>
    <t>Zmluva o poskytovaní služieb (Systémová a aplikačná podpora a služby rozvoja Jednotného informačného systému v cestnej doprave)</t>
  </si>
  <si>
    <t>Ministerstvo dopravy a výstavby SR</t>
  </si>
  <si>
    <t>Námestie slobody č. 6, P.O.BOX 100, 810 05 Bratislava, Slovenská republika</t>
  </si>
  <si>
    <t>https://www.crz.gov.sk/data/att/3063799.pdf</t>
  </si>
  <si>
    <t>https://www.crz.gov.sk/zmluva/6042278</t>
  </si>
  <si>
    <t>Úrad priemyselného vlastníctva SR</t>
  </si>
  <si>
    <t>Švermova 43, 974 04 Banská Bystrica 4</t>
  </si>
  <si>
    <t>https://www.crz.gov.sk/data/att/3075074.pdf, https://www.crz.gov.sk/data/att/3075075.pdf</t>
  </si>
  <si>
    <t>https://www.crz.gov.sk/zmluva/6060942</t>
  </si>
  <si>
    <t>Klemensova 8, 813 61 Bratislava</t>
  </si>
  <si>
    <t>https://www.crz.gov.sk/data/att/3074188.pdf</t>
  </si>
  <si>
    <t>https://www.crz.gov.sk/zmluva/6059437</t>
  </si>
  <si>
    <t>Zmenový list č. 029/2021</t>
  </si>
  <si>
    <t>https://www.crz.gov.sk/data/att/3087807.pdf</t>
  </si>
  <si>
    <t>https://www.crz.gov.sk/zmluva/6082186</t>
  </si>
  <si>
    <t>Zmluva  o poskytovaní podporných služieb – Underpinning contract /UC/ pre zabezpečenie prevádzky  Informačného systému „SOFTIP HUMAN RESOURCES“ /IS/na základe dohodnutých cieľových úrovní podporných služieb – Service Level Target /SLT/</t>
  </si>
  <si>
    <t>Krasovského 14, 851 01 Bratislava – mestská časť Petržalka</t>
  </si>
  <si>
    <t>https://www.crz.gov.sk/data/att/3096921.pdf, https://www.crz.gov.sk/data/att/3096923.pdf</t>
  </si>
  <si>
    <t>https://www.crz.gov.sk/zmluva/6097987</t>
  </si>
  <si>
    <t>Biznis analytik</t>
  </si>
  <si>
    <t>Manažér kvality</t>
  </si>
  <si>
    <t>Metodik</t>
  </si>
  <si>
    <t>Zmluva o zabezpečení dostupnosti medicínskeho informačného systému PROMIS na základe dohodnutých cieľových úrovní podporných služieb- SERVICE LEVEL AGREEMENT/SLA/</t>
  </si>
  <si>
    <t>Univerzitná nemocnica - Nemocnica svätého Michala, a. s.</t>
  </si>
  <si>
    <t>Satinského I.7770/1, 811 08 Bratislava</t>
  </si>
  <si>
    <t>PROSOFT Košice, a.s.</t>
  </si>
  <si>
    <t>Letná 27, 040 01 Košice</t>
  </si>
  <si>
    <t>https://www.crz.gov.sk/data/att/3097519.pdf</t>
  </si>
  <si>
    <t>https://www.crz.gov.sk/zmluva/6099100</t>
  </si>
  <si>
    <t>JUST IT Solutions s.r.o.</t>
  </si>
  <si>
    <t>Priemyselná 8, 821 09 Bratislava - mestská časť Nové Mesto</t>
  </si>
  <si>
    <t>https://www.crz.gov.sk/data/att/3115042.pdf, https://www.crz.gov.sk/data/att/3115047.pdf</t>
  </si>
  <si>
    <t>https://www.crz.gov.sk/zmluva/6127549</t>
  </si>
  <si>
    <t>Zmluva o dielo na dodávku softvérového diela č. 105/2021</t>
  </si>
  <si>
    <t>00156906</t>
  </si>
  <si>
    <t>Slovenská inšpekcia životného prostredia</t>
  </si>
  <si>
    <t>Grösslingová 5, 811 09 Bratislava</t>
  </si>
  <si>
    <t>Plynárenská 7C, 821 09 Bratislava</t>
  </si>
  <si>
    <t>https://www.crz.gov.sk/data/att/3116917.pdf, https://www.crz.gov.sk/data/att/3116929.pdf</t>
  </si>
  <si>
    <t>https://www.crz.gov.sk/zmluva/6130283</t>
  </si>
  <si>
    <t>Rámcová zmluva na poskytnutie plnenia Migrácia SAP CRM a ISU na databázu HANA a ďalších služieb</t>
  </si>
  <si>
    <t>Krasovského 14, 851 01 Bratislava - Petržalka, SK</t>
  </si>
  <si>
    <t>https://www.crz.gov.sk/data/att/3116616.pdf</t>
  </si>
  <si>
    <t>https://www.crz.gov.sk/zmluva/6079665</t>
  </si>
  <si>
    <t>Zmluva o poskytnutí služieb</t>
  </si>
  <si>
    <t>https://www.crz.gov.sk/data/att/3117472.pdf</t>
  </si>
  <si>
    <t>https://www.crz.gov.sk/zmluva/6131152</t>
  </si>
  <si>
    <t>Stromová 1, Bratislava, 81331</t>
  </si>
  <si>
    <t>Stromová 1, Bratislava, 81332</t>
  </si>
  <si>
    <t>Stromová 1, Bratislava, 81333</t>
  </si>
  <si>
    <t>Stromová 1, Bratislava, 81334</t>
  </si>
  <si>
    <t>Špecialista na infraštruktúrny SW</t>
  </si>
  <si>
    <t>Stromová 1, Bratislava, 81335</t>
  </si>
  <si>
    <t>Stromová 1, Bratislava, 81336</t>
  </si>
  <si>
    <t>Stromová 1, Bratislava, 81337</t>
  </si>
  <si>
    <t>Stromová 1, Bratislava, 81338</t>
  </si>
  <si>
    <t>Servisná zmluva na poskytovanie služieb prevádzky, podpory, údržby a rozvoja systému 4me</t>
  </si>
  <si>
    <t>OMNICOM, s.r.o.</t>
  </si>
  <si>
    <t>Tomášikova 64, 831 04 Bratislava</t>
  </si>
  <si>
    <t>https://www.crz.gov.sk/data/att/3120219.pdf</t>
  </si>
  <si>
    <t>https://www.crz.gov.sk/zmluva/6135439</t>
  </si>
  <si>
    <t>https://www.crz.gov.sk/data/att/3121488.pdf, https://www.crz.gov.sk/data/att/3121489.pdf</t>
  </si>
  <si>
    <t>https://www.crz.gov.sk/zmluva/6137686</t>
  </si>
  <si>
    <t>ZMLUVA O PODPORE PREVÁDZKY, ÚDRŽBE A ROZVOJI INFORMAČNÉHO SYSTÉMU</t>
  </si>
  <si>
    <t>https://www.crz.gov.sk/data/att/3121841.pdf, https://www.crz.gov.sk/data/att/3121844.pdf</t>
  </si>
  <si>
    <t>https://www.crz.gov.sk/zmluva/6138326</t>
  </si>
  <si>
    <t>Používateľská podpora</t>
  </si>
  <si>
    <t>Zmluva o poskytovaní služieb č. 30321217</t>
  </si>
  <si>
    <t>https://www.crz.gov.sk/data/att/3130207.pdf</t>
  </si>
  <si>
    <t>https://www.crz.gov.sk/zmluva/6152333</t>
  </si>
  <si>
    <t>RD o poskytovanie technickej podpory softvérových produktov IBM, nákup nových softvérových licencií IBM a súvisiacich služieb</t>
  </si>
  <si>
    <t>Trenčianska 56/A, 82109 Bratislava</t>
  </si>
  <si>
    <t>https://www.crz.gov.sk/data/att/3144481.pdf</t>
  </si>
  <si>
    <t>https://www.crz.gov.sk/zmluva/6176444</t>
  </si>
  <si>
    <t>Zmluva na služby prevádzky sieťových technológií</t>
  </si>
  <si>
    <t>https://www.crz.gov.sk/data/att/3148994.pdf</t>
  </si>
  <si>
    <t>https://www.crz.gov.sk/zmluva/6165783</t>
  </si>
  <si>
    <t>Rámcová zmluva o poskytovaní služieb technickej podpory</t>
  </si>
  <si>
    <t>Plynárenská 5, 829 75 Bratislava, SK</t>
  </si>
  <si>
    <t>https://www.crz.gov.sk/data/att/3156325.pdf</t>
  </si>
  <si>
    <t>https://www.crz.gov.sk/zmluva/6199020</t>
  </si>
  <si>
    <t>Zmluva o dielo - Upgrade SW riešenia Kontaktné centrum</t>
  </si>
  <si>
    <t>https://www.crz.gov.sk/data/att/3156324.pdf</t>
  </si>
  <si>
    <t>https://www.crz.gov.sk/zmluva/6199027</t>
  </si>
  <si>
    <t>https://www.crz.gov.sk/zmluva/6199028</t>
  </si>
  <si>
    <t>Čiastková zmluva č. 6 - Zmluva o dielo na dodávku softvérového diela</t>
  </si>
  <si>
    <t>Národný bezpečnostný úrad</t>
  </si>
  <si>
    <t>Budatínska 30, 851 06  Bratislava</t>
  </si>
  <si>
    <t>https://www.crz.gov.sk/data/att/3159141.pdf, https://www.crz.gov.sk/data/att/3159143.pdf</t>
  </si>
  <si>
    <t>https://www.crz.gov.sk/zmluva/6203764</t>
  </si>
  <si>
    <t>ZMLUVA O DIELO PRE PROJEKT MANAŽMENT ÚDAJOV V OBLASTI NEPROFESIONÁLNEHO UMENIA - JEDNODUCHÝ PROJEKT PRE MANAŽMENT ÚDAJOV</t>
  </si>
  <si>
    <t>00164615</t>
  </si>
  <si>
    <t>Národné osvetové centrum</t>
  </si>
  <si>
    <t>Národné osvetové centrum, Námestie SNP 12, 812 34 Bratislava</t>
  </si>
  <si>
    <t>https://www.crz.gov.sk/data/att/3181496.pdf</t>
  </si>
  <si>
    <t>https://www.crz.gov.sk/zmluva/6244330</t>
  </si>
  <si>
    <t>https://www.crz.gov.sk/data/att/3181502.pdf</t>
  </si>
  <si>
    <t>https://www.crz.gov.sk/zmluva/6244342</t>
  </si>
  <si>
    <t>Dodatok č. 1 k Zmluve o poskytovaní systémovej a aplikačnej podpory Informačného systému Slov-Lex</t>
  </si>
  <si>
    <t>Úrad vlády SR, Úrad podpredsedu vlády Slovenskej republiky, ktorý neriadi ministerstvo</t>
  </si>
  <si>
    <t>Námestie slobody 1, 813 70 Bratislava</t>
  </si>
  <si>
    <t>Pribinova 19, 811 09 Bratislava</t>
  </si>
  <si>
    <t>https://www.crz.gov.sk/data/att/3197517.pdf</t>
  </si>
  <si>
    <t>https://www.crz.gov.sk/zmluva/6271322</t>
  </si>
  <si>
    <t>Rámcová dohoda č. 2022/504 – Rozvoj a servisná podpora Integrovaného informačného systému</t>
  </si>
  <si>
    <t>Kutuzovova 8, 832 47 Bratislava</t>
  </si>
  <si>
    <t>https://www.crz.gov.sk/data/att/3198504.pdf</t>
  </si>
  <si>
    <t>https://www.crz.gov.sk/zmluva/6273806</t>
  </si>
  <si>
    <t>Špecialista v oblasti personalistiky</t>
  </si>
  <si>
    <t>Špecialista v oblasti materiálového manažmentu</t>
  </si>
  <si>
    <t>Špecialista v oblasti rozpočtu a plánovania</t>
  </si>
  <si>
    <t>Špecialista v oblasti údržby a prevádzky techniky</t>
  </si>
  <si>
    <t>Konzultant pre bázu SAP-SAP BC</t>
  </si>
  <si>
    <t>Migračný špecialista pre SAP</t>
  </si>
  <si>
    <t>Zmluva na dodávku a inštaláciu servera a softvérového vybavenia</t>
  </si>
  <si>
    <t>00606715</t>
  </si>
  <si>
    <t>Detská fakultná nemocnica Košice</t>
  </si>
  <si>
    <t>Tr. SNP 1, 04011 Košice</t>
  </si>
  <si>
    <t>https://www.crz.gov.sk/data/att/3198827.pdf</t>
  </si>
  <si>
    <t>https://www.crz.gov.sk/zmluva/6275383</t>
  </si>
  <si>
    <t>Migrácia AD</t>
  </si>
  <si>
    <t>SharePoint</t>
  </si>
  <si>
    <t>SQL server</t>
  </si>
  <si>
    <t>Exchange server</t>
  </si>
  <si>
    <t>Servisná zmluva na poskytovanie služieb podpory, údržby a rozvoja jednotného účtovného systému SAP R/3</t>
  </si>
  <si>
    <t>Turbínová 3, 831 04 Bratislava</t>
  </si>
  <si>
    <t>Priemyselná 8, 821 09 Bratislava</t>
  </si>
  <si>
    <t>https://www.crz.gov.sk/data/att/3211175.pdf</t>
  </si>
  <si>
    <t>https://www.crz.gov.sk/zmluva/6301114</t>
  </si>
  <si>
    <t>Štatistika elektronických komunikácií</t>
  </si>
  <si>
    <t>Výskumný ústav spojov, n.o.</t>
  </si>
  <si>
    <t>https://www.crz.gov.sk/data/att/3220815.pdf</t>
  </si>
  <si>
    <t>https://www.crz.gov.sk/zmluva/6316309</t>
  </si>
  <si>
    <t>Rámcová dohoda o poskytovaní  služieb technickej  podpory pre softvérové  produkty v  prostredí infraštruktúty  MPSVR SR</t>
  </si>
  <si>
    <t>Galvaniho 17/C Bratislava</t>
  </si>
  <si>
    <t>https://www.crz.gov.sk/data/att/3242117.pdf, https://www.crz.gov.sk/data/att/3242129.pdf</t>
  </si>
  <si>
    <t>https://www.crz.gov.sk/zmluva/6351082</t>
  </si>
  <si>
    <t>Bratislavská vodárenská spoločnosť, a. s.</t>
  </si>
  <si>
    <t>Prešovská 48, 826 46 Bratislava</t>
  </si>
  <si>
    <t>https://www.crz.gov.sk/data/att/3246432.pdf</t>
  </si>
  <si>
    <t>https://www.crz.gov.sk/zmluva/6358187</t>
  </si>
  <si>
    <t>Zmluva o dielo na dodávku softwérového diela</t>
  </si>
  <si>
    <t>Pamiatkový úrad Slovenskej republiky</t>
  </si>
  <si>
    <t>Cesta na Červený most 6, 81406 Bratislava</t>
  </si>
  <si>
    <t>https://www.crz.gov.sk/data/att/3271667.pdf, https://www.crz.gov.sk/data/att/3271714.pdf</t>
  </si>
  <si>
    <t>https://www.crz.gov.sk/zmluva/6400990</t>
  </si>
  <si>
    <t>Zmluva o podpore prevádzky, údržbe a rozvoji informačného systému</t>
  </si>
  <si>
    <t>https://www.crz.gov.sk/data/att/3271821.pdf</t>
  </si>
  <si>
    <t>https://www.crz.gov.sk/zmluva/6401267</t>
  </si>
  <si>
    <t>Zmluva o dielo na realizáciu predmetu zákazky: "Služby a práce v oblasti IT pre projekt: Digitálna inklúzia vo vzdelávaní"</t>
  </si>
  <si>
    <t>00397610</t>
  </si>
  <si>
    <t>Technická univerzita v Košiciach</t>
  </si>
  <si>
    <t>Letná č. 1/9, 042 00 Košice-Sever</t>
  </si>
  <si>
    <t>elfa, s.r.o.</t>
  </si>
  <si>
    <t>Park Komenského 7, 040 01 Košice</t>
  </si>
  <si>
    <t>https://www.crz.gov.sk/data/att/3290114.pdf</t>
  </si>
  <si>
    <t>https://www.crz.gov.sk/zmluva/6432554</t>
  </si>
  <si>
    <t>ZMLUVA O POSKYTOVANÍ SLUŽIEB PLOŠNÉHO ROZŠÍRENIA IS DCOM NA MESTÁ</t>
  </si>
  <si>
    <t>DataCentrum elektronizácie územnej samosprávy SR</t>
  </si>
  <si>
    <t>Združenie právnických osôb, Nám. Mateja Korvína 1, 811 07 Bratislava</t>
  </si>
  <si>
    <t>PosAm, spol. s r. o.</t>
  </si>
  <si>
    <t>Bajkalská 28, 821 09 Bratislava</t>
  </si>
  <si>
    <t>https://www.crz.gov.sk/data/att/3321263.pdf</t>
  </si>
  <si>
    <t>https://www.crz.gov.sk/zmluva/6483526</t>
  </si>
  <si>
    <t>Úrad jadrového dozoru SR</t>
  </si>
  <si>
    <t>Bajkalská 27,, P.O.BOX 24, 820 07 Bratislava</t>
  </si>
  <si>
    <t>eDevelopment s.r.o.</t>
  </si>
  <si>
    <t>Dlhá 2, 900 31 Stupava, Slovenská republika</t>
  </si>
  <si>
    <t>https://www.crz.gov.sk/data/att/3332522.pdf</t>
  </si>
  <si>
    <t>https://www.crz.gov.sk/zmluva/6502691</t>
  </si>
  <si>
    <t>Zmenový list č. 005/2022</t>
  </si>
  <si>
    <t>https://www.crz.gov.sk/data/att/3340056.pdf</t>
  </si>
  <si>
    <t>https://www.crz.gov.sk/zmluva/6515273</t>
  </si>
  <si>
    <t>DODATOK Č. 5 k SERVICE LEVEL AGREEMENT (SLA) zo dňa 15.11.2021</t>
  </si>
  <si>
    <t>Generálna prokuratúra Slovenskej republiky</t>
  </si>
  <si>
    <t>Štúrova 2 , 812 85  Bratislava ,</t>
  </si>
  <si>
    <t>Krasovského 14, 851 01 Bratislava ,</t>
  </si>
  <si>
    <t>https://www.crz.gov.sk/data/att/3392548.pdf</t>
  </si>
  <si>
    <t>https://www.crz.gov.sk/zmluva/6606596</t>
  </si>
  <si>
    <t>Rámcová dohoda o poskytovaní podpory a zaezpečení prevádzky č. O062022OLM275</t>
  </si>
  <si>
    <t>00315524</t>
  </si>
  <si>
    <t>Mesto Liptovský Mikuláš</t>
  </si>
  <si>
    <t>Štúrova 1989/41, 031 41 Liptovský Mikuláš</t>
  </si>
  <si>
    <t>Synergon a.s.</t>
  </si>
  <si>
    <t>Partizánska cesta 77, Banská Bystrica</t>
  </si>
  <si>
    <t>https://www.crz.gov.sk/data/att/3417848.pdf</t>
  </si>
  <si>
    <t>https://www.crz.gov.sk/zmluva/6648496</t>
  </si>
  <si>
    <t>Konzultant pre oblasť samosprávy</t>
  </si>
  <si>
    <t>Systémový sotfvér</t>
  </si>
  <si>
    <t>Rámcová zmluva na podporu, zmeny a rozvoj informačného systému BSK č. 9/2022</t>
  </si>
  <si>
    <t>Bratislavský samosprávny kraj</t>
  </si>
  <si>
    <t>Sabinovská 16254/16, 82005 Bratislava - mestská časť Ružinov</t>
  </si>
  <si>
    <t>DIMANO, a. s.</t>
  </si>
  <si>
    <t>Prievozská 14, 821 09 Bratislava</t>
  </si>
  <si>
    <t>https://www.crz.gov.sk/data/att/3415821.pdf</t>
  </si>
  <si>
    <t>https://www.crz.gov.sk/zmluva/6645112</t>
  </si>
  <si>
    <t>Supervízna zmluva č. ST202222 podpora prevádzky IS</t>
  </si>
  <si>
    <t>Fakultná nemocnica s poliklinikou Nové Zámky</t>
  </si>
  <si>
    <t>Slovenská 11/A, 940 34 Nové Zámky</t>
  </si>
  <si>
    <t>STAPRO SLOVENSKO s.r.o.</t>
  </si>
  <si>
    <t>Hroncova 3, Košice 040 01</t>
  </si>
  <si>
    <t>https://www.crz.gov.sk/data/att/3426679.pdf</t>
  </si>
  <si>
    <t>https://www.crz.gov.sk/zmluva/6662726</t>
  </si>
  <si>
    <t>Zmenový list č. 011/2022</t>
  </si>
  <si>
    <t>https://www.crz.gov.sk/data/att/3433914.pdf</t>
  </si>
  <si>
    <t>https://www.crz.gov.sk/zmluva/6674983</t>
  </si>
  <si>
    <t>Centrum právnej pomoci</t>
  </si>
  <si>
    <t>Račianska 1523/71,Bratislava</t>
  </si>
  <si>
    <t>Karloveská 34,Bratislava</t>
  </si>
  <si>
    <t>https://www.crz.gov.sk/data/att/3439449.pdf, https://www.crz.gov.sk/data/att/3439457.pdf</t>
  </si>
  <si>
    <t>https://www.crz.gov.sk/zmluva/6684428</t>
  </si>
  <si>
    <t>Rámcová dohoda Služby technickej podpory a správy infraštruktúry Ministerstva školstva</t>
  </si>
  <si>
    <t>https://www.crz.gov.sk/data/att/3440151.pdf</t>
  </si>
  <si>
    <t>https://www.crz.gov.sk/zmluva/6685559</t>
  </si>
  <si>
    <t>Zmluva o poskytovaní služby štandardnej podpory a údržby softvérových komponentov zabezpečujúcich prevádzku IT systémov č. SE-VO1-2022/003713</t>
  </si>
  <si>
    <t>Soimco a. s.</t>
  </si>
  <si>
    <t>Galvaniho 12, 821 04 Bratislava</t>
  </si>
  <si>
    <t>https://www.crz.gov.sk/data/att/3460194.pdf</t>
  </si>
  <si>
    <t>https://www.crz.gov.sk/zmluva/6719683</t>
  </si>
  <si>
    <t>00306185</t>
  </si>
  <si>
    <t>Mesto Šaľa</t>
  </si>
  <si>
    <t>Nám. Sv. Trojice 1953/7, 92715 Šaľa</t>
  </si>
  <si>
    <t>airo, s. r. o.</t>
  </si>
  <si>
    <t>Ivanská cesta 30/B, 821 04  Bratislava</t>
  </si>
  <si>
    <t>https://www.crz.gov.sk/data/att/3486823.pdf</t>
  </si>
  <si>
    <t>https://www.crz.gov.sk/zmluva/6768999</t>
  </si>
  <si>
    <t>Zmluva o poskytovaní servisných služieb na zabezpečenie udržateľnosti informačného systému RIAM</t>
  </si>
  <si>
    <t>Galvaniho 17/C, 821 04 Bratislava</t>
  </si>
  <si>
    <t>https://www.crz.gov.sk/data/att/3495687.pdf</t>
  </si>
  <si>
    <t>https://www.crz.gov.sk/zmluva/6783776</t>
  </si>
  <si>
    <t>Príprava funkčých špecifikácií</t>
  </si>
  <si>
    <t>Zmluva o poskytovaní služieb pre prevádzku a údržbu informačného systému samosprávy</t>
  </si>
  <si>
    <t>00304557</t>
  </si>
  <si>
    <t>Mestská časť Bratislava - Rača</t>
  </si>
  <si>
    <t>Kubačova 21, 83106 Bratislava - mestská časť Rača</t>
  </si>
  <si>
    <t>CORA GEO, s.r.o.</t>
  </si>
  <si>
    <t>https://www.crz.gov.sk/data/att/3495816.pdf</t>
  </si>
  <si>
    <t>https://www.crz.gov.sk/zmluva/6783990</t>
  </si>
  <si>
    <t>Rozšírenie kapacity dátových úložísk</t>
  </si>
  <si>
    <t>https://www.crz.gov.sk/data/att/3498606.pdf, https://www.crz.gov.sk/data/att/3498613.pdf</t>
  </si>
  <si>
    <t>https://www.crz.gov.sk/zmluva/6788742</t>
  </si>
  <si>
    <t>Servisná zmluva č. 1445/2022/ODDIT na poskytovanie služieb údržby a rozvoja existujúceho systému pre podporu  elektronickej správy registratúry</t>
  </si>
  <si>
    <t>Banskobystrický samosprávny kraj</t>
  </si>
  <si>
    <t>Námestie SNP 23, 974 01 Banská Bystrica</t>
  </si>
  <si>
    <t>Galvaniho 19045/19, 821 04 Bratislava</t>
  </si>
  <si>
    <t>https://www.crz.gov.sk/data/att/3500738.pdf</t>
  </si>
  <si>
    <t>https://www.crz.gov.sk/zmluva/6792411</t>
  </si>
  <si>
    <t>Zmluva o dielo a poskytovaní služieb pre Elektronický informačný systém na správu registratúry Úradu pre dohľad nad zdravotnou starostlivosťou</t>
  </si>
  <si>
    <t>Úrad pre dohľad nad zdravotnou starostlivosťou</t>
  </si>
  <si>
    <t>Žellova 2, 82924 Bratislava</t>
  </si>
  <si>
    <t>https://www.crz.gov.sk/data/att/3507706.pdf, https://www.crz.gov.sk/data/att/3507708.pdf</t>
  </si>
  <si>
    <t>https://www.crz.gov.sk/zmluva/6804491</t>
  </si>
  <si>
    <t>00151513</t>
  </si>
  <si>
    <t>Úrad vlády SR</t>
  </si>
  <si>
    <t>ANECT a.s.</t>
  </si>
  <si>
    <t>Jarošova 1, 831 03 Bratislava, Slovenská republika</t>
  </si>
  <si>
    <t>https://www.crz.gov.sk/data/att/3526286.pdf</t>
  </si>
  <si>
    <t>https://www.crz.gov.sk/zmluva/6835308</t>
  </si>
  <si>
    <t>Zmenový list č. 017/2022</t>
  </si>
  <si>
    <t>https://www.crz.gov.sk/data/att/3565687.pdf</t>
  </si>
  <si>
    <t>https://www.crz.gov.sk/zmluva/6903378</t>
  </si>
  <si>
    <t>Zmluva o interaktívnom systéme dodávateľských reťazcov - ISDR</t>
  </si>
  <si>
    <t>Slovenská agentúra pre rozvoj investícií a obchodu (SARIO)</t>
  </si>
  <si>
    <t>Mlynské nivy 44/b, 821 09 Bratislava</t>
  </si>
  <si>
    <t>Millennium spol. s r.o. , SCR technologies, s.r.o.</t>
  </si>
  <si>
    <t>Plynárenská 7/C, 821 09 Bratislava / Skuteckého 115/1, 974 01 Ban. Bystrica, IČO: 47203811</t>
  </si>
  <si>
    <t>https://www.crz.gov.sk/data/att/3583497.pdf</t>
  </si>
  <si>
    <t>https://www.crz.gov.sk/zmluva/6933138</t>
  </si>
  <si>
    <t>Rámcová dohoda o podpore prevádzky, údržbe a rozvoji informačného systému</t>
  </si>
  <si>
    <t>00165182</t>
  </si>
  <si>
    <t>Ministerstvo kultúry SR</t>
  </si>
  <si>
    <t>Nám. SNP 33, 813 31 Bratislava 1</t>
  </si>
  <si>
    <t>https://www.crz.gov.sk/data/att/3584527.pdf</t>
  </si>
  <si>
    <t>https://www.crz.gov.sk/zmluva/6934790</t>
  </si>
  <si>
    <t>Úrad pre reguláciu elektronických komunikácií a poštových služieb</t>
  </si>
  <si>
    <t>Továrenská 7,  P. O. Box 40, 828 55  Bratislava 24</t>
  </si>
  <si>
    <t>https://www.crz.gov.sk/data/att/3645624.pdf</t>
  </si>
  <si>
    <t>https://www.crz.gov.sk/zmluva/7038615</t>
  </si>
  <si>
    <t>https://www.crz.gov.sk/data/att/3645783.pdf</t>
  </si>
  <si>
    <t>https://www.crz.gov.sk/zmluva/7038795</t>
  </si>
  <si>
    <t>Implementačné služby</t>
  </si>
  <si>
    <t>Čiastková zmluva č. 19 k Rámcovej dohode č. 75298/2018 - 1. časť</t>
  </si>
  <si>
    <t>https://www.crz.gov.sk/data/att/3666601.pdf</t>
  </si>
  <si>
    <t>https://www.crz.gov.sk/zmluva/7073688</t>
  </si>
  <si>
    <t>Zmenový list č. 023/2022</t>
  </si>
  <si>
    <t>https://www.crz.gov.sk/data/att/3672573.pdf</t>
  </si>
  <si>
    <t>https://www.crz.gov.sk/zmluva/7084854</t>
  </si>
  <si>
    <t>Zmluva o dielo na dodávku softvérového diela a poskytovaní služieb servisnej podpory</t>
  </si>
  <si>
    <t>Operačné stredisko záchrannej zdravotnej služby SR</t>
  </si>
  <si>
    <t>Trnavská cesta 8/A, 820 05 Bratislava, P.O.BOX 93</t>
  </si>
  <si>
    <t>Goldmann Systems, a.s.</t>
  </si>
  <si>
    <t>Dvořákovo nábrežie 4, 811 02 Bratislava</t>
  </si>
  <si>
    <t>https://www.crz.gov.sk/data/att/3417636.pdf, https://www.crz.gov.sk/data/att/3417638.pdf</t>
  </si>
  <si>
    <t>https://www.crz.gov.sk/zmluva/7150370</t>
  </si>
  <si>
    <t>Rámocová zmluva o dodávke komponentov serverovej infraštruktúry a súvisiacich službách</t>
  </si>
  <si>
    <t>00682420</t>
  </si>
  <si>
    <t>Slovenská záručná a rozvojová banka, a.s.</t>
  </si>
  <si>
    <t>Štefánikova 27, Bratislava 1</t>
  </si>
  <si>
    <t>CNC, a. s.</t>
  </si>
  <si>
    <t>Borská 6, 841 04 Bratislava - Karlova Ves</t>
  </si>
  <si>
    <t>https://www.crz.gov.sk/data/att/3724573.pdf</t>
  </si>
  <si>
    <t>https://www.crz.gov.sk/zmluva/7173527</t>
  </si>
  <si>
    <t>Zmluva o poskytnutí služieb pre Produktovú, servisnú a technickú podporu modulov KIS Logistika Č. zmluvy Poskytovateľa 10/2022 ev. č. 263/2022</t>
  </si>
  <si>
    <t>Trnavská vodárenská spoločnosť, a.s.</t>
  </si>
  <si>
    <t>Priemyselná 10, 921 79 Piešťany</t>
  </si>
  <si>
    <t>YMS, a.s.</t>
  </si>
  <si>
    <t>Hornopotočná 1, 917 01 Trnava</t>
  </si>
  <si>
    <t>https://www.crz.gov.sk/data/att/3726539.pdf, https://www.crz.gov.sk/data/att/3726542.pdf</t>
  </si>
  <si>
    <t>https://www.crz.gov.sk/zmluva/7176773</t>
  </si>
  <si>
    <t>ZMLUVA O DIELO NA DODÁVKU/VÝVOJ SOFTVÉROVÉHO DIELA A PODPORU PREVÁDZKY SOFTVÉROVÉHO DIELA</t>
  </si>
  <si>
    <t>Pribinova 25, 811 09 Bratislava</t>
  </si>
  <si>
    <t>I.S.D.D. plus, s. r. o.</t>
  </si>
  <si>
    <t>Trnavská cesta 106, 821 01 Bratislava</t>
  </si>
  <si>
    <t>https://www.crz.gov.sk/data/att/3740936.pdf</t>
  </si>
  <si>
    <t>https://www.crz.gov.sk/zmluva/7201137</t>
  </si>
  <si>
    <t>https://www.crz.gov.sk/data/att/4426981.pdf</t>
  </si>
  <si>
    <t>IT Programátor / Vývojár</t>
  </si>
  <si>
    <t>Špecialista na databázy</t>
  </si>
  <si>
    <t>Pracovník pre riadenie IT procesov</t>
  </si>
  <si>
    <t>UX špecialista</t>
  </si>
  <si>
    <t>Pracovník pre oblasť integrácie a procesnej automatizácie systémov</t>
  </si>
  <si>
    <t>Zmluva o softvérovej podpore</t>
  </si>
  <si>
    <t>Letové prevádzkové služby Slovenskej republiky, štátny podnik</t>
  </si>
  <si>
    <t>Ivanská cesta 93, 823 07 Bratislava</t>
  </si>
  <si>
    <t>ArcGEO Information Systems spol. s r.o.</t>
  </si>
  <si>
    <t>Blagoevova 9, 851 04 Bratislava</t>
  </si>
  <si>
    <t>https://www.crz.gov.sk/data/att/3741950.pdf</t>
  </si>
  <si>
    <t>https://www.crz.gov.sk/zmluva/7202796</t>
  </si>
  <si>
    <t>https://www.crz.gov.sk/data/att/3762083.pdf</t>
  </si>
  <si>
    <t>https://www.crz.gov.sk/zmluva/7238029</t>
  </si>
  <si>
    <t>Licenčná zmluva</t>
  </si>
  <si>
    <t>Plemenárske služby Slovenskej republiky, štátny podnik</t>
  </si>
  <si>
    <t>Starohájska 29, 852 27 Bratislava</t>
  </si>
  <si>
    <t>AXON PRO, s.r.o.</t>
  </si>
  <si>
    <t>Černyševského 26, 851 01  Bratislava</t>
  </si>
  <si>
    <t>https://www.crz.gov.sk/data/att/3777713.pdf</t>
  </si>
  <si>
    <t>https://www.crz.gov.sk/zmluva/7264087</t>
  </si>
  <si>
    <t>OLTIS Slovakia, s.r.o.</t>
  </si>
  <si>
    <t>Tomášikova 26, 821 01 Bratislava</t>
  </si>
  <si>
    <t>https://www.crz.gov.sk/data/att/3790074.pdf</t>
  </si>
  <si>
    <t>https://www.crz.gov.sk/zmluva/7283878</t>
  </si>
  <si>
    <t>Servisná zmluva na aplikačnú podporu č. 1016/316/2022/UNL ,,Aplikačná podpora Zákazníckych rozšírení CIS VVS pre rok 2023"</t>
  </si>
  <si>
    <t>Východoslovenská vodárenská spoločnosť, a.s.</t>
  </si>
  <si>
    <t>Komenského 50, 042 48 Košice</t>
  </si>
  <si>
    <t>Empirica a.s.</t>
  </si>
  <si>
    <t>https://www.crz.gov.sk/data/att/3797133.pdf</t>
  </si>
  <si>
    <t>https://www.crz.gov.sk/zmluva/7295701</t>
  </si>
  <si>
    <t>Slovensko IT, a.s.</t>
  </si>
  <si>
    <t>Štúrova 27, 040 01 Košice</t>
  </si>
  <si>
    <t>https://www.crz.gov.sk/data/att/3797923.pdf</t>
  </si>
  <si>
    <t>https://www.crz.gov.sk/zmluva/7297015</t>
  </si>
  <si>
    <t>Odborník pre IT dizajn/UI UX</t>
  </si>
  <si>
    <t>Zmluva o poskytovaní služieb č. SE-VO2-2022/004458-010</t>
  </si>
  <si>
    <t>https://www.crz.gov.sk/data/att/3823833.pdf</t>
  </si>
  <si>
    <t>https://www.crz.gov.sk/zmluva/7337636</t>
  </si>
  <si>
    <t>ZMLUVA O POSKYTOVANÍ SLUŽIEB ŠTANDARDNEJ PODPORY A ÚDRŽBY PROSTREDIA IKT INFRAŠTRUKTÚRY PRE IAAS, ČASŤ 1 č. SE-VO1-2022/004624-011</t>
  </si>
  <si>
    <t>https://www.crz.gov.sk/data/att/3823862.pdf</t>
  </si>
  <si>
    <t>https://www.crz.gov.sk/zmluva/7337668</t>
  </si>
  <si>
    <t>ZMLUVA O POSKYTOVANÍ SLUŽIEB ŠTANDARDNEJ PODPORY A ÚDRŽBY PROSTREDIA IKT INFRAŠTRUKTÚRY PRE IAAS, ČASŤ 2 č. SE-VO1-2022/004625-010</t>
  </si>
  <si>
    <t>https://www.crz.gov.sk/data/att/3823918.pdf</t>
  </si>
  <si>
    <t>https://www.crz.gov.sk/zmluva/7337730</t>
  </si>
  <si>
    <t>Partizánska cesta 77, 974 01 Banská Bystrica</t>
  </si>
  <si>
    <t>https://www.crz.gov.sk/data/att/3826853.pdf, https://www.crz.gov.sk/data/att/3826867.pdf</t>
  </si>
  <si>
    <t>https://www.crz.gov.sk/zmluva/7342058</t>
  </si>
  <si>
    <t>https://www.crz.gov.sk/data/att/3842916.pdf</t>
  </si>
  <si>
    <t>https://www.crz.gov.sk/zmluva/7368672</t>
  </si>
  <si>
    <t>https://www.crz.gov.sk/data/att/3908126.pdf</t>
  </si>
  <si>
    <t>https://www.crz.gov.sk/zmluva/7477780</t>
  </si>
  <si>
    <t>https://www.crz.gov.sk/data/att/3926944.pdf</t>
  </si>
  <si>
    <t>https://www.crz.gov.sk/zmluva/7508280</t>
  </si>
  <si>
    <t>Zmluva o poskytovaní podporných servisných služieb pre zabezpečenie prevádzky  Informačného systému /IS/  „Centralizovaný systém ochrany dát“  na základe dohodnutých cieľových úrovní podporných služieb – Service Level Target /SLT/</t>
  </si>
  <si>
    <t>https://www.crz.gov.sk/data/att/3927545.pdf, https://www.crz.gov.sk/data/att/3927554.pdf</t>
  </si>
  <si>
    <t>https://www.crz.gov.sk/zmluva/7509230</t>
  </si>
  <si>
    <t>Zmluva o dielo na dodávku softvérového diela č. 0301/0019/23</t>
  </si>
  <si>
    <t>00397687</t>
  </si>
  <si>
    <t>Slovenská technická univerzita v Bratislave</t>
  </si>
  <si>
    <t>Vazovova 5, 812 43 Bratislava</t>
  </si>
  <si>
    <t>https://www.crz.gov.sk/data/att/3928614.pdf</t>
  </si>
  <si>
    <t>https://www.crz.gov.sk/zmluva/7510873</t>
  </si>
  <si>
    <t>Solution / biznis architekt</t>
  </si>
  <si>
    <t>IT programátor / vývojár</t>
  </si>
  <si>
    <t>ZMLUVA O POSKYTOVANÍ SERVISNÝCH A SÚVISIACICH SLUŽIEB</t>
  </si>
  <si>
    <t>DIEBOLD NIXDORF s.r.o.</t>
  </si>
  <si>
    <t>Mokráň záhon 4, 821 04 Bratislava</t>
  </si>
  <si>
    <t>https://www.crz.gov.sk/data/att/3955205.pdf, https://www.crz.gov.sk/data/att/3955224.pdf</t>
  </si>
  <si>
    <t>https://www.crz.gov.sk/zmluva/7554741</t>
  </si>
  <si>
    <t>Servisné činnosti</t>
  </si>
  <si>
    <t>Profylaktika</t>
  </si>
  <si>
    <t>Dodatok č. 1 k Zmluve o dielo na dodávku softvérového diela</t>
  </si>
  <si>
    <t>Račianska 1523/71 Bratislava SR</t>
  </si>
  <si>
    <t>Karloveská 34 Bratislava SR</t>
  </si>
  <si>
    <t>https://www.crz.gov.sk/data/att/3983136.pdf, https://www.crz.gov.sk/data/att/3983137.pdf</t>
  </si>
  <si>
    <t>https://www.crz.gov.sk/zmluva/7602317</t>
  </si>
  <si>
    <t>https://www.crz.gov.sk/data/att/3988484.pdf</t>
  </si>
  <si>
    <t>https://www.crz.gov.sk/zmluva/7611282</t>
  </si>
  <si>
    <t>Integračný špecialista</t>
  </si>
  <si>
    <t>Programátori/vývojári</t>
  </si>
  <si>
    <t>Hlavný programátor</t>
  </si>
  <si>
    <t>Dokumentatista</t>
  </si>
  <si>
    <t>Hlavný Akcepačný tester</t>
  </si>
  <si>
    <t>Akceptačný tester</t>
  </si>
  <si>
    <t>DevOps</t>
  </si>
  <si>
    <t>Špecialista pre IT bezpečnosť</t>
  </si>
  <si>
    <t>Krasovského 14, Bratislava – mestská časť Petržalka 851 01</t>
  </si>
  <si>
    <t>https://www.crz.gov.sk/data/att/3988546.pdf</t>
  </si>
  <si>
    <t>https://www.crz.gov.sk/zmluva/7611381</t>
  </si>
  <si>
    <t>Release Manager</t>
  </si>
  <si>
    <t>Administratívny pracovník PMO</t>
  </si>
  <si>
    <t>UX/UI Dizajnér komponentov</t>
  </si>
  <si>
    <t>Špecialista reportingu</t>
  </si>
  <si>
    <t>Zmluva o poskytovaní podporných služieb – Underpinning contract /UC/ pre zabezpečenie prevádzky Informačného systému   Elektronický komunikačný portál  /IS / na základe dohodnutých cieľových úrovní podporných služieb –Service Level Target /SLT/</t>
  </si>
  <si>
    <t>https://www.crz.gov.sk/data/att/3998186.pdf, https://www.crz.gov.sk/data/att/3998188.pdf</t>
  </si>
  <si>
    <t>https://www.crz.gov.sk/zmluva/7627380</t>
  </si>
  <si>
    <t xml:space="preserve">Vedúci projektu </t>
  </si>
  <si>
    <t>Zmluva o poskytovaní podporných služieb – Underpinningcontract /UC/ pre zabezpečenie prevádzky Informačného systému  Správa Sťažností a reklamácií /IS/  na základe dohodnutých cieľových úrovní podporných služieb – Service Level Target /SLT/</t>
  </si>
  <si>
    <t>https://www.crz.gov.sk/data/att/3998608.pdf, https://www.crz.gov.sk/data/att/3998614.pdf</t>
  </si>
  <si>
    <t>https://www.crz.gov.sk/zmluva/7628179</t>
  </si>
  <si>
    <t>Manažér kvality/Release manažér</t>
  </si>
  <si>
    <t xml:space="preserve">Biznis analytik </t>
  </si>
  <si>
    <t xml:space="preserve">Programátor </t>
  </si>
  <si>
    <t>Tester/Školiteľ</t>
  </si>
  <si>
    <t>Metodik/Dokumentarista</t>
  </si>
  <si>
    <t>Dodatok_č.2_k_rekonstruovanemu_zneniu_Zmluvy_o_poskytovani_servisu_a_udrzby_č.ZD20020007</t>
  </si>
  <si>
    <t>Úrad pre reguláciu hazardných hier</t>
  </si>
  <si>
    <t>Križkova 949/9, 811 04  Bratislava</t>
  </si>
  <si>
    <t>Galvaniho 19045/19, 82104 Bratislava</t>
  </si>
  <si>
    <t>https://www.crz.gov.sk/data/att/4040564.pdf</t>
  </si>
  <si>
    <t>https://www.crz.gov.sk/zmluva/7699924</t>
  </si>
  <si>
    <t>Analytické práce spolu</t>
  </si>
  <si>
    <t xml:space="preserve">Dizajnérske práce </t>
  </si>
  <si>
    <t xml:space="preserve">Testovacie práce u zhotoviteľa </t>
  </si>
  <si>
    <t xml:space="preserve">Zapracovanie zmien do dokumentácie </t>
  </si>
  <si>
    <t>https://www.crz.gov.sk/data/att/4066810.pdf</t>
  </si>
  <si>
    <t>https://www.crz.gov.sk/zmluva/7743716</t>
  </si>
  <si>
    <t>Zmluva</t>
  </si>
  <si>
    <t>https://www.crz.gov.sk/data/att/4081400.pdf</t>
  </si>
  <si>
    <t>https://www.crz.gov.sk/zmluva/7768208</t>
  </si>
  <si>
    <t>Softvérový špecialista</t>
  </si>
  <si>
    <t>SophistIT, s.r.o.</t>
  </si>
  <si>
    <t>Cementárenská cesta 16, 974 01 Banská Bystrica</t>
  </si>
  <si>
    <t>https://www.crz.gov.sk/data/att/4088839.pdf</t>
  </si>
  <si>
    <t>https://www.crz.gov.sk/zmluva/7780847</t>
  </si>
  <si>
    <t>Zmluva na zabezpečenie služieb migrácie pre Modul CEP na novú infraštruktúru, zabezpečenie služieb prevádzkovej podpory a na úpravu a rozvoj Modulu CEP</t>
  </si>
  <si>
    <t>Plynárenská 7/C, Bratislava 821 09</t>
  </si>
  <si>
    <t>https://www.crz.gov.sk/data/att/4098536.pdf, https://www.crz.gov.sk/data/att/4098538.pdf</t>
  </si>
  <si>
    <t>https://www.crz.gov.sk/zmluva/7797267</t>
  </si>
  <si>
    <t>Zmenový list č. 013/2023</t>
  </si>
  <si>
    <t>https://www.crz.gov.sk/data/att/4100265.pdf</t>
  </si>
  <si>
    <t>https://www.crz.gov.sk/zmluva/7800325</t>
  </si>
  <si>
    <t>Blended Rate</t>
  </si>
  <si>
    <t>ZMLUVA O DIELO NA VÝVOJ A DODÁVKU SOFTVÉROVÉHO DIELA</t>
  </si>
  <si>
    <t>Úrad pre reguláciu sieťových odvetví</t>
  </si>
  <si>
    <t>Tomášikova 28C, 821 01  Bratislava 3</t>
  </si>
  <si>
    <t>Galvaniho 19045/19, Bratislava - mestská časť Ružinov 821 04</t>
  </si>
  <si>
    <t>https://www.crz.gov.sk/data/att/4100149.pdf, https://www.crz.gov.sk/data/att/4100153.pdf</t>
  </si>
  <si>
    <t>https://www.crz.gov.sk/zmluva/7800155</t>
  </si>
  <si>
    <t xml:space="preserve">Odborník pre IT dohľad/Quality Assurance </t>
  </si>
  <si>
    <t>https://www.crz.gov.sk/data/att/4100282.pdf, https://www.crz.gov.sk/data/att/4100285.pdf</t>
  </si>
  <si>
    <t>https://www.crz.gov.sk/zmluva/7800344</t>
  </si>
  <si>
    <t>Služby zmenovej podpory</t>
  </si>
  <si>
    <t>https://www.crz.gov.sk/data/att/4107605.pdf</t>
  </si>
  <si>
    <t>https://www.crz.gov.sk/zmluva/7812839</t>
  </si>
  <si>
    <t>https://www.crz.gov.sk/data/att/4107579.pdf</t>
  </si>
  <si>
    <t>https://www.crz.gov.sk/zmluva/7812800</t>
  </si>
  <si>
    <t>Zmluva o poskytovaní služieb rozvoja aplikácií registrov OVM, organizácií, fariem a zahraničného obchodu</t>
  </si>
  <si>
    <t>Lamačská cesta 3/C, 840 05 Bratislava 45</t>
  </si>
  <si>
    <t>https://www.crz.gov.sk/data/att/4114231.pdf</t>
  </si>
  <si>
    <t>https://www.crz.gov.sk/zmluva/7824228</t>
  </si>
  <si>
    <t>Zmluva o poskytovaní  podpory pre podporu a údržbu systému pre  elektronickú výmenu údajov v rámci  sociálneho  zabezpečenia EESSi</t>
  </si>
  <si>
    <t>Galvaniho 17/C, Bratislava</t>
  </si>
  <si>
    <t>https://www.crz.gov.sk/data/att/4118238.pdf, https://www.crz.gov.sk/data/att/4118248.pdf</t>
  </si>
  <si>
    <t>https://www.crz.gov.sk/zmluva/7831029</t>
  </si>
  <si>
    <t>Objednávkové služby</t>
  </si>
  <si>
    <t>https://www.crz.gov.sk/data/att/4121739.pdf</t>
  </si>
  <si>
    <t>https://www.crz.gov.sk/zmluva/7836995</t>
  </si>
  <si>
    <t>https://www.crz.gov.sk/data/att/4134846.pdf</t>
  </si>
  <si>
    <t>https://www.crz.gov.sk/zmluva/7858877</t>
  </si>
  <si>
    <t>IT expert pre oblasť dátovej kvality a integrácie</t>
  </si>
  <si>
    <t>IT analytik pre oblasť dátovej kvality a integrácie</t>
  </si>
  <si>
    <t>Zmluva na vytvorenie Analytického a testovacieho LABu a na implementáciu riešenia</t>
  </si>
  <si>
    <t>Štefanovičova 5, P. O. BOX 82 , 817 82 BRATISLAVA ,</t>
  </si>
  <si>
    <t>https://www.crz.gov.sk/data/att/4136866.pdf</t>
  </si>
  <si>
    <t>https://www.crz.gov.sk/zmluva/7862350</t>
  </si>
  <si>
    <t>IT programátor</t>
  </si>
  <si>
    <t>Zmluva na vytvorenie a implementáciu softvéru</t>
  </si>
  <si>
    <t>https://www.crz.gov.sk/data/att/4136881.pdf</t>
  </si>
  <si>
    <t>https://www.crz.gov.sk/zmluva/7862385</t>
  </si>
  <si>
    <t>SIEM infraštruktúra</t>
  </si>
  <si>
    <t>Integrácia interných komponentov</t>
  </si>
  <si>
    <t>Zaškolenie pre SIEM</t>
  </si>
  <si>
    <t>Implementácia bezpečnostného dohľadu</t>
  </si>
  <si>
    <t>Zmluva o poskytovaní služieb technickej podpory</t>
  </si>
  <si>
    <t>Galvaniho 12, Bratislava</t>
  </si>
  <si>
    <t>https://www.crz.gov.sk/data/att/4146263.pdf, https://www.crz.gov.sk/data/att/4146265.pdf</t>
  </si>
  <si>
    <t>https://www.crz.gov.sk/zmluva/7877927</t>
  </si>
  <si>
    <t>Upgrade databáz SQL</t>
  </si>
  <si>
    <t>Černyševského 26, 851 01 Bratislava</t>
  </si>
  <si>
    <t>https://www.crz.gov.sk/data/att/4151381.pdf, https://www.crz.gov.sk/data/att/4151392.pdf</t>
  </si>
  <si>
    <t>https://www.crz.gov.sk/zmluva/7886467</t>
  </si>
  <si>
    <t>Zmluva o dielo - Zlepšenie eGov služieb</t>
  </si>
  <si>
    <t>SLOVENSKÝ VODOHOSPODÁRSKY PODNIK, štátny podnik</t>
  </si>
  <si>
    <t>Martinská 49, 821 05 Bratislava - mestská časť Ružinov</t>
  </si>
  <si>
    <t>ICZ Slovakia a.s.</t>
  </si>
  <si>
    <t>Soblahovská 2050, 911 01 Trenčín</t>
  </si>
  <si>
    <t>https://www.crz.gov.sk/data/att/4158279.pdf</t>
  </si>
  <si>
    <t>https://www.crz.gov.sk/zmluva/7898435</t>
  </si>
  <si>
    <t>Odborník pre IT dohľad/QA</t>
  </si>
  <si>
    <t>Zmluva o poskytnutí služby</t>
  </si>
  <si>
    <t>https://www.crz.gov.sk/data/att/4170700.pdf</t>
  </si>
  <si>
    <t>https://www.crz.gov.sk/zmluva/7918893</t>
  </si>
  <si>
    <t>Implementácia systému centrálnu správu politik v komplexnom prostredí Vytvorenie dokumentácie</t>
  </si>
  <si>
    <t>Integrácia na Systém Service Desk Service manager verzia 9.64.</t>
  </si>
  <si>
    <t>Dodatok č. 46 k Zmluve o poskytovaní servisu a údržby na programové vybavenie DWH a o technickej podpore na SW produkty pre DWH číslo ZD20020007</t>
  </si>
  <si>
    <t>https://www.crz.gov.sk/data/att/4171335.pdf</t>
  </si>
  <si>
    <t>https://www.crz.gov.sk/zmluva/7919938</t>
  </si>
  <si>
    <t>Dodatok č. 14 k Zmluve o technickej podpore prevádzky a rozvoja APV Portálu finančnej správy (APV PFS)</t>
  </si>
  <si>
    <t>https://www.crz.gov.sk/data/att/4171518.pdf</t>
  </si>
  <si>
    <t>https://www.crz.gov.sk/zmluva/7920209</t>
  </si>
  <si>
    <t>Operátor</t>
  </si>
  <si>
    <t>Technik podpory</t>
  </si>
  <si>
    <t>junior</t>
  </si>
  <si>
    <t>medior</t>
  </si>
  <si>
    <t>senior</t>
  </si>
  <si>
    <t>"Zmluva č. 159/SE/2023  o poskytovaní servisných služieb – Service Level Agreement (SLA)"</t>
  </si>
  <si>
    <t>Špitálska ulica č. 8, 812 67, Bratislava,</t>
  </si>
  <si>
    <t>Krasovského 14, 851 01  Bratislava – mestská časť Petržalka</t>
  </si>
  <si>
    <t>https://www.crz.gov.sk/data/att/4175882.pdf</t>
  </si>
  <si>
    <t>https://www.crz.gov.sk/zmluva/7927278</t>
  </si>
  <si>
    <t>Dodatok č. 47 k Zmluve o poskytovaní servisu a údržby na programové vybavenie DWH a o technickej podpore na SW produkty pre DWH číslo ZD20020007</t>
  </si>
  <si>
    <t>https://www.crz.gov.sk/data/att/4185860.pdf</t>
  </si>
  <si>
    <t>https://www.crz.gov.sk/zmluva/7944291</t>
  </si>
  <si>
    <t>Zmluva o poskytovaní podporných služieb – Underpinningcontract /UC/ pre zabezpečenie prevádzky Informačného systému „CSTC - Centrálne spracovanie tovarov a cenín “ /IS / na základe dohodnutých cieľových úrovní podporných služieb – ServiceLevelTarget /SLT/</t>
  </si>
  <si>
    <t>Mlynská dolina 41, 811 02  Bratislava</t>
  </si>
  <si>
    <t>https://www.crz.gov.sk/data/att/4195048.pdf, https://www.crz.gov.sk/data/att/4195102.pdf</t>
  </si>
  <si>
    <t>https://www.crz.gov.sk/zmluva/7960017</t>
  </si>
  <si>
    <t>Release menežér</t>
  </si>
  <si>
    <t>https://www.crz.gov.sk/data/att/4201032.pdf, https://www.crz.gov.sk/data/att/4201034.pdf</t>
  </si>
  <si>
    <t>https://www.crz.gov.sk/zmluva/7970231</t>
  </si>
  <si>
    <t>https://www.crz.gov.sk/data/att/4203860.pdf</t>
  </si>
  <si>
    <t>https://www.crz.gov.sk/zmluva/7975075</t>
  </si>
  <si>
    <t>https://www.crz.gov.sk/data/att/4209676.pdf, https://www.crz.gov.sk/data/att/4209680.pdf</t>
  </si>
  <si>
    <t>https://www.crz.gov.sk/zmluva/7985235</t>
  </si>
  <si>
    <t>00305383</t>
  </si>
  <si>
    <t>Mesto Dunajská Streda</t>
  </si>
  <si>
    <t>Hlavná 50/16, 92901 Dunajská Streda</t>
  </si>
  <si>
    <t>https://www.crz.gov.sk/data/att/4240461.pdf</t>
  </si>
  <si>
    <t>https://www.crz.gov.sk/zmluva/8045301</t>
  </si>
  <si>
    <t>Špecialista pre infraštruktúry</t>
  </si>
  <si>
    <t>IT Tester</t>
  </si>
  <si>
    <t>Prešovský samosprávny kraj</t>
  </si>
  <si>
    <t>Námestie mieru 5043/2, 08001 Prešov</t>
  </si>
  <si>
    <t>https://www.crz.gov.sk/data/att/4245729.pdf</t>
  </si>
  <si>
    <t>https://www.crz.gov.sk/zmluva/8053809</t>
  </si>
  <si>
    <t>IT expert</t>
  </si>
  <si>
    <t>Rámcová dohoda na poskytovanie autorizovaného pozáručného servisu hardvérových a softvérových komponentov na zabezpečenie prevádzky IKT infraštruktúry.</t>
  </si>
  <si>
    <t>Pribinova 19/7828, Bratislava 811 09</t>
  </si>
  <si>
    <t>https://www.crz.gov.sk/data/att/4248690.pdf</t>
  </si>
  <si>
    <t>https://www.crz.gov.sk/zmluva/8059152</t>
  </si>
  <si>
    <t>Cementárska cesta 16, 974 01 Banská Bystrica</t>
  </si>
  <si>
    <t>https://www.crz.gov.sk/data/att/4258215.pdf</t>
  </si>
  <si>
    <t>https://www.crz.gov.sk/zmluva/8075590</t>
  </si>
  <si>
    <t>Bezpečnostný dohľad nad sieťami a systémami EE, práce</t>
  </si>
  <si>
    <t>Prepojenie bezpečnostného dohľadu s centrálnym SIEM riešením, práce</t>
  </si>
  <si>
    <t>SFÉRA, a.s.</t>
  </si>
  <si>
    <t>Karadžičova 2, 811 08 Bratislava –mestská časť Staré mesto</t>
  </si>
  <si>
    <t>https://www.crz.gov.sk/data/att/4259944.pdf</t>
  </si>
  <si>
    <t>https://www.crz.gov.sk/zmluva/8078605</t>
  </si>
  <si>
    <t>Košický samosprávny kraj</t>
  </si>
  <si>
    <t>Nám. Maratónu Mieru 68/1, 04001 Košice - mestská časť Staré Mesto</t>
  </si>
  <si>
    <t>Galvaniho 19045/19, 821 04  Bratislava</t>
  </si>
  <si>
    <t>https://www.crz.gov.sk/data/att/4261010.pdf, https://www.crz.gov.sk/data/att/4261012.pdf</t>
  </si>
  <si>
    <t>https://www.crz.gov.sk/zmluva/8080356</t>
  </si>
  <si>
    <t>Štátna pokladnica</t>
  </si>
  <si>
    <t>Radlinského 32, 810 05 Bratislava</t>
  </si>
  <si>
    <t>Galvaniho  19045/19, 821 04  Bratislava</t>
  </si>
  <si>
    <t>https://www.crz.gov.sk/data/att/4264195.pdf</t>
  </si>
  <si>
    <t>https://www.crz.gov.sk/zmluva/8085797</t>
  </si>
  <si>
    <t>IT/IS konzultant, infra. špecialista</t>
  </si>
  <si>
    <t>Čiastková zmluva č. 23 k Rámcovej dohode č. 75298/2018 - 1. časť</t>
  </si>
  <si>
    <t>https://www.crz.gov.sk/data/att/4272592.pdf</t>
  </si>
  <si>
    <t>https://www.crz.gov.sk/zmluva/8100470</t>
  </si>
  <si>
    <t>Blended rate - inštalácia a konfigurácia</t>
  </si>
  <si>
    <t>https://www.crz.gov.sk/data/att/4272702.pdf</t>
  </si>
  <si>
    <t>https://www.crz.gov.sk/zmluva/8100626</t>
  </si>
  <si>
    <t>Infraštruktúrny špecialista</t>
  </si>
  <si>
    <t>Čiastková zmluva č. 24 k Rámcovej dohode č. 75298/2018 - 1. časť</t>
  </si>
  <si>
    <t>https://www.crz.gov.sk/data/att/4275077.pdf</t>
  </si>
  <si>
    <t>https://www.crz.gov.sk/zmluva/8104478</t>
  </si>
  <si>
    <t>IT Špecialista</t>
  </si>
  <si>
    <t>Čiastková zmluva č. 27 k Rámcovej dohode č. 75298/2018 - 1. časť</t>
  </si>
  <si>
    <t>https://www.crz.gov.sk/data/att/4276446.pdf</t>
  </si>
  <si>
    <t>https://www.crz.gov.sk/zmluva/8106831</t>
  </si>
  <si>
    <t>Čiastková zmluva č. 28 k Rámcovej dohode č. 75298/2018 - 1. časť</t>
  </si>
  <si>
    <t>https://www.crz.gov.sk/data/att/4276459.pdf</t>
  </si>
  <si>
    <t>https://www.crz.gov.sk/zmluva/8106849</t>
  </si>
  <si>
    <t>Zabezpečenie podpory a rozvoja informačného systému účtovníctva fondov (ISUF)</t>
  </si>
  <si>
    <t>SAP Slovensko s.r.o.</t>
  </si>
  <si>
    <t>Mlynské nivy 16, 821 09 Bratislava - mestská časť Staré Mesto</t>
  </si>
  <si>
    <t>https://www.crz.gov.sk/data/att/4294208.pdf</t>
  </si>
  <si>
    <t>https://www.crz.gov.sk/zmluva/8136923</t>
  </si>
  <si>
    <t>Senior konzultant</t>
  </si>
  <si>
    <t>Junior konzultant</t>
  </si>
  <si>
    <t>Štátny geologický ústav Dionýza Štúra</t>
  </si>
  <si>
    <t>Mlynská dolina 1, 817 04 Bratislava</t>
  </si>
  <si>
    <t>https://www.crz.gov.sk/data/att/4294431.pdf, https://www.crz.gov.sk/data/att/4294435.pdf</t>
  </si>
  <si>
    <t>https://www.crz.gov.sk/zmluva/8137284</t>
  </si>
  <si>
    <t>Rámcová dohoda na zabezpečenie HW a SW infraštruktúry pre IaaS – Servery č. SE-VO1-2023/002534-020</t>
  </si>
  <si>
    <t>https://www.crz.gov.sk/data/att/4325592.pdf</t>
  </si>
  <si>
    <t>https://www.crz.gov.sk/zmluva/8193622</t>
  </si>
  <si>
    <t>Inštalačné a konfiguračné práce pre infraštruktúru serverovej platformy</t>
  </si>
  <si>
    <t>Inštalácia zdrojov virtualizačného nástroja</t>
  </si>
  <si>
    <t>Inštalácia a integrácia</t>
  </si>
  <si>
    <t>Rozšírenie orchestrácie o nové služby</t>
  </si>
  <si>
    <t>Rámcová dohoda na zabezpečenie HW a SW infraštruktúry pre IaaS – Networking a Security č. SE-VO1-2023/002534-022</t>
  </si>
  <si>
    <t>https://www.crz.gov.sk/data/att/4325650.pdf</t>
  </si>
  <si>
    <t>https://www.crz.gov.sk/zmluva/8193719</t>
  </si>
  <si>
    <t>Inštalačné a konfiguračné práce - hardvér</t>
  </si>
  <si>
    <t>Inštalačné a konfiguračné práce - softvér</t>
  </si>
  <si>
    <t>Rámcová dohoda na zabezpečenie HW a SW infraštruktúry pre IaaS – Storage č. SE-VO1-2023/002534-021</t>
  </si>
  <si>
    <t>https://www.crz.gov.sk/data/att/4325686.pdf</t>
  </si>
  <si>
    <t>https://www.crz.gov.sk/zmluva/8193775</t>
  </si>
  <si>
    <t>Zmluva o podpore prevádzky, údržbe a rozvoji informačných systémov</t>
  </si>
  <si>
    <t>https://www.crz.gov.sk/data/att/4352774.pdf, https://www.crz.gov.sk/data/att/4352777.pdf</t>
  </si>
  <si>
    <t>https://www.crz.gov.sk/zmluva/8239053</t>
  </si>
  <si>
    <t>Zmenová podpora - Správca zmien, Uprgrade/Update</t>
  </si>
  <si>
    <t>EMM, spol. s r. o.</t>
  </si>
  <si>
    <t>https://www.crz.gov.sk/data/att/4355014.pdf, https://www.crz.gov.sk/data/att/4355018.pdf</t>
  </si>
  <si>
    <t>https://www.crz.gov.sk/zmluva/8242901</t>
  </si>
  <si>
    <t>Služby HW a SW</t>
  </si>
  <si>
    <t>zmluva o dielo „Rekonštrukcia kamerového systému, pasportizácia na miestnych komunikáciách a príprava domén pre budúcu implementáciu so Smart City Nové Mesto nad Váhom“</t>
  </si>
  <si>
    <t>00311863</t>
  </si>
  <si>
    <t>Mesto Nové Mesto nad Váhom</t>
  </si>
  <si>
    <t>Ulica čsl. armády 64/1, 91532 Nové Mesto nad Váhom</t>
  </si>
  <si>
    <t>https://www.crz.gov.sk/data/att/4358651.pdf, https://www.crz.gov.sk/data/att/4358652.pdf</t>
  </si>
  <si>
    <t>https://www.crz.gov.sk/zmluva/8248917</t>
  </si>
  <si>
    <t>Inštalácia a nastavenie</t>
  </si>
  <si>
    <t>Dopravný úrad</t>
  </si>
  <si>
    <t>Letisko M. R. Štefánika, 823 05 Bratislava</t>
  </si>
  <si>
    <t>Kyjevské námestie 6, 974 04 Banská Bystrica</t>
  </si>
  <si>
    <t>https://www.crz.gov.sk/data/att/4361449.pdf, https://www.crz.gov.sk/data/att/4361451.pdf</t>
  </si>
  <si>
    <t>https://www.crz.gov.sk/zmluva/8253531</t>
  </si>
  <si>
    <t>Inštalačné/Konfiguračné práce</t>
  </si>
  <si>
    <t>IT Programátor/vývojár</t>
  </si>
  <si>
    <t>Projektový manažér projektu</t>
  </si>
  <si>
    <t>Špecialista pre infraštrukúry/HW špecialista</t>
  </si>
  <si>
    <t>Redizajn bezpečnostných nástrojov ochrany sieťovej infraštruktúry a nasadenie  NGFW (next - generation firewall) riešenia</t>
  </si>
  <si>
    <t>https://www.crz.gov.sk/data/att/4378795.pdf, https://www.crz.gov.sk/data/att/4378799.pdf</t>
  </si>
  <si>
    <t>https://www.crz.gov.sk/zmluva/8283486</t>
  </si>
  <si>
    <t>Nadpaušál</t>
  </si>
  <si>
    <t>Zmluva o poskytovaní servisných služieb a služieb aplikačného rozvoja pre informačný monitorovací systém</t>
  </si>
  <si>
    <t>https://www.crz.gov.sk/data/att/4397007.pdf</t>
  </si>
  <si>
    <t>https://www.crz.gov.sk/zmluva/8319945</t>
  </si>
  <si>
    <t>https://www.crz.gov.sk/data/att/4418574.pdf, https://www.crz.gov.sk/data/att/4418605.pdf</t>
  </si>
  <si>
    <t>https://www.crz.gov.sk/zmluva/8355897</t>
  </si>
  <si>
    <t>SLA podpora</t>
  </si>
  <si>
    <t>Zmluva o poskytovaní služieb IS eranet a súvisiacich služieb</t>
  </si>
  <si>
    <t>innovis, s.r.o.</t>
  </si>
  <si>
    <t>Moldavská cesta 10/B, 040 11 Košice</t>
  </si>
  <si>
    <t>https://www.crz.gov.sk/data/att/4418409.pdf</t>
  </si>
  <si>
    <t>https://www.crz.gov.sk/zmluva/8320904</t>
  </si>
  <si>
    <t>Analýza procesu obstarávania a návrh riešenia, reporting, štatistika</t>
  </si>
  <si>
    <t>Implementácie, hodnotenia, zapracovanie šablón, digitalizácia požiadaviek, moduly, registratúra</t>
  </si>
  <si>
    <t>Vstupné školenia a aktualizácia internej dokumentácie</t>
  </si>
  <si>
    <t>Integrácia na viaceré dátové zdroje</t>
  </si>
  <si>
    <t>Zmluva o dielo - Upgrade systému SPI TZL Servio</t>
  </si>
  <si>
    <t>https://www.crz.gov.sk/data/att/4420750.pdf</t>
  </si>
  <si>
    <t>https://www.crz.gov.sk/zmluva/8359337</t>
  </si>
  <si>
    <t>Návrh riešenia</t>
  </si>
  <si>
    <t>Inštalácia konfigurácia</t>
  </si>
  <si>
    <t>SAT testovanie</t>
  </si>
  <si>
    <t>Overovacia prevádzka</t>
  </si>
  <si>
    <t>Projektový manažment</t>
  </si>
  <si>
    <t>Následná podpora (spolu)</t>
  </si>
  <si>
    <t>Aspecta, s.r.o.</t>
  </si>
  <si>
    <t>Čerešňová 28, 917 08, Trnava</t>
  </si>
  <si>
    <t>https://www.crz.gov.sk/data/att/4440090.pdf</t>
  </si>
  <si>
    <t>https://www.crz.gov.sk/zmluva/8391307</t>
  </si>
  <si>
    <t>Analýza a dizajn</t>
  </si>
  <si>
    <t>Čerešňová 28, 917 08 Trnava</t>
  </si>
  <si>
    <t>https://www.crz.gov.sk/data/att/4440124.pdf</t>
  </si>
  <si>
    <t>https://www.crz.gov.sk/zmluva/8391361</t>
  </si>
  <si>
    <t>https://www.crz.gov.sk/data/att/4524948.pdf</t>
  </si>
  <si>
    <t>https://www.crz.gov.sk/zmluva/8534933</t>
  </si>
  <si>
    <t>Zmenový list č. 035/2023</t>
  </si>
  <si>
    <t>https://www.crz.gov.sk/data/att/4536560.pdf</t>
  </si>
  <si>
    <t>https://www.crz.gov.sk/zmluva/8554544</t>
  </si>
  <si>
    <t>Cintorínska 2301/5, 81108 Bratislava - mestská časť Staré Mesto</t>
  </si>
  <si>
    <t>MIM, s.r.o.</t>
  </si>
  <si>
    <t>Slnečná 211/1, 010 03 Žilina</t>
  </si>
  <si>
    <t>https://www.crz.gov.sk/data/att/4580608.pdf</t>
  </si>
  <si>
    <t>https://www.crz.gov.sk/zmluva/8632989</t>
  </si>
  <si>
    <t>ITSM business analytik - architekt</t>
  </si>
  <si>
    <t>Enterprise Architekt</t>
  </si>
  <si>
    <t>Manažér konfigurácií</t>
  </si>
  <si>
    <t>Admin reportingového sys / sys vizualizácie údajov</t>
  </si>
  <si>
    <t>Servisná zmluva /  Rámcová zmluva o poskytovaní služieb údržby a rozvoja existujúceho systému pre podporu elektronickej správy registratúry FABASOFT</t>
  </si>
  <si>
    <t>Galvaniho 19045/19, 821 04 Bratislava - m. č. Ružinov</t>
  </si>
  <si>
    <t>https://www.crz.gov.sk/data/att/4585523.pdf</t>
  </si>
  <si>
    <t>https://www.crz.gov.sk/zmluva/8641158</t>
  </si>
  <si>
    <t>Zmluva o poskytovaní servisu, podpory a rozvoja informačného systému</t>
  </si>
  <si>
    <t>EXIMBANKA SR, Bratislava</t>
  </si>
  <si>
    <t>Grösslingová  1, 811 09 Bratislava</t>
  </si>
  <si>
    <t>Digital Systems, a.s.</t>
  </si>
  <si>
    <t>Za hradbami 7, 902 01 Pezinok</t>
  </si>
  <si>
    <t>https://www.crz.gov.sk/data/att/4607290.pdf</t>
  </si>
  <si>
    <t>https://www.crz.gov.sk/zmluva/8678040</t>
  </si>
  <si>
    <t>ZMLUVA O POSKYTOVANÍ SLUŽIEB PRE PREVÁDZKU A ÚDRŽBU INFORMAČNÝCH SYSTÉMOV OD SPOLOČNOSTI CORA GEO, s.r.o.</t>
  </si>
  <si>
    <t>00312509</t>
  </si>
  <si>
    <t>Mesto Hlohovec</t>
  </si>
  <si>
    <t>M.R.Štefánika 222/1, 92001 Hlohovec</t>
  </si>
  <si>
    <t>A.Kmeťa 5397/23, 036 01 Martin</t>
  </si>
  <si>
    <t>https://www.crz.gov.sk/data/att/4634971.pdf</t>
  </si>
  <si>
    <t>https://www.crz.gov.sk/zmluva/8724956</t>
  </si>
  <si>
    <t>Zmluva o poskytovaní podporných služieb – Underpinning contract /UC/ pre zabezpečenie prevádzky Informačného systému „SOFTIP HUMAN RESOURCES“ /IS/ na základe dohodnutých cieľových úrovní podporných služieb – Service Level Target /SLT/</t>
  </si>
  <si>
    <t>https://www.crz.gov.sk/data/att/4644212.pdf, https://www.crz.gov.sk/data/att/4644220.pdf</t>
  </si>
  <si>
    <t>https://www.crz.gov.sk/zmluva/8740911</t>
  </si>
  <si>
    <t>Testovač</t>
  </si>
  <si>
    <t>https://www.crz.gov.sk/data/att/4650117.pdf</t>
  </si>
  <si>
    <t>https://www.crz.gov.sk/zmluva/8750592</t>
  </si>
  <si>
    <t>Architekt infra / systémy líniového majetku</t>
  </si>
  <si>
    <t>Integrácia založená na servisne orientovanej architektúre</t>
  </si>
  <si>
    <t>Cloud, Enterprise, iPaaS, líniová železničná infraštruktúra, návrh a rozvoj priestorových systémov</t>
  </si>
  <si>
    <t>Návrh na platforme Oracle</t>
  </si>
  <si>
    <t>Oracle databázové servery</t>
  </si>
  <si>
    <t>Garant pre priestorové údaje</t>
  </si>
  <si>
    <t>Viacero druhov</t>
  </si>
  <si>
    <t>Zmluva o vytvorení čiastkových diel a o poskytovaní služieb</t>
  </si>
  <si>
    <t>AXASOFT, a.s.</t>
  </si>
  <si>
    <t>Panenská 7, Bratislava – mestská časť Staré Mesto 811 03</t>
  </si>
  <si>
    <t>https://www.crz.gov.sk/data/att/4659186.pdf</t>
  </si>
  <si>
    <t>https://www.crz.gov.sk/zmluva/8766131</t>
  </si>
  <si>
    <t>ZMLUVA O POSKYTOVANÍ SERVISNÝCH SLUŽIEB  NA ZABEZPEČENIE PREVÁDZKY, ÚDRŽBY A AKTUALIZÁCIE REZORTNÉHO INFORMAČNÉHO SYSTÉMU</t>
  </si>
  <si>
    <t>https://www.crz.gov.sk/data/att/4659653.pdf</t>
  </si>
  <si>
    <t>https://www.crz.gov.sk/zmluva/8766857</t>
  </si>
  <si>
    <t>Rámcová dohoda na poskytovanie služieb podpory a rozvoja Dokumentačného systému (DKS)</t>
  </si>
  <si>
    <t>Štefanovičova 5, P. O. BOX 82 , 817 82 BRATISLAVA,</t>
  </si>
  <si>
    <t>https://www.crz.gov.sk/data/att/4660760.pdf</t>
  </si>
  <si>
    <t>https://www.crz.gov.sk/zmluva/8768726</t>
  </si>
  <si>
    <t>00151491</t>
  </si>
  <si>
    <t>Kancelária Národnej rady Slovenskej republiky</t>
  </si>
  <si>
    <t>Námestie Alexandra Dubčeka 1, 812 80 Bratislava 1</t>
  </si>
  <si>
    <t>https://www.crz.gov.sk/zmluva/6648238</t>
  </si>
  <si>
    <t>IT Analytik</t>
  </si>
  <si>
    <t>Špecialista pre bezpečnosť IT a kyberbezpečnosť</t>
  </si>
  <si>
    <t>IT Architekt</t>
  </si>
  <si>
    <t>https://www.crz.gov.sk/data/att/3417854.pdf, https://www.crz.gov.sk/data/att/3417857.pdf</t>
  </si>
  <si>
    <t>https://www.crz.gov.sk/zmluva/6648509</t>
  </si>
  <si>
    <t>ZMLUVA O POSKYTOVANÍ SLUŽIEB</t>
  </si>
  <si>
    <t>00156752</t>
  </si>
  <si>
    <t>VODOHOSPODÁRSKA VÝSTAVBA, ŠTÁTNY PODNIK</t>
  </si>
  <si>
    <t>Karloveská 2, P.O.BOX 45, 842 04 Bratislava</t>
  </si>
  <si>
    <t>00603929</t>
  </si>
  <si>
    <t>SAT Systémy automatizacnej techniky, spol. s .r. o.</t>
  </si>
  <si>
    <t>Lamacská cesta 3/A, 84104 Bratislava</t>
  </si>
  <si>
    <t>https://www.crz.gov.sk/data/att/5120174.pdf</t>
  </si>
  <si>
    <t>https://crz.gov.sk/zmluva/9567828</t>
  </si>
  <si>
    <t>Rámcová dohoda č. 17_071_2024</t>
  </si>
  <si>
    <t>https://www.crz.gov.sk/data/att/5443566.pdf</t>
  </si>
  <si>
    <t>https://crz.gov.sk/zmluva/10130229</t>
  </si>
  <si>
    <t>Komzultant</t>
  </si>
  <si>
    <t>Zmluva o podpore prevádzky, údržbe a rozvoji IS</t>
  </si>
  <si>
    <t>35760273</t>
  </si>
  <si>
    <t>CGI Slovakia s.r.o.</t>
  </si>
  <si>
    <t>https://www.crz.gov.sk/data/att/4799019.pdf</t>
  </si>
  <si>
    <t>https://crz.gov.sk/zmluva/9007319</t>
  </si>
  <si>
    <t>Špecialista pre platobné služby</t>
  </si>
  <si>
    <t>Špecialista pre integráciu</t>
  </si>
  <si>
    <t>DevOps Admin (OS, DB)</t>
  </si>
  <si>
    <t>Servisná zmluva</t>
  </si>
  <si>
    <t>Mlynské nivy c. 44/a, 827 15 Bratislava</t>
  </si>
  <si>
    <t>https://www.crz.gov.sk/data/att/5361169.pdf</t>
  </si>
  <si>
    <t>https://crz.gov.sk/zmluva/9996282</t>
  </si>
  <si>
    <t>Archiekt infraštruktúry IS</t>
  </si>
  <si>
    <t>Systémový špecialista pre oblasť aktívnych prvkov sieťovej infraštruktúry</t>
  </si>
  <si>
    <t>Systémový špecialista pre oblasť bezpečnosti aktívnych prvkov siete</t>
  </si>
  <si>
    <t xml:space="preserve">Špecialista informačnej bezpečnosti </t>
  </si>
  <si>
    <t>Špecialista pre monitoring</t>
  </si>
  <si>
    <t xml:space="preserve"> IT Tester </t>
  </si>
  <si>
    <t xml:space="preserve">Špecialista pre  oblasť firewallov  Check Point a ForcePoint, SonicWall </t>
  </si>
  <si>
    <t xml:space="preserve">Špecialista pre  oblasť serverovej infraštruktúry a zálohovania </t>
  </si>
  <si>
    <t>Špecialista pre  pre oblasť datacentrovej virtualizácie a pre oblasť storage technológií</t>
  </si>
  <si>
    <t>Špecialista pre cloudové služby</t>
  </si>
  <si>
    <t>46457763</t>
  </si>
  <si>
    <t>SoftwareONE Slovakia s.r.o.</t>
  </si>
  <si>
    <t>Dunajská 7114/15, 811 08 Bratislava</t>
  </si>
  <si>
    <t>https://www.crz.gov.sk/data/att/5227199.pdf</t>
  </si>
  <si>
    <t>https://crz.gov.sk/zmluva/9763111</t>
  </si>
  <si>
    <t>Implementácia a testovanie, nasadenie a PIP, dokončovacia fáza</t>
  </si>
  <si>
    <t>Služby rozvoja v rámci plánovanej SLA</t>
  </si>
  <si>
    <t>Rámcová dohoda na dodávku softvéru v licencnom programe Microsoft Enrollment for Education Solutions (EES) a na dodávku súvisiacich služieb</t>
  </si>
  <si>
    <t>17321450</t>
  </si>
  <si>
    <t>exe, a.s.</t>
  </si>
  <si>
    <t>Galvaniho 19045/19, 821 04 Bratislava-mestská cast Ružinov</t>
  </si>
  <si>
    <t>https://www.crz.gov.sk/data/att/5276744.pdf</t>
  </si>
  <si>
    <t>https://crz.gov.sk/zmluva/9850698</t>
  </si>
  <si>
    <t>Služby nad rámec paušálnych služieb</t>
  </si>
  <si>
    <t>Dodatok č. 50 k Zmluve o poskytovaní servisu a údržby na programové vybavenie DWH a o technickej podpore na SW produkty číslo ZD20020007</t>
  </si>
  <si>
    <t>https://www.crz.gov.sk/data/att/5425968.pdf</t>
  </si>
  <si>
    <t>https://crz.gov.sk/zmluva/10102923</t>
  </si>
  <si>
    <t>Rôzne moduly</t>
  </si>
  <si>
    <t>Rôzne iné moduly</t>
  </si>
  <si>
    <t>Rámcová dohoda o poskytovaní služieb pre informacný systém Financného riadenia Sociálnej poistovne</t>
  </si>
  <si>
    <t>Ul. 29. augusta c. 8 a 10, 813 63 Bratislava 1</t>
  </si>
  <si>
    <t>https://www.crz.gov.sk/data/att/4879243.pdf</t>
  </si>
  <si>
    <t>https://crz.gov.sk/zmluva/9147995</t>
  </si>
  <si>
    <t>Služby rozvoja IS FRSP</t>
  </si>
  <si>
    <t>Poskytovanie školení</t>
  </si>
  <si>
    <t>54669464</t>
  </si>
  <si>
    <t>Úrad pre územné plánovanie a výstavbu SR</t>
  </si>
  <si>
    <t>Tomášikova 14366/64A, 831 04 Bratislava</t>
  </si>
  <si>
    <t>35722533</t>
  </si>
  <si>
    <t>Nuaktiv s.r.o.</t>
  </si>
  <si>
    <t>Žižkova 9, Bratislava - mestská časť Staré Mesto 811 02</t>
  </si>
  <si>
    <t>https://www.crz.gov.sk/data/att/5443156.pdf, https://www.crz.gov.sk/data/att/5443158.pdf</t>
  </si>
  <si>
    <t>https://crz.gov.sk/zmluva/10129580</t>
  </si>
  <si>
    <t>Rámcová zmluva o poskytovaní služieb technickej podpory a rozvoja Digitálnych zobrazovacích jednotiek.</t>
  </si>
  <si>
    <t>00587257</t>
  </si>
  <si>
    <t>QEX, a.s.</t>
  </si>
  <si>
    <t>Brnianska   2525, 911 05 Trenčín, SK</t>
  </si>
  <si>
    <t>https://www.crz.gov.sk/data/att/5431500.pdf</t>
  </si>
  <si>
    <t>https://crz.gov.sk/zmluva/10110313</t>
  </si>
  <si>
    <t xml:space="preserve">Predinštalačné a inštalačné práce </t>
  </si>
  <si>
    <t xml:space="preserve">Údržba a odstraňovanie vád </t>
  </si>
  <si>
    <t xml:space="preserve">Analytické a konzultačné práce </t>
  </si>
  <si>
    <t xml:space="preserve">Vývoj SW, implementácia, konfigurácia, testovanie </t>
  </si>
  <si>
    <t xml:space="preserve">Školenie </t>
  </si>
  <si>
    <t>45687862</t>
  </si>
  <si>
    <t>OKTE, a.s.</t>
  </si>
  <si>
    <t>Mlynské nivy 48, , 821 09 Bratislava</t>
  </si>
  <si>
    <t>Obchodná 9076/3D, 010 08 Žilina</t>
  </si>
  <si>
    <t>https://www.crz.gov.sk/data/att/5376655.pdf</t>
  </si>
  <si>
    <t>https://crz.gov.sk/zmluva/10020409</t>
  </si>
  <si>
    <t>analýza</t>
  </si>
  <si>
    <t>implementacia a nasadenie</t>
  </si>
  <si>
    <t>testovanie</t>
  </si>
  <si>
    <t>Zmluva o poskytovaní servisných služieb - Service Level Agreement (SLA) č. 88/2024</t>
  </si>
  <si>
    <t>30853915</t>
  </si>
  <si>
    <t>Národná transfúzna služba SR</t>
  </si>
  <si>
    <t>Ďumbierska 3/L, 831 01 Bratislava</t>
  </si>
  <si>
    <t>https://www.crz.gov.sk/data/att/5499372.pdf</t>
  </si>
  <si>
    <t>https://crz.gov.sk/zmluva/10220744</t>
  </si>
  <si>
    <t>Rozvoj APV Rubín</t>
  </si>
  <si>
    <t>Zmluva o poskytovaní služieb podpory prevádzky, údržby a rozvoja informačných systémov</t>
  </si>
  <si>
    <t>00634379</t>
  </si>
  <si>
    <t>PROSOFT, spol. s r. o.</t>
  </si>
  <si>
    <t>Kuzmányho 8, 010 01 Žilina</t>
  </si>
  <si>
    <t>https://www.crz.gov.sk/data/att/5479215.pdf</t>
  </si>
  <si>
    <t>https://crz.gov.sk/zmluva/10186674</t>
  </si>
  <si>
    <t>programátor</t>
  </si>
  <si>
    <t>analytik/architekt</t>
  </si>
  <si>
    <t>špecialista na infraštruktúru</t>
  </si>
  <si>
    <t>databázový špecialista</t>
  </si>
  <si>
    <t>tester</t>
  </si>
  <si>
    <t>projektový manažér</t>
  </si>
  <si>
    <t>Mlynské Nivy 55, Bratislava - mestská cast Ružinov 821 09</t>
  </si>
  <si>
    <t>https://www.crz.gov.sk/data/att/5106366.pdf</t>
  </si>
  <si>
    <t>https://crz.gov.sk/zmluva/9544125</t>
  </si>
  <si>
    <t>implementačné práce</t>
  </si>
  <si>
    <t>ZMLUVA O PODPORE PREVÁDZKY, ÚDRŽBE A ROZVOJI INFORMACNÉHO SYSTÉMU</t>
  </si>
  <si>
    <t>Sabinovská 16254/16, 82005 Bratislava - mestská cast Ružinov</t>
  </si>
  <si>
    <t>https://www.crz.gov.sk/data/att/5227262.pdf</t>
  </si>
  <si>
    <t>https://crz.gov.sk/zmluva/9763219</t>
  </si>
  <si>
    <t>Zmluva o poskytovaní podporných služieb – Underpinningcontract /UC/ pre zabezpecenie prevádzky Informacného systému Mobilná aplikácia - poštové služby /MAPS/ na základe dohodnutých cielových úrovní podporných služieb – ServiceLevelTarget /SLT/</t>
  </si>
  <si>
    <t>Martina Granca 3452/8, 841 02  Bratislava</t>
  </si>
  <si>
    <t>https://www.crz.gov.sk/data/att/4844182.pdf, https://www.crz.gov.sk/data/att/4844217.pdf</t>
  </si>
  <si>
    <t>https://crz.gov.sk/zmluva/9085927</t>
  </si>
  <si>
    <t>Podpora prevádzky hardvéru a systémového softvéru vrátane aplikačnej podpory existujúceho informačného systému Nitrianskeho samosprávneho kraja</t>
  </si>
  <si>
    <t>37861298</t>
  </si>
  <si>
    <t>Nitriansky samosprávny kraj</t>
  </si>
  <si>
    <t>Rázusova 2915/2A, 94901 Nitra</t>
  </si>
  <si>
    <t>https://www.crz.gov.sk/data/att/5296507.pdf</t>
  </si>
  <si>
    <t>https://crz.gov.sk/zmluva/9883860</t>
  </si>
  <si>
    <t>Zmluva o poskytovaní služieb IT podpory: 1. Automaticky vykonávané služby, 2. Služby vyžiadanej technickej podpory, 3.Dodatocné služby</t>
  </si>
  <si>
    <t>00003328</t>
  </si>
  <si>
    <t>Slovenská správa ciest, Bratislava</t>
  </si>
  <si>
    <t>Dúbravská cesta 1152/3, 841 04 Bratislava</t>
  </si>
  <si>
    <t>Krasovského 14, Bratislava</t>
  </si>
  <si>
    <t>https://www.crz.gov.sk/data/att/5461670.pdf</t>
  </si>
  <si>
    <t>https://crz.gov.sk/zmluva/10157845</t>
  </si>
  <si>
    <t>Hodinová sadzba pre IKT komponent: Desktopy a Notebooky</t>
  </si>
  <si>
    <t>Hodinová sadzba pre IKTkomponent: Aktívne a pasívne prvky LAN, WAN infraštruktúry</t>
  </si>
  <si>
    <t>Hodinová sadzba pre IKT komponent: SW a aplikácie 3 strán</t>
  </si>
  <si>
    <t>Hodinová sadzba pre IKT komponent: Server-systém a systémová SW infraštruktúra</t>
  </si>
  <si>
    <t>Komenského 73, 04181 Košice -Sever SVK</t>
  </si>
  <si>
    <t>Jelacicova 8A, 82108 Bratislava - mestská cast Ružinov SVK</t>
  </si>
  <si>
    <t>https://www.crz.gov.sk/data/att/4981953.pdf</t>
  </si>
  <si>
    <t>https://crz.gov.sk/zmluva/9325152</t>
  </si>
  <si>
    <t>Profylaktické práce</t>
  </si>
  <si>
    <t>Galvaniho 19045/19, 821 04 Bratislava - mestská časť Ružinov</t>
  </si>
  <si>
    <t>https://www.crz.gov.sk/data/att/5290790.pdf</t>
  </si>
  <si>
    <t>https://crz.gov.sk/zmluva/9874383</t>
  </si>
  <si>
    <t>Zabezpečenie nevyhnutnej podpory štandardnej prevádzky ASSR-pravidelné činnosti</t>
  </si>
  <si>
    <t>Rámcové rozvojové požiadavky kľúčového používateľa O160 GR ŽSR</t>
  </si>
  <si>
    <t>Zmluva na nákup Microsoft produktov a služieb v programe ENTERPRISE</t>
  </si>
  <si>
    <t>https://www.crz.gov.sk/data/att/5468215.pdf, https://www.crz.gov.sk/data/att/5468218.pdf</t>
  </si>
  <si>
    <t>https://crz.gov.sk/zmluva/10168643</t>
  </si>
  <si>
    <t>IT/IS konzultant (analytik)</t>
  </si>
  <si>
    <t>https://www.crz.gov.sk/data/att/4720928.pdf</t>
  </si>
  <si>
    <t>https://crz.gov.sk/zmluva/8872423</t>
  </si>
  <si>
    <t>Zmluva o službách technickej prevádzky a údržby a službách vývoja IS pre FRAMEWORK ŠMP</t>
  </si>
  <si>
    <t>30794323</t>
  </si>
  <si>
    <t>Pôdohospodárska platobná agentúra</t>
  </si>
  <si>
    <t>Hranicná ul. c. 12, 815 26 Bratislava</t>
  </si>
  <si>
    <t>https://www.crz.gov.sk/data/att/5513839.pdf</t>
  </si>
  <si>
    <t>https://crz.gov.sk/zmluva/10245537</t>
  </si>
  <si>
    <t>Dodatok c. 6 k Zmluve o dielo c. 1179/2019</t>
  </si>
  <si>
    <t>Landererova 12, 811 09 Bratislava – mestská cast Staré Mesto</t>
  </si>
  <si>
    <t>https://www.crz.gov.sk/data/att/5027906.pdf</t>
  </si>
  <si>
    <t>https://crz.gov.sk/zmluva/9405264</t>
  </si>
  <si>
    <t>Zmluva o dielo a poskytovaní služieb</t>
  </si>
  <si>
    <t>36126624</t>
  </si>
  <si>
    <t>Trenciansky samosprávny kraj</t>
  </si>
  <si>
    <t>K dolnej stanici 7282/20A, 91101 Trencín</t>
  </si>
  <si>
    <t>Soblahovská 2050, 911 01 Trencín</t>
  </si>
  <si>
    <t>https://www.crz.gov.sk/data/att/5389806.pdf</t>
  </si>
  <si>
    <t>https://crz.gov.sk/zmluva/10044473</t>
  </si>
  <si>
    <t>https://www.crz.gov.sk/data/att/4953564.pdf</t>
  </si>
  <si>
    <t>https://crz.gov.sk/zmluva/9276085</t>
  </si>
  <si>
    <t>APV - pausal a nadpausal</t>
  </si>
  <si>
    <t>Konzultácia v rámci podpory SEHIS + všeobecný konzultant</t>
  </si>
  <si>
    <t>montážny a servisný technik</t>
  </si>
  <si>
    <t>systémový inžinier</t>
  </si>
  <si>
    <t>Zmluva o poskytovaní systémovej a aplikacnej podpory Informacného systému aplikacnej architektúry a bezpecnostnej infraštruktúry (IS BAI)</t>
  </si>
  <si>
    <t>Racianska 71 Bratislava Slovensko</t>
  </si>
  <si>
    <t>Mlynské Nivy 55 Bratislava Slovensko</t>
  </si>
  <si>
    <t>https://www.crz.gov.sk/data/att/5257497.pdf, https://www.crz.gov.sk/data/att/5257498.pdf</t>
  </si>
  <si>
    <t>https://crz.gov.sk/zmluva/9818798</t>
  </si>
  <si>
    <t>Vedúci projektu PM</t>
  </si>
  <si>
    <t>Expert pre registračné autority</t>
  </si>
  <si>
    <t>Expert pre monitorovanie bezpečnosti</t>
  </si>
  <si>
    <t>Expert pre oblasť správy používateľov</t>
  </si>
  <si>
    <t>Zmluva o podpore prevádzky, údržbe a rozvoji informačného systému</t>
  </si>
  <si>
    <t>https://www.crz.gov.sk/data/att/4959896.pdf</t>
  </si>
  <si>
    <t>https://crz.gov.sk/zmluva/9286970</t>
  </si>
  <si>
    <t>Odborník pre IT dohľad / Quality Assurance</t>
  </si>
  <si>
    <t>Špecialista pre infraštruktúry / HW špecialista</t>
  </si>
  <si>
    <t>Servisná zmluva o poskytovaní systémovej, aplikacnej podpory a rozvoja  Centrálneho financného  informacného systému pre verejné vysoké školy (IS SOFIA)</t>
  </si>
  <si>
    <t>https://www.crz.gov.sk/data/att/4922900.pdf</t>
  </si>
  <si>
    <t>https://crz.gov.sk/zmluva/9223275</t>
  </si>
  <si>
    <t>Spoločne všetci experti poskytujúci podporu APV IS SOFIA, všetky moduly</t>
  </si>
  <si>
    <t>Expert č. 1 pre oblasť projektového riadenia</t>
  </si>
  <si>
    <t>Expert č. 2 pre oblasť architektúry informačných systémov</t>
  </si>
  <si>
    <t>Expert č. 3 pre oblasť analýzy informačných systémov a Expert č. 18 pre oblasť dátovej analýzy a reportingu</t>
  </si>
  <si>
    <t>Expert č. 5 pre oblasť riadenia a správy IT služieb</t>
  </si>
  <si>
    <t>Experti č. 7 až 12 pre rôzne moduly systému SAP a tiež Expert č. 14 pre oblasť databáz všeobecne</t>
  </si>
  <si>
    <t>Expert č. 13 pre oblasť operačných systémov</t>
  </si>
  <si>
    <t>Expert č. 15 pre IT bezpečnosť</t>
  </si>
  <si>
    <t>Expert č. 16 pre oblasť programovania</t>
  </si>
  <si>
    <t>Expert č. 17 pre oblasť IT testovania</t>
  </si>
  <si>
    <t>Zmluva o dielo na dodávku informacného systému</t>
  </si>
  <si>
    <t>https://www.crz.gov.sk/data/att/4959834.pdf</t>
  </si>
  <si>
    <t>https://crz.gov.sk/zmluva/9286861</t>
  </si>
  <si>
    <t>https://www.crz.gov.sk/data/att/5244378.pdf</t>
  </si>
  <si>
    <t>https://crz.gov.sk/zmluva/9796778</t>
  </si>
  <si>
    <t>SW a business analytik</t>
  </si>
  <si>
    <t>Dodatok č. 15 k Zmluve o technickej podpore prevádzky a rozvoja APV Portálu finančnej správy (APV PFS)</t>
  </si>
  <si>
    <t>Mlynské Nivy 55, 821 09 Bratislava - mestská časť Ružinov</t>
  </si>
  <si>
    <t>https://www.crz.gov.sk/data/att/5051723.pdf</t>
  </si>
  <si>
    <t>https://crz.gov.sk/zmluva/9446793</t>
  </si>
  <si>
    <t>Mladší (junior) konzultant</t>
  </si>
  <si>
    <t>Medior</t>
  </si>
  <si>
    <t>Starší konzultant</t>
  </si>
  <si>
    <t>Servisná zmluva na zabezpečenie podpory informačného systému Centrálny konsolidačný systém (CKS)</t>
  </si>
  <si>
    <t>36221945</t>
  </si>
  <si>
    <t>AITEN, a. s.</t>
  </si>
  <si>
    <t>Bajkalská 19B, 821 01 Bratislava - mestská časť Ružinov</t>
  </si>
  <si>
    <t>https://www.crz.gov.sk/data/att/4709934.pdf</t>
  </si>
  <si>
    <t>https://crz.gov.sk/zmluva/8853629</t>
  </si>
  <si>
    <t>Zmluva o poskytovaní technickej podpory pre Centrálny dochádzkový systém</t>
  </si>
  <si>
    <t>https://www.crz.gov.sk/data/att/5052621.pdf</t>
  </si>
  <si>
    <t>https://crz.gov.sk/zmluva/9448317</t>
  </si>
  <si>
    <t>Rôzne činnosti, nesúvisiace s profesiami</t>
  </si>
  <si>
    <t>36817864</t>
  </si>
  <si>
    <t>CellQoS, a.s.</t>
  </si>
  <si>
    <t>Koniarekova 19, 917 21 Trnava</t>
  </si>
  <si>
    <t>https://www.crz.gov.sk/data/att/4897332.pdf</t>
  </si>
  <si>
    <t>https://crz.gov.sk/zmluva/9179268</t>
  </si>
  <si>
    <t>Rôzne inštalačné, konfiguračné a programovacie práce</t>
  </si>
  <si>
    <t>Mlynské Nivy 55, Bratislava - mestská časť Ružinov 821 09</t>
  </si>
  <si>
    <t>https://www.crz.gov.sk/data/att/5106337.pdf</t>
  </si>
  <si>
    <t>https://crz.gov.sk/zmluva/9544077</t>
  </si>
  <si>
    <t>Jediná samostatne nacenená položka je na implementačné práce, inak po mesiacoch</t>
  </si>
  <si>
    <t>Zmluva o poskytovaní systémovej a aplikačnej podpory Informačného systému Registra úpadcov (IS RÚ)</t>
  </si>
  <si>
    <t>Račianska 71 Bratislava Slovensko</t>
  </si>
  <si>
    <t>Landererova 12 Bratislava Slovensko</t>
  </si>
  <si>
    <t>https://www.crz.gov.sk/data/att/4878680.pdf</t>
  </si>
  <si>
    <t>https://crz.gov.sk/zmluva/9146938</t>
  </si>
  <si>
    <t>Zmluva o poskytovaní služieb technickej podpory a servisných služieb IBM</t>
  </si>
  <si>
    <t>https://www.crz.gov.sk/data/att/5510213.pdf</t>
  </si>
  <si>
    <t>https://crz.gov.sk/zmluva/10239226</t>
  </si>
  <si>
    <t>Podpora IBM power platformy, cloud on power a IBM z15</t>
  </si>
  <si>
    <t>Manažment dostupnosti služieb - IBM Client availability leader</t>
  </si>
  <si>
    <t>Systémový administrátor pre IBM z15</t>
  </si>
  <si>
    <t>Aktualizácia nových verzií z/OS a všetkých komponentov</t>
  </si>
  <si>
    <t>Dodatok č. 6 k Zmluve o poskytovaní servisných služieb – Service Level Agreement (SLA) č. MS/66/2015-95</t>
  </si>
  <si>
    <t>Soblahovská 2050 Trenčín Slovensko</t>
  </si>
  <si>
    <t>https://www.crz.gov.sk/data/att/5498438.pdf, https://www.crz.gov.sk/data/att/5498439.pdf</t>
  </si>
  <si>
    <t>https://crz.gov.sk/zmluva/10219296</t>
  </si>
  <si>
    <t>Metodik / Analytik</t>
  </si>
  <si>
    <t>Hot line</t>
  </si>
  <si>
    <t>Technik / špecialista</t>
  </si>
  <si>
    <t>Zmluva o podpore a prevádzky, údržbe a rozvoji informačného systému</t>
  </si>
  <si>
    <t>Bajkalská 1467/27, 820 07 Bratislava - mestská časť Ružinov</t>
  </si>
  <si>
    <t>46450424</t>
  </si>
  <si>
    <t>WDS Solutions s. r. o.</t>
  </si>
  <si>
    <t>Mateja Bela 2494/4, 911 08 Trenčín</t>
  </si>
  <si>
    <t>https://www.crz.gov.sk/data/att/5403725.pdf</t>
  </si>
  <si>
    <t>https://crz.gov.sk/zmluva/10066685</t>
  </si>
  <si>
    <t>Zmluva o prevádzkových službách informačného systému na správu registratúry, elektronických služieb Trnavského samosprávneho kraja a o zabezpečení plnenia bezpečnostných opatrení a notifikačných povinností</t>
  </si>
  <si>
    <t>37836901</t>
  </si>
  <si>
    <t>Trnavský samosprávny kraj</t>
  </si>
  <si>
    <t>Starohájska ulica 6868/10, 91701 Trnava</t>
  </si>
  <si>
    <t>https://www.crz.gov.sk/data/att/4773350.pdf</t>
  </si>
  <si>
    <t>https://crz.gov.sk/zmluva/8963394</t>
  </si>
  <si>
    <t>Zmluva o podpore prevádzky, údržbe a rozvoji informacného systému „Národný vízový informacný systém“</t>
  </si>
  <si>
    <t>https://www.crz.gov.sk/data/att/5058026.pdf</t>
  </si>
  <si>
    <t>https://crz.gov.sk/zmluva/9457954</t>
  </si>
  <si>
    <t>Softvérový analytik</t>
  </si>
  <si>
    <t>Bezpečnostný expert a špecialista na kybernetickú bezpečnosť</t>
  </si>
  <si>
    <t>Zmluva o poskytovaní podporných služieb – Underpinning contract /UC/ pre zabezpečenie prevádzky Informačného systému „JAS - Jednotný agendový systém“ na základe dohodnutých cieľových úrovní podporných služieb – Service Level Target /SLT/</t>
  </si>
  <si>
    <t>36650811</t>
  </si>
  <si>
    <t>Piešť II. 129, 962 12  Detva</t>
  </si>
  <si>
    <t>https://www.crz.gov.sk/data/att/4801439.pdf, https://www.crz.gov.sk/data/att/4801487.pdf</t>
  </si>
  <si>
    <t>https://crz.gov.sk/zmluva/9011473</t>
  </si>
  <si>
    <t>DB admin</t>
  </si>
  <si>
    <t>Dátový admin a systémový admin</t>
  </si>
  <si>
    <t>Projekt manažér</t>
  </si>
  <si>
    <t>Expert - Sales podpora business riešenia</t>
  </si>
  <si>
    <t>Zabezpecenie komplexných služieb technickej podpory, údržby a rozvoja programového vybavenia ORIS vrátane zapracovania legislatívnych zmien a individuálnych požiadaviek objednávatela</t>
  </si>
  <si>
    <t>37936859</t>
  </si>
  <si>
    <t>Správa a údržba ciest Prešovského samosprávneho kraja</t>
  </si>
  <si>
    <t>Jesenná 14, 08005 Prešov</t>
  </si>
  <si>
    <t>31587411</t>
  </si>
  <si>
    <t>ICP</t>
  </si>
  <si>
    <t>Dolné Rudiny 1, 010 01 Žilina</t>
  </si>
  <si>
    <t>https://www.crz.gov.sk/data/att/5474109.pdf, https://www.crz.gov.sk/data/att/5474112.pdf</t>
  </si>
  <si>
    <t>https://crz.gov.sk/zmluva/10177873</t>
  </si>
  <si>
    <t>Testovacie práce</t>
  </si>
  <si>
    <t>Projektové práce</t>
  </si>
  <si>
    <t>Individuálne školenie pre 1 osobu cez internet na dátach zákazníka</t>
  </si>
  <si>
    <t>Systémové práce ORACLE, Windows</t>
  </si>
  <si>
    <t>Zmluva o dielo a poskytovaní služieb pre informacný systém „Evidencia a správa pohladávok“</t>
  </si>
  <si>
    <t>30796482</t>
  </si>
  <si>
    <t>Úrad pre dohlad nad zdravotnou starostlivostou</t>
  </si>
  <si>
    <t>https://www.crz.gov.sk/data/att/5010911.pdf, https://www.crz.gov.sk/data/att/5010913.pdf</t>
  </si>
  <si>
    <t>https://crz.gov.sk/zmluva/9375200</t>
  </si>
  <si>
    <t>Projektový manažér IT</t>
  </si>
  <si>
    <t>IT Analytik (IT/IS konzultant)</t>
  </si>
  <si>
    <t>Manažér IT služieb (IT dohľad / Quality Assurance)</t>
  </si>
  <si>
    <t>Iné (pozícia, ktorú nie je možné zaradiť do ostatných pozícií napr. dátový kurátor)</t>
  </si>
  <si>
    <t>Flat rate</t>
  </si>
  <si>
    <t>Cintorínska 2301/5, 81108 Bratislava - mestská èas Staré Mesto</t>
  </si>
  <si>
    <t>50854402</t>
  </si>
  <si>
    <t>AUREUS + a. s.</t>
  </si>
  <si>
    <t>Šoltésovej 12, 811 08 Bratislava - mestská èas Staré mesto</t>
  </si>
  <si>
    <t>https://www.crz.gov.sk/data/att/4845321.pdf, https://www.crz.gov.sk/data/att/4845327.pdf</t>
  </si>
  <si>
    <t>https://crz.gov.sk/zmluva/9089865</t>
  </si>
  <si>
    <t>Certifikovaný špecialista IDGenTool</t>
  </si>
  <si>
    <t>Správca pre oblasť operačných systémov</t>
  </si>
  <si>
    <t>Správca SQL databázového systému</t>
  </si>
  <si>
    <t>Linux špecialista</t>
  </si>
  <si>
    <t>Operátor call centra</t>
  </si>
  <si>
    <t>Developer</t>
  </si>
  <si>
    <t>Špecialista na bezpečnosť</t>
  </si>
  <si>
    <t>Špecialista na architektúru</t>
  </si>
  <si>
    <t>46156429</t>
  </si>
  <si>
    <t>GeoServices, s.r.o.</t>
  </si>
  <si>
    <t>Drienová 34, 821 02 Bratislava</t>
  </si>
  <si>
    <t>https://www.crz.gov.sk/data/att/5373856.pdf</t>
  </si>
  <si>
    <t>https://crz.gov.sk/zmluva/10017531</t>
  </si>
  <si>
    <t>Zmluva o poskytovaní služieb pri prevádzke integracnej platformy</t>
  </si>
  <si>
    <t>https://www.crz.gov.sk/data/att/4731535.pdf, https://www.crz.gov.sk/data/att/4731543.pdf</t>
  </si>
  <si>
    <t>https://crz.gov.sk/zmluva/8890595</t>
  </si>
  <si>
    <t>Špecialista pre infraštruktúru / HW špecialista</t>
  </si>
  <si>
    <t>Zmluva o prevádzke a podpore riadiaceho, informacného a odbavovacieho systému pre MHD a Licencná zmluva</t>
  </si>
  <si>
    <t>31701914</t>
  </si>
  <si>
    <t>Dopravný podnik mesta Košice, akciová spolocnost</t>
  </si>
  <si>
    <t>Bardejovská 6, 04329 Košice - mestská cast Západ</t>
  </si>
  <si>
    <t>35741236</t>
  </si>
  <si>
    <t>TransData s.r.o.</t>
  </si>
  <si>
    <t>M.R. Štefánika 139, 010 01 Žilina</t>
  </si>
  <si>
    <t>https://www.crz.gov.sk/data/att/4892544.pdf</t>
  </si>
  <si>
    <t>https://crz.gov.sk/zmluva/9170753</t>
  </si>
  <si>
    <t>Projektové práce / riadenie projektov</t>
  </si>
  <si>
    <t>Individuálne konzultácie a školenia</t>
  </si>
  <si>
    <t>Servisný zásah cez vzdialený prístup</t>
  </si>
  <si>
    <t>Servisný zásah, oprava hardvéru</t>
  </si>
  <si>
    <t>Softvérový a dátový servis, zmena konfigurácie</t>
  </si>
  <si>
    <t>Individuálne programátorské úkony</t>
  </si>
  <si>
    <t>Individuálne analytické úkony</t>
  </si>
  <si>
    <t>Individuálne dokumentačné činnosti</t>
  </si>
  <si>
    <t>Telefonická podpora</t>
  </si>
  <si>
    <t>https://www.crz.gov.sk/data/att/5054217.pdf</t>
  </si>
  <si>
    <t>https://crz.gov.sk/zmluva/9451157</t>
  </si>
  <si>
    <t>Služba nadštandardný update</t>
  </si>
  <si>
    <t>Karadžicova 2, 811 08 Bratislava</t>
  </si>
  <si>
    <t>https://www.crz.gov.sk/data/att/5491569.pdf</t>
  </si>
  <si>
    <t>https://crz.gov.sk/zmluva/10207575</t>
  </si>
  <si>
    <t>Vyžiadané úpravy programového vybavenia</t>
  </si>
  <si>
    <t>Zmluva na poskytnutie služby</t>
  </si>
  <si>
    <t>Letná è. 1/9, 042 00 Košice-Sever</t>
  </si>
  <si>
    <t>https://www.crz.gov.sk/data/att/4905712.pdf</t>
  </si>
  <si>
    <t>https://crz.gov.sk/zmluva/9193630</t>
  </si>
  <si>
    <t>Servis rôznej techniky - PC, notebooky, tlačiarne a pod.</t>
  </si>
  <si>
    <t>Dodatok č. 1 k Zmluve o poskytovaní služieb pre prevádzku a údržbu informaèných systémov samosprávy</t>
  </si>
  <si>
    <t>00326470</t>
  </si>
  <si>
    <t>Mesto Poprad</t>
  </si>
  <si>
    <t>Nábrežie Jána Pavla II. 2802/3, 05842 Poprad</t>
  </si>
  <si>
    <t>A. Kmea 5397/23, 036 01 Martin</t>
  </si>
  <si>
    <t>https://www.crz.gov.sk/data/att/4765208.pdf</t>
  </si>
  <si>
    <t>https://crz.gov.sk/zmluva/8948652</t>
  </si>
  <si>
    <t>Upgrade - technické zhodnotenie dodaného aplikačného softvéru</t>
  </si>
  <si>
    <t>Technická, hotline a metodická podpora</t>
  </si>
  <si>
    <t>Servisná zmluva na podporu softvérových systémov</t>
  </si>
  <si>
    <t>36014061</t>
  </si>
  <si>
    <t>R-SYS, s.r.o.</t>
  </si>
  <si>
    <t>Rybárska 7389, 911 01 Trencín 1</t>
  </si>
  <si>
    <t>https://www.crz.gov.sk/data/att/5485762.pdf</t>
  </si>
  <si>
    <t>https://crz.gov.sk/zmluva/10197904</t>
  </si>
  <si>
    <t>Projekt manažment</t>
  </si>
  <si>
    <t>Konzultácie v sídle objednávateľa</t>
  </si>
  <si>
    <t>Senior programátor</t>
  </si>
  <si>
    <t>Servisný zásah v prevádzke objednávateľa</t>
  </si>
  <si>
    <t>Ostatné práce nezahrnuté vyššie</t>
  </si>
  <si>
    <t>Rámcová dohoda na podporu, údržbu a rozvoj produktov Microsoft</t>
  </si>
  <si>
    <t>https://www.crz.gov.sk/data/att/4796830.pdf</t>
  </si>
  <si>
    <t>https://crz.gov.sk/zmluva/9003656</t>
  </si>
  <si>
    <t>Reaktívne a proaktívne služby</t>
  </si>
  <si>
    <t>Realizačná zmluva č.p.: SVO-RVO2-2024/000363-005</t>
  </si>
  <si>
    <t>https://www.crz.gov.sk/data/att/5171774.pdf</t>
  </si>
  <si>
    <t>https://crz.gov.sk/zmluva/9660339</t>
  </si>
  <si>
    <t>https://www.crz.gov.sk/data/att/4905741.pdf</t>
  </si>
  <si>
    <t>https://crz.gov.sk/zmluva/9193677</t>
  </si>
  <si>
    <t>Analytické služby</t>
  </si>
  <si>
    <t>Vývojové a programátorské služby</t>
  </si>
  <si>
    <t>Zmluva na dodanie hardwaru, softwaru a podpory</t>
  </si>
  <si>
    <t>https://www.crz.gov.sk/data/att/5172612.pdf</t>
  </si>
  <si>
    <t>https://crz.gov.sk/zmluva/9661913</t>
  </si>
  <si>
    <t>Ostatné činnosti, spolu za 24960 eur, 52 ČD</t>
  </si>
  <si>
    <t>Rámcová dohoda na dodanie hardvérových komponentov pre virtualizaènú platformu Vmware</t>
  </si>
  <si>
    <t>https://www.crz.gov.sk/data/att/5413016.pdf</t>
  </si>
  <si>
    <t>https://crz.gov.sk/zmluva/10082046</t>
  </si>
  <si>
    <t>Práce HW špecialistu</t>
  </si>
  <si>
    <t>Práce systémového špecialistu</t>
  </si>
  <si>
    <t>Práce architekta</t>
  </si>
  <si>
    <t>Zmluva o poskytovaní technickej podpory pre softvérové produkty spoločnosti Microsoft</t>
  </si>
  <si>
    <t>https://www.crz.gov.sk/data/att/5490436.pdf</t>
  </si>
  <si>
    <t>https://crz.gov.sk/zmluva/9927755</t>
  </si>
  <si>
    <t>Cena za služby na vyžiadanie nad rámec hodín zarátaných do paušálu (20 hodín)</t>
  </si>
  <si>
    <t>ZMLUVA O POSKYTOVANÍ SLUŽIEB PODPORY A ÚDRŽBY</t>
  </si>
  <si>
    <t>35776005</t>
  </si>
  <si>
    <t>Slovenská konsolidačná, a.s.</t>
  </si>
  <si>
    <t>Cintorínska 21, 814 99 Bratislava 1</t>
  </si>
  <si>
    <t>31390633</t>
  </si>
  <si>
    <t>EMEL BRATISLAVA, s.r.o.</t>
  </si>
  <si>
    <t>Švabinského 21, 851 01 Bratislava</t>
  </si>
  <si>
    <t>https://www.crz.gov.sk/data/att/5480320.pdf</t>
  </si>
  <si>
    <t>https://crz.gov.sk/zmluva/10188643</t>
  </si>
  <si>
    <t>Služby aktualizácie a zabezpečenia IS SRS v rutinnej prevádzke na akt. verziu a objednávkové služby</t>
  </si>
  <si>
    <t>SERVISNÁ ZMLUVA</t>
  </si>
  <si>
    <t>Bajkalská  19B, 821 01  BRATISLAVA – mestská časť Ružinov</t>
  </si>
  <si>
    <t>https://www.crz.gov.sk/data/att/4824201.pdf</t>
  </si>
  <si>
    <t>https://crz.gov.sk/zmluva/9050239</t>
  </si>
  <si>
    <t>SLA služby na vyžiadanie</t>
  </si>
  <si>
    <t>Dodatok č. 49 k Zmluve o poskytovaní servisu a údržby na programové vybavenie DWH a o technickej podpore na SW produkty pre DWH číslo ZD20020007</t>
  </si>
  <si>
    <t>https://www.crz.gov.sk/data/att/5055959.pdf</t>
  </si>
  <si>
    <t>https://crz.gov.sk/zmluva/9454140</t>
  </si>
  <si>
    <t>Služby integračného rozhrania v pracovnom a mimopracovnom čase</t>
  </si>
  <si>
    <t>https://www.crz.gov.sk/data/att/5003467.pdf</t>
  </si>
  <si>
    <t>https://crz.gov.sk/zmluva/9362547</t>
  </si>
  <si>
    <t>Vyžiadané úpravy programového vybavenia - ocenenie hodinovou sadzbou bodu 2.3.2 článku II. zmluvy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</si>
</sst>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Aptos Narrow"/>
      <family val="2"/>
      <charset val="238"/>
      <scheme val="minor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rgb="FFFF0000"/>
      <name val="Arial Narrow"/>
      <family val="2"/>
    </font>
    <font>
      <b/>
      <sz val="11"/>
      <color theme="1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49" fontId="2" fillId="0" borderId="0" xfId="0" applyNumberFormat="1" applyFont="1"/>
    <xf numFmtId="14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left"/>
    </xf>
    <xf numFmtId="3" fontId="2" fillId="0" borderId="0" xfId="0" applyNumberFormat="1" applyFont="1"/>
    <xf numFmtId="3" fontId="3" fillId="0" borderId="0" xfId="0" applyNumberFormat="1" applyFont="1" applyAlignment="1">
      <alignment horizontal="left" vertical="center"/>
    </xf>
    <xf numFmtId="14" fontId="2" fillId="0" borderId="0" xfId="0" applyNumberFormat="1" applyFont="1"/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center" vertical="center" wrapText="1"/>
    </xf>
    <xf numFmtId="49" fontId="1" fillId="2" borderId="0" xfId="0" applyNumberFormat="1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14" fontId="4" fillId="2" borderId="0" xfId="0" applyNumberFormat="1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42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left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0" formatCode="General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19" formatCode="d/m/yyyy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" formatCode="#,##0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19" formatCode="d/m/yyyy"/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alignment horizontal="center" vertic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 Narrow"/>
        <family val="2"/>
        <charset val="238"/>
        <scheme val="none"/>
      </font>
      <fill>
        <patternFill patternType="solid">
          <fgColor indexed="64"/>
          <bgColor theme="0" tint="-0.14999847407452621"/>
        </patternFill>
      </fill>
      <alignment horizontal="general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Robota\Posudzovanie_SLA_manday_rates\2025\MD_rates_revised_2020-2024.xlsb" TargetMode="External"/><Relationship Id="rId1" Type="http://schemas.openxmlformats.org/officeDocument/2006/relationships/externalLinkPath" Target="/Robota/Posudzovanie_SLA_manday_rates/2025/MD_rates_revised_2020-2024.xlsb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B"/>
      <sheetName val="Vystupy"/>
      <sheetName val="RozdielSadzby"/>
      <sheetName val="Ciselniky"/>
    </sheetNames>
    <sheetDataSet>
      <sheetData sheetId="0"/>
      <sheetData sheetId="1"/>
      <sheetData sheetId="2"/>
      <sheetData sheetId="3">
        <row r="2">
          <cell r="A2" t="str">
            <v>Administrátor</v>
          </cell>
          <cell r="B2">
            <v>231.85833333333335</v>
          </cell>
        </row>
        <row r="3">
          <cell r="A3" t="str">
            <v>Analytik</v>
          </cell>
          <cell r="B3">
            <v>278.98333333333335</v>
          </cell>
        </row>
        <row r="4">
          <cell r="A4" t="str">
            <v>Architekt</v>
          </cell>
          <cell r="B4">
            <v>354.0333333333333</v>
          </cell>
        </row>
        <row r="5">
          <cell r="A5" t="str">
            <v>Blended rate</v>
          </cell>
          <cell r="B5">
            <v>278.98333333333335</v>
          </cell>
        </row>
        <row r="6">
          <cell r="A6" t="str">
            <v>Iné</v>
          </cell>
          <cell r="B6">
            <v>278.98333333333335</v>
          </cell>
        </row>
        <row r="7">
          <cell r="A7" t="str">
            <v>Podpora</v>
          </cell>
          <cell r="B7">
            <v>231.85833333333335</v>
          </cell>
        </row>
        <row r="8">
          <cell r="A8" t="str">
            <v>Programátor</v>
          </cell>
          <cell r="B8">
            <v>278.98333333333335</v>
          </cell>
        </row>
        <row r="9">
          <cell r="A9" t="str">
            <v>Rutinné práce</v>
          </cell>
          <cell r="B9">
            <v>278.98333333333335</v>
          </cell>
        </row>
        <row r="10">
          <cell r="A10" t="str">
            <v>Školiteľ</v>
          </cell>
          <cell r="B10">
            <v>278.98333333333335</v>
          </cell>
        </row>
        <row r="11">
          <cell r="A11" t="str">
            <v>Špecialista</v>
          </cell>
          <cell r="B11">
            <v>278.98333333333335</v>
          </cell>
        </row>
        <row r="12">
          <cell r="A12" t="str">
            <v>Technik</v>
          </cell>
          <cell r="B12">
            <v>231.85833333333335</v>
          </cell>
        </row>
        <row r="13">
          <cell r="A13" t="str">
            <v>Tester</v>
          </cell>
          <cell r="B13">
            <v>278.98333333333335</v>
          </cell>
        </row>
        <row r="14">
          <cell r="A14" t="str">
            <v>Vedúci projektu</v>
          </cell>
          <cell r="B14">
            <v>278.98333333333335</v>
          </cell>
        </row>
      </sheetData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DF2FBB64-EE4C-42C9-A834-BBC5973D5323}" name="SrcDB" displayName="SrcDB" ref="A4:AN1453" totalsRowShown="0" headerRowDxfId="41" dataDxfId="40">
  <autoFilter ref="A4:AN1453" xr:uid="{DEF23E74-24FF-475D-978F-584BDB76E618}"/>
  <tableColumns count="40">
    <tableColumn id="1" xr3:uid="{247EEA27-AF4A-40A3-B061-DA36FB34B92A}" name="Nazov" dataDxfId="39"/>
    <tableColumn id="2" xr3:uid="{9689576E-D292-464C-B9F4-B4FD330AA761}" name="ID" dataDxfId="38"/>
    <tableColumn id="3" xr3:uid="{DC89E716-D903-4761-8680-CD8DF993561C}" name="ZoD vzorec" dataDxfId="37">
      <calculatedColumnFormula>IF(OR(NOT(ISERROR(FIND("O DIEL",UPPER($A5)))),NOT(ISERROR(FIND("O IMPLEM",UPPER($A5)))))=TRUE,"Áno",IF(OR(NOT(ISERROR(FIND("PODPOR",UPPER($A5)))),NOT(ISERROR(FIND("SLA",UPPER($A5)))),NOT(ISERROR(FIND("SERVIS",UPPER($A5)))))=TRUE,"Nie","Nejasné"))</calculatedColumnFormula>
    </tableColumn>
    <tableColumn id="4" xr3:uid="{7AB6903F-546B-4344-AB5D-3DE091B526A0}" name="SLA vzorec" dataDxfId="36">
      <calculatedColumnFormula>IF(OR(NOT(ISERROR(FIND("PODPOR",UPPER($A5)))),NOT(ISERROR(FIND("SLA",UPPER($A5)))),NOT(ISERROR(FIND("SERVIS",UPPER($A5)))))=TRUE,"Áno",IF(OR(NOT(ISERROR(FIND("O DIEL",UPPER($A5)))),NOT(ISERROR(FIND("O IMPLEM",UPPER($A5)))))=TRUE,"Nie","Nejasné"))</calculatedColumnFormula>
    </tableColumn>
    <tableColumn id="5" xr3:uid="{BAEA63B9-F028-4B92-92E3-73CFD1311C25}" name="ZoD" dataDxfId="35"/>
    <tableColumn id="6" xr3:uid="{DD8919CF-57CF-409F-B819-48AA1B4C3609}" name="SLA" dataDxfId="34"/>
    <tableColumn id="7" xr3:uid="{0755D6AB-0497-46C4-900D-AAEB691FAB9A}" name="Veľkosť zmluvy" dataDxfId="33">
      <calculatedColumnFormula>IF($O5&gt;=8000000,"Veľké zmluvy",IF($O5&gt;=1000000,"Stredné zmluvy","Malé zmluvy"))</calculatedColumnFormula>
    </tableColumn>
    <tableColumn id="8" xr3:uid="{70260D50-7B54-43B4-ADDF-DCA504CE175F}" name="Objednavatel_ICO" dataDxfId="32"/>
    <tableColumn id="9" xr3:uid="{9F15E474-E1E3-47CA-9BD0-86B0B823DFE2}" name="Objednavatel" dataDxfId="31"/>
    <tableColumn id="10" xr3:uid="{FFE43630-A1C3-4FED-9F28-6972178DCF04}" name="Objednavatel_adresa" dataDxfId="30"/>
    <tableColumn id="11" xr3:uid="{A985FA0A-ABE1-4E21-B57A-581AABACC6E8}" name="Dodavatel_ICO" dataDxfId="29"/>
    <tableColumn id="12" xr3:uid="{E87C7CAD-20B5-43A9-9E1D-4253425BB648}" name="Dodavatel" dataDxfId="28"/>
    <tableColumn id="13" xr3:uid="{5CAA529A-5854-4E59-BCEB-E9C1DA5D046F}" name="Dodavatel_adresa" dataDxfId="27"/>
    <tableColumn id="14" xr3:uid="{09C47E31-C2BC-4EBF-A258-1AB3A764CA28}" name="Datum_zverejnenia" dataDxfId="26"/>
    <tableColumn id="15" xr3:uid="{7DE1495B-CEE7-443F-AE29-F4249119F208}" name="Cena_podpisana" dataDxfId="25"/>
    <tableColumn id="16" xr3:uid="{53A6BEC5-FC1D-45FE-8E6A-4A312EBEA402}" name="Rezort" dataDxfId="24"/>
    <tableColumn id="17" xr3:uid="{FE5D34B3-81EC-425A-BEF8-2250849C767B}" name="Link file" dataDxfId="23"/>
    <tableColumn id="18" xr3:uid="{112122C6-CFD9-478E-9939-C2EADD3B75D2}" name="Link crz" dataDxfId="22"/>
    <tableColumn id="19" xr3:uid="{20740E1C-551E-4552-8F40-9DDE4716E783}" name="Pozícia" dataDxfId="21"/>
    <tableColumn id="20" xr3:uid="{7F72F528-F4E0-49CF-B0D8-4628C3AA2829}" name="Pozícia_add" dataDxfId="20"/>
    <tableColumn id="21" xr3:uid="{77B9F591-226D-4BE6-9333-7F578BC87474}" name="Pozicia_specialista_podskupina" dataDxfId="19"/>
    <tableColumn id="22" xr3:uid="{657C772F-71B5-4074-B1CC-0937729470D0}" name="Pozicia_technik_podskupina" dataDxfId="18"/>
    <tableColumn id="23" xr3:uid="{5D9899FE-72D3-418B-B1AF-D0E7A6F69553}" name="Cena bez DPH" dataDxfId="17"/>
    <tableColumn id="24" xr3:uid="{2E5385AE-D7C4-44A9-BC2E-9855698F8697}" name="Cena s DPH" dataDxfId="16"/>
    <tableColumn id="25" xr3:uid="{84F33C08-93DB-43C4-A5F7-5AE5848EAD70}" name="Interná sadzba bez DPH" dataDxfId="15">
      <calculatedColumnFormula>INDEX(InternalRates,MATCH($S5,InternalRates01,FALSE),2)</calculatedColumnFormula>
    </tableColumn>
    <tableColumn id="26" xr3:uid="{65FC1AA7-B1FE-4FB4-9250-781EC6C1ED3B}" name="Cena je nižšia ako interná sadzba" dataDxfId="14">
      <calculatedColumnFormula>IF(W5&gt;0,IF(Y5&gt;W5,"Áno","Nie"),"Nie")</calculatedColumnFormula>
    </tableColumn>
    <tableColumn id="27" xr3:uid="{BDA969CA-CF7E-49AF-8B1A-E66409133AEE}" name="Typ zmluvy" dataDxfId="13">
      <calculatedColumnFormula>IF(E5="Nie","SLA",IF(F5="Nie","ZoD","SLA+ZoD"))</calculatedColumnFormula>
    </tableColumn>
    <tableColumn id="28" xr3:uid="{03130088-2551-462D-88EF-8D1FA8D9B627}" name="Množstvo práce" dataDxfId="12"/>
    <tableColumn id="29" xr3:uid="{2DDC8AE2-890C-4F79-9334-30EAB0874C9A}" name="Množstvo práce ročné" dataDxfId="11"/>
    <tableColumn id="30" xr3:uid="{FABD794E-F95D-4132-8336-901569B20BBC}" name="Dodatky" dataDxfId="10"/>
    <tableColumn id="31" xr3:uid="{AFAAAB53-865E-41DF-B694-64BE064D5E7A}" name="Dátum vloženia údajov" dataDxfId="9"/>
    <tableColumn id="32" xr3:uid="{A43269BA-47B4-40E0-8419-5FF2B309C435}" name="Seniorita" dataDxfId="8"/>
    <tableColumn id="33" xr3:uid="{57C7EB89-A245-457B-B32C-C093A6F52A80}" name="Subdodávky" dataDxfId="7"/>
    <tableColumn id="34" xr3:uid="{2F75DD04-D264-4435-A74F-E78B1855C3A4}" name="Rok" dataDxfId="6">
      <calculatedColumnFormula>YEAR(SrcDB[[#This Row],[Datum_zverejnenia]])</calculatedColumnFormula>
    </tableColumn>
    <tableColumn id="35" xr3:uid="{2929E156-36DE-4D55-9A00-8E2F07BFD8AC}" name="Pocet zmluv objednavatela" dataDxfId="5">
      <calculatedColumnFormula array="1">COUNT(_xlfn.UNIQUE(_xlfn._xlws.FILTER(SrcDB[ID],SrcDB[Objednavatel_ICO]=$H5)))</calculatedColumnFormula>
    </tableColumn>
    <tableColumn id="36" xr3:uid="{ED781DC8-B656-4162-8C88-14E4249F7227}" name="Pocet zmluv dodavatela" dataDxfId="4">
      <calculatedColumnFormula array="1">COUNT(_xlfn.UNIQUE(_xlfn._xlws.FILTER(SrcDB[ID],SrcDB[Dodavatel_ICO]=$K5)))</calculatedColumnFormula>
    </tableColumn>
    <tableColumn id="39" xr3:uid="{C25D115A-58C0-42AA-B850-FC301A68F412}" name="Zapocet zmluv objednavatela" dataDxfId="3"/>
    <tableColumn id="40" xr3:uid="{ACE0CB06-BE53-418D-A26C-501DAAF75E16}" name="Zapocet zmluv dodavatela" dataDxfId="2"/>
    <tableColumn id="37" xr3:uid="{49471726-F488-4BDF-B8EC-34A1AB1EA4AF}" name="Objednavatel_filter" dataDxfId="1">
      <calculatedColumnFormula>IF(SrcDB[[#This Row],[Pocet zmluv objednavatela]]&gt;3,SrcDB[[#This Row],[Objednavatel]],"Ostatné")</calculatedColumnFormula>
    </tableColumn>
    <tableColumn id="38" xr3:uid="{ABCE718B-771C-4E28-9F55-1CEE24D8C742}" name="Dodavatel_filter" dataDxfId="0">
      <calculatedColumnFormula>IF(SrcDB[[#This Row],[Pocet zmluv dodavatela]]&gt;3,SrcDB[[#This Row],[Dodavatel]],"Ostatné")</calculatedColumnFormula>
    </tableColumn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06D719-DEF8-420B-88F2-4EE11DE95102}">
  <sheetPr codeName="Sheet1"/>
  <dimension ref="A1:AN1453"/>
  <sheetViews>
    <sheetView tabSelected="1" workbookViewId="0">
      <pane xSplit="2" ySplit="4" topLeftCell="T5" activePane="bottomRight" state="frozen"/>
      <selection pane="topRight" activeCell="C1" sqref="C1"/>
      <selection pane="bottomLeft" activeCell="A5" sqref="A5"/>
      <selection pane="bottomRight" activeCell="V13" sqref="V13"/>
    </sheetView>
  </sheetViews>
  <sheetFormatPr defaultRowHeight="16.5" x14ac:dyDescent="0.3"/>
  <cols>
    <col min="1" max="1" width="39" style="2" customWidth="1"/>
    <col min="2" max="2" width="13.7109375" style="2" customWidth="1"/>
    <col min="3" max="3" width="10.28515625" style="3" customWidth="1"/>
    <col min="4" max="4" width="9" style="3" customWidth="1"/>
    <col min="5" max="6" width="6.7109375" style="3" customWidth="1"/>
    <col min="7" max="7" width="14.140625" style="2" bestFit="1" customWidth="1"/>
    <col min="8" max="8" width="13.5703125" style="5" customWidth="1"/>
    <col min="9" max="9" width="35.42578125" style="2" customWidth="1"/>
    <col min="10" max="10" width="13.28515625" style="2" customWidth="1"/>
    <col min="11" max="11" width="14.140625" style="5" customWidth="1"/>
    <col min="12" max="12" width="40.7109375" style="2" customWidth="1"/>
    <col min="13" max="13" width="10" style="2" customWidth="1"/>
    <col min="14" max="14" width="13" style="3" customWidth="1"/>
    <col min="15" max="15" width="12.85546875" style="4" customWidth="1"/>
    <col min="16" max="16" width="8.7109375" style="2" customWidth="1"/>
    <col min="17" max="17" width="8.140625" style="2" customWidth="1"/>
    <col min="18" max="18" width="29.28515625" style="2" customWidth="1"/>
    <col min="19" max="19" width="13.140625" style="2" customWidth="1"/>
    <col min="20" max="20" width="86.42578125" style="2" customWidth="1"/>
    <col min="21" max="21" width="29.140625" style="2" customWidth="1"/>
    <col min="22" max="22" width="26.28515625" style="2" customWidth="1"/>
    <col min="23" max="23" width="7.140625" style="4" customWidth="1"/>
    <col min="24" max="24" width="6.42578125" style="4" customWidth="1"/>
    <col min="25" max="25" width="9.140625" style="4" customWidth="1"/>
    <col min="26" max="26" width="10.28515625" style="3" customWidth="1"/>
    <col min="27" max="27" width="9" style="2" customWidth="1"/>
    <col min="28" max="28" width="10" style="4" customWidth="1"/>
    <col min="29" max="29" width="11.5703125" style="4" customWidth="1"/>
    <col min="30" max="30" width="6.7109375" style="3" customWidth="1"/>
    <col min="31" max="31" width="22.85546875" style="6" customWidth="1"/>
    <col min="32" max="32" width="11" style="3" customWidth="1"/>
    <col min="33" max="33" width="14" style="3" customWidth="1"/>
    <col min="34" max="34" width="9.140625" style="3"/>
    <col min="35" max="35" width="13.42578125" style="2" customWidth="1"/>
    <col min="36" max="38" width="13.28515625" style="2" customWidth="1"/>
    <col min="39" max="39" width="49.28515625" style="7" customWidth="1"/>
    <col min="40" max="40" width="45.28515625" style="2" customWidth="1"/>
    <col min="41" max="16384" width="9.140625" style="2"/>
  </cols>
  <sheetData>
    <row r="1" spans="1:40" x14ac:dyDescent="0.3">
      <c r="A1" s="1" t="s">
        <v>0</v>
      </c>
      <c r="B1" s="2">
        <f>COUNT(_xlfn.UNIQUE(SrcDB[ID]))</f>
        <v>290</v>
      </c>
      <c r="C1" s="3" t="s">
        <v>1</v>
      </c>
      <c r="G1" s="4" t="s">
        <v>2</v>
      </c>
      <c r="H1" s="3" cm="1">
        <f t="array" ref="H1">COUNT(_xlfn.UNIQUE(_xlfn._xlws.FILTER(SrcDB[ID],SrcDB[Rok]=2024)))</f>
        <v>64</v>
      </c>
      <c r="AH1" s="3" t="e">
        <f>SUM(SrcDB[Zapocet zmluv objednavatela])</f>
        <v>#REF!</v>
      </c>
      <c r="AI1" s="2" t="e">
        <f>SUM(SrcDB[Zapocet zmluv dodavatela])</f>
        <v>#REF!</v>
      </c>
      <c r="AJ1" s="2" t="s">
        <v>3</v>
      </c>
    </row>
    <row r="2" spans="1:40" x14ac:dyDescent="0.3">
      <c r="A2" s="1" t="s">
        <v>4</v>
      </c>
      <c r="B2" s="8" cm="1">
        <f t="array" ref="B2">SUM(INDEX(SrcDB[Cena_podpisana],MATCH(_xlfn.UNIQUE(SrcDB[ID]),SrcDB[ID],FALSE),1))</f>
        <v>1060347178.6099999</v>
      </c>
      <c r="C2" s="3" t="s">
        <v>5</v>
      </c>
      <c r="Y2" s="9" t="s">
        <v>6</v>
      </c>
      <c r="Z2" s="6"/>
      <c r="AA2" s="10"/>
    </row>
    <row r="3" spans="1:40" ht="9.75" customHeight="1" x14ac:dyDescent="0.3">
      <c r="A3" s="1"/>
      <c r="B3" s="8"/>
    </row>
    <row r="4" spans="1:40" ht="66" x14ac:dyDescent="0.3">
      <c r="A4" s="11" t="s">
        <v>7</v>
      </c>
      <c r="B4" s="11" t="s">
        <v>8</v>
      </c>
      <c r="C4" s="12" t="s">
        <v>9</v>
      </c>
      <c r="D4" s="12" t="s">
        <v>10</v>
      </c>
      <c r="E4" s="12" t="s">
        <v>11</v>
      </c>
      <c r="F4" s="12" t="s">
        <v>12</v>
      </c>
      <c r="G4" s="11" t="s">
        <v>13</v>
      </c>
      <c r="H4" s="13" t="s">
        <v>14</v>
      </c>
      <c r="I4" s="11" t="s">
        <v>15</v>
      </c>
      <c r="J4" s="11" t="s">
        <v>16</v>
      </c>
      <c r="K4" s="13" t="s">
        <v>17</v>
      </c>
      <c r="L4" s="11" t="s">
        <v>18</v>
      </c>
      <c r="M4" s="11" t="s">
        <v>19</v>
      </c>
      <c r="N4" s="12" t="s">
        <v>20</v>
      </c>
      <c r="O4" s="14" t="s">
        <v>21</v>
      </c>
      <c r="P4" s="11" t="s">
        <v>22</v>
      </c>
      <c r="Q4" s="11" t="s">
        <v>23</v>
      </c>
      <c r="R4" s="11" t="s">
        <v>24</v>
      </c>
      <c r="S4" s="11" t="s">
        <v>25</v>
      </c>
      <c r="T4" s="11" t="s">
        <v>26</v>
      </c>
      <c r="U4" s="11" t="s">
        <v>27</v>
      </c>
      <c r="V4" s="11" t="s">
        <v>28</v>
      </c>
      <c r="W4" s="14" t="s">
        <v>29</v>
      </c>
      <c r="X4" s="14" t="s">
        <v>30</v>
      </c>
      <c r="Y4" s="14" t="s">
        <v>31</v>
      </c>
      <c r="Z4" s="12" t="s">
        <v>32</v>
      </c>
      <c r="AA4" s="11" t="s">
        <v>33</v>
      </c>
      <c r="AB4" s="14" t="s">
        <v>34</v>
      </c>
      <c r="AC4" s="14" t="s">
        <v>35</v>
      </c>
      <c r="AD4" s="12" t="s">
        <v>36</v>
      </c>
      <c r="AE4" s="15" t="s">
        <v>37</v>
      </c>
      <c r="AF4" s="12" t="s">
        <v>38</v>
      </c>
      <c r="AG4" s="12" t="s">
        <v>39</v>
      </c>
      <c r="AH4" s="12" t="s">
        <v>40</v>
      </c>
      <c r="AI4" s="11" t="s">
        <v>41</v>
      </c>
      <c r="AJ4" s="11" t="s">
        <v>42</v>
      </c>
      <c r="AK4" s="11" t="s">
        <v>43</v>
      </c>
      <c r="AL4" s="11" t="s">
        <v>44</v>
      </c>
      <c r="AM4" s="16" t="s">
        <v>45</v>
      </c>
      <c r="AN4" s="11" t="s">
        <v>46</v>
      </c>
    </row>
    <row r="5" spans="1:40" x14ac:dyDescent="0.3">
      <c r="A5" s="2" t="s">
        <v>47</v>
      </c>
      <c r="B5" s="2">
        <v>4383750</v>
      </c>
      <c r="C5" s="3" t="str">
        <f t="shared" ref="C5:C65" si="0">IF(OR(NOT(ISERROR(FIND("O DIEL",UPPER($A5)))),NOT(ISERROR(FIND("O IMPLEM",UPPER($A5)))))=TRUE,"Áno",IF(OR(NOT(ISERROR(FIND("PODPOR",UPPER($A5)))),NOT(ISERROR(FIND("SLA",UPPER($A5)))),NOT(ISERROR(FIND("SERVIS",UPPER($A5)))))=TRUE,"Nie","Nejasné"))</f>
        <v>Nejasné</v>
      </c>
      <c r="D5" s="3" t="str">
        <f t="shared" ref="D5:D65" si="1">IF(OR(NOT(ISERROR(FIND("PODPOR",UPPER($A5)))),NOT(ISERROR(FIND("SLA",UPPER($A5)))),NOT(ISERROR(FIND("SERVIS",UPPER($A5)))))=TRUE,"Áno",IF(OR(NOT(ISERROR(FIND("O DIEL",UPPER($A5)))),NOT(ISERROR(FIND("O IMPLEM",UPPER($A5)))))=TRUE,"Nie","Nejasné"))</f>
        <v>Nejasné</v>
      </c>
      <c r="E5" s="3" t="s">
        <v>48</v>
      </c>
      <c r="F5" s="3" t="s">
        <v>49</v>
      </c>
      <c r="G5" s="2" t="str">
        <f t="shared" ref="G5:G65" si="2">IF($O5&gt;=8000000,"Veľké zmluvy",IF($O5&gt;=1000000,"Stredné zmluvy","Malé zmluvy"))</f>
        <v>Stredné zmluvy</v>
      </c>
      <c r="H5" s="5">
        <v>30807484</v>
      </c>
      <c r="I5" s="2" t="s">
        <v>50</v>
      </c>
      <c r="J5" s="2" t="s">
        <v>51</v>
      </c>
      <c r="K5" s="5">
        <v>36396222</v>
      </c>
      <c r="L5" s="2" t="s">
        <v>52</v>
      </c>
      <c r="M5" s="2" t="s">
        <v>53</v>
      </c>
      <c r="N5" s="6">
        <v>43833.258796296293</v>
      </c>
      <c r="O5" s="4">
        <v>2226196.7999999998</v>
      </c>
      <c r="P5" s="2">
        <v>114493</v>
      </c>
      <c r="Q5" s="2" t="s">
        <v>54</v>
      </c>
      <c r="R5" s="2" t="s">
        <v>55</v>
      </c>
      <c r="S5" s="2" t="s">
        <v>56</v>
      </c>
      <c r="T5" s="2" t="s">
        <v>57</v>
      </c>
      <c r="U5" s="2" t="s">
        <v>58</v>
      </c>
      <c r="W5" s="4">
        <v>520</v>
      </c>
      <c r="X5" s="4">
        <v>624</v>
      </c>
      <c r="Y5" s="4">
        <f t="shared" ref="Y5" si="3">INDEX(InternalRates,MATCH($S5,InternalRates01,FALSE),2)</f>
        <v>278.98333333333335</v>
      </c>
      <c r="Z5" s="3" t="str">
        <f>IF(W5&gt;0,IF(Y5&gt;W5,"Áno","Nie"),"Nie")</f>
        <v>Nie</v>
      </c>
      <c r="AA5" s="3" t="str">
        <f>IF(E5="Nie","SLA",IF(F5="Nie","ZoD","SLA+ZoD"))</f>
        <v>SLA</v>
      </c>
      <c r="AB5" s="4">
        <v>300</v>
      </c>
      <c r="AD5" s="3" t="s">
        <v>48</v>
      </c>
      <c r="AE5" s="6">
        <v>44418</v>
      </c>
      <c r="AF5" s="3" t="s">
        <v>59</v>
      </c>
      <c r="AG5" s="3" t="s">
        <v>60</v>
      </c>
      <c r="AH5" s="3">
        <f>YEAR(SrcDB[[#This Row],[Datum_zverejnenia]])</f>
        <v>2020</v>
      </c>
      <c r="AI5" s="3" cm="1">
        <f t="array" ref="AI5">COUNT(_xlfn.UNIQUE(_xlfn._xlws.FILTER(SrcDB[ID],SrcDB[Objednavatel_ICO]=$H5)))</f>
        <v>14</v>
      </c>
      <c r="AJ5" s="3" cm="1">
        <f t="array" ref="AJ5">COUNT(_xlfn.UNIQUE(_xlfn._xlws.FILTER(SrcDB[ID],SrcDB[Dodavatel_ICO]=$K5)))</f>
        <v>11</v>
      </c>
      <c r="AK5" s="3">
        <v>1</v>
      </c>
      <c r="AL5" s="3">
        <v>1</v>
      </c>
      <c r="AM5" s="17" t="str">
        <f>IF(SrcDB[[#This Row],[Pocet zmluv objednavatela]]&gt;3,SrcDB[[#This Row],[Objednavatel]],"Ostatné")</f>
        <v>Sociálna poisťovňa, ústredie</v>
      </c>
      <c r="AN5" s="17" t="str">
        <f>IF(SrcDB[[#This Row],[Pocet zmluv dodavatela]]&gt;3,SrcDB[[#This Row],[Dodavatel]],"Ostatné")</f>
        <v>AUTOCONT s.r.o. / ARICOMA Systems s.r.o.</v>
      </c>
    </row>
    <row r="6" spans="1:40" x14ac:dyDescent="0.3">
      <c r="A6" s="2" t="s">
        <v>61</v>
      </c>
      <c r="B6" s="2">
        <v>4392235</v>
      </c>
      <c r="C6" s="3" t="str">
        <f t="shared" si="0"/>
        <v>Nie</v>
      </c>
      <c r="D6" s="3" t="str">
        <f t="shared" si="1"/>
        <v>Áno</v>
      </c>
      <c r="E6" s="3" t="s">
        <v>48</v>
      </c>
      <c r="F6" s="3" t="s">
        <v>49</v>
      </c>
      <c r="G6" s="2" t="str">
        <f t="shared" si="2"/>
        <v>Stredné zmluvy</v>
      </c>
      <c r="H6" s="5" t="s">
        <v>62</v>
      </c>
      <c r="I6" s="2" t="s">
        <v>63</v>
      </c>
      <c r="J6" s="2" t="s">
        <v>64</v>
      </c>
      <c r="K6" s="5">
        <v>31361552</v>
      </c>
      <c r="L6" s="2" t="s">
        <v>65</v>
      </c>
      <c r="M6" s="2" t="s">
        <v>66</v>
      </c>
      <c r="N6" s="6">
        <v>43843.617465277777</v>
      </c>
      <c r="O6" s="4">
        <v>4608000</v>
      </c>
      <c r="P6" s="2">
        <v>114565</v>
      </c>
      <c r="Q6" s="2" t="s">
        <v>67</v>
      </c>
      <c r="R6" s="2" t="s">
        <v>68</v>
      </c>
      <c r="S6" s="2" t="s">
        <v>69</v>
      </c>
      <c r="T6" s="2" t="s">
        <v>70</v>
      </c>
      <c r="W6" s="4">
        <v>600</v>
      </c>
      <c r="X6" s="4">
        <v>720</v>
      </c>
      <c r="Y6" s="4">
        <f t="shared" ref="Y6" si="4">INDEX(InternalRates,MATCH($S6,InternalRates01,FALSE),2)</f>
        <v>278.98333333333335</v>
      </c>
      <c r="Z6" s="3" t="str">
        <f t="shared" ref="Z6:Z66" si="5">IF(W6&gt;0,IF(Y6&gt;W6,"Áno","Nie"),"Nie")</f>
        <v>Nie</v>
      </c>
      <c r="AA6" s="3" t="str">
        <f t="shared" ref="AA6:AA66" si="6">IF(E6="Nie","SLA",IF(F6="Nie","ZoD","SLA+ZoD"))</f>
        <v>SLA</v>
      </c>
      <c r="AD6" s="3" t="s">
        <v>48</v>
      </c>
      <c r="AE6" s="6">
        <v>44418</v>
      </c>
      <c r="AF6" s="3" t="s">
        <v>59</v>
      </c>
      <c r="AG6" s="3" t="s">
        <v>48</v>
      </c>
      <c r="AH6" s="3">
        <f>YEAR(SrcDB[[#This Row],[Datum_zverejnenia]])</f>
        <v>2020</v>
      </c>
      <c r="AI6" s="3" cm="1">
        <f t="array" ref="AI6">COUNT(_xlfn.UNIQUE(_xlfn._xlws.FILTER(SrcDB[ID],SrcDB[Objednavatel_ICO]=$H6)))</f>
        <v>6</v>
      </c>
      <c r="AJ6" s="3" cm="1">
        <f t="array" ref="AJ6">COUNT(_xlfn.UNIQUE(_xlfn._xlws.FILTER(SrcDB[ID],SrcDB[Dodavatel_ICO]=$K6)))</f>
        <v>4</v>
      </c>
      <c r="AK6" s="3">
        <f>IF($H5&lt;&gt;$H6,1,IF($B5&lt;&gt;$B6,1,0))</f>
        <v>1</v>
      </c>
      <c r="AL6" s="3">
        <f>IF($K5&lt;&gt;$K6,1,IF($B5&lt;&gt;$B6,1,0))</f>
        <v>1</v>
      </c>
      <c r="AM6" s="17" t="str">
        <f>IF(SrcDB[[#This Row],[Pocet zmluv objednavatela]]&gt;3,SrcDB[[#This Row],[Objednavatel]],"Ostatné")</f>
        <v>Ministerstvo spravodlivosti SR</v>
      </c>
      <c r="AN6" s="17" t="str">
        <f>IF(SrcDB[[#This Row],[Pocet zmluv dodavatela]]&gt;3,SrcDB[[#This Row],[Dodavatel]],"Ostatné")</f>
        <v>ANASOFT APR, spol. s r.o.</v>
      </c>
    </row>
    <row r="7" spans="1:40" x14ac:dyDescent="0.3">
      <c r="A7" s="2" t="s">
        <v>61</v>
      </c>
      <c r="B7" s="2">
        <v>4392235</v>
      </c>
      <c r="C7" s="3" t="str">
        <f t="shared" si="0"/>
        <v>Nie</v>
      </c>
      <c r="D7" s="3" t="str">
        <f t="shared" si="1"/>
        <v>Áno</v>
      </c>
      <c r="E7" s="3" t="s">
        <v>48</v>
      </c>
      <c r="F7" s="3" t="s">
        <v>49</v>
      </c>
      <c r="G7" s="2" t="str">
        <f t="shared" si="2"/>
        <v>Stredné zmluvy</v>
      </c>
      <c r="H7" s="5" t="s">
        <v>62</v>
      </c>
      <c r="I7" s="2" t="s">
        <v>63</v>
      </c>
      <c r="J7" s="2" t="s">
        <v>64</v>
      </c>
      <c r="K7" s="5">
        <v>31361552</v>
      </c>
      <c r="L7" s="2" t="s">
        <v>65</v>
      </c>
      <c r="M7" s="2" t="s">
        <v>66</v>
      </c>
      <c r="N7" s="6">
        <v>43843.617465277777</v>
      </c>
      <c r="O7" s="4">
        <v>4608000</v>
      </c>
      <c r="P7" s="2">
        <v>114565</v>
      </c>
      <c r="Q7" s="2" t="s">
        <v>67</v>
      </c>
      <c r="R7" s="2" t="s">
        <v>68</v>
      </c>
      <c r="S7" s="2" t="s">
        <v>71</v>
      </c>
      <c r="T7" s="2" t="s">
        <v>72</v>
      </c>
      <c r="W7" s="4">
        <v>600</v>
      </c>
      <c r="X7" s="4">
        <v>720</v>
      </c>
      <c r="Y7" s="4">
        <f t="shared" ref="Y7" si="7">INDEX(InternalRates,MATCH($S7,InternalRates01,FALSE),2)</f>
        <v>354.0333333333333</v>
      </c>
      <c r="Z7" s="3" t="str">
        <f t="shared" si="5"/>
        <v>Nie</v>
      </c>
      <c r="AA7" s="3" t="str">
        <f t="shared" si="6"/>
        <v>SLA</v>
      </c>
      <c r="AD7" s="3" t="s">
        <v>48</v>
      </c>
      <c r="AE7" s="6">
        <v>44418</v>
      </c>
      <c r="AF7" s="3" t="s">
        <v>59</v>
      </c>
      <c r="AG7" s="3" t="s">
        <v>48</v>
      </c>
      <c r="AH7" s="3">
        <f>YEAR(SrcDB[[#This Row],[Datum_zverejnenia]])</f>
        <v>2020</v>
      </c>
      <c r="AI7" s="3" cm="1">
        <f t="array" ref="AI7">COUNT(_xlfn.UNIQUE(_xlfn._xlws.FILTER(SrcDB[ID],SrcDB[Objednavatel_ICO]=$H7)))</f>
        <v>6</v>
      </c>
      <c r="AJ7" s="3" cm="1">
        <f t="array" ref="AJ7">COUNT(_xlfn.UNIQUE(_xlfn._xlws.FILTER(SrcDB[ID],SrcDB[Dodavatel_ICO]=$K7)))</f>
        <v>4</v>
      </c>
      <c r="AK7" s="3">
        <f t="shared" ref="AK7:AK67" si="8">IF($H6&lt;&gt;$H7,1,IF($B6&lt;&gt;$B7,1,0))</f>
        <v>0</v>
      </c>
      <c r="AL7" s="3">
        <f t="shared" ref="AL7:AL67" si="9">IF($K6&lt;&gt;$K7,1,IF($B6&lt;&gt;$B7,1,0))</f>
        <v>0</v>
      </c>
      <c r="AM7" s="17" t="str">
        <f>IF(SrcDB[[#This Row],[Pocet zmluv objednavatela]]&gt;3,SrcDB[[#This Row],[Objednavatel]],"Ostatné")</f>
        <v>Ministerstvo spravodlivosti SR</v>
      </c>
      <c r="AN7" s="17" t="str">
        <f>IF(SrcDB[[#This Row],[Pocet zmluv dodavatela]]&gt;3,SrcDB[[#This Row],[Dodavatel]],"Ostatné")</f>
        <v>ANASOFT APR, spol. s r.o.</v>
      </c>
    </row>
    <row r="8" spans="1:40" x14ac:dyDescent="0.3">
      <c r="A8" s="2" t="s">
        <v>61</v>
      </c>
      <c r="B8" s="2">
        <v>4392235</v>
      </c>
      <c r="C8" s="3" t="str">
        <f t="shared" si="0"/>
        <v>Nie</v>
      </c>
      <c r="D8" s="3" t="str">
        <f t="shared" si="1"/>
        <v>Áno</v>
      </c>
      <c r="E8" s="3" t="s">
        <v>48</v>
      </c>
      <c r="F8" s="3" t="s">
        <v>49</v>
      </c>
      <c r="G8" s="2" t="str">
        <f t="shared" si="2"/>
        <v>Stredné zmluvy</v>
      </c>
      <c r="H8" s="5" t="s">
        <v>62</v>
      </c>
      <c r="I8" s="2" t="s">
        <v>63</v>
      </c>
      <c r="J8" s="2" t="s">
        <v>64</v>
      </c>
      <c r="K8" s="5">
        <v>31361552</v>
      </c>
      <c r="L8" s="2" t="s">
        <v>65</v>
      </c>
      <c r="M8" s="2" t="s">
        <v>66</v>
      </c>
      <c r="N8" s="6">
        <v>43843</v>
      </c>
      <c r="O8" s="4">
        <v>4608000</v>
      </c>
      <c r="P8" s="2">
        <v>114565</v>
      </c>
      <c r="Q8" s="2" t="s">
        <v>67</v>
      </c>
      <c r="R8" s="2" t="s">
        <v>68</v>
      </c>
      <c r="S8" s="2" t="s">
        <v>73</v>
      </c>
      <c r="T8" s="2" t="s">
        <v>74</v>
      </c>
      <c r="W8" s="4">
        <v>600</v>
      </c>
      <c r="X8" s="4">
        <v>720</v>
      </c>
      <c r="Y8" s="4">
        <f t="shared" ref="Y8" si="10">INDEX(InternalRates,MATCH($S8,InternalRates01,FALSE),2)</f>
        <v>278.98333333333335</v>
      </c>
      <c r="Z8" s="3" t="str">
        <f t="shared" si="5"/>
        <v>Nie</v>
      </c>
      <c r="AA8" s="3" t="str">
        <f t="shared" si="6"/>
        <v>SLA</v>
      </c>
      <c r="AD8" s="3" t="s">
        <v>48</v>
      </c>
      <c r="AE8" s="6">
        <v>44418</v>
      </c>
      <c r="AF8" s="3" t="s">
        <v>59</v>
      </c>
      <c r="AG8" s="3" t="s">
        <v>48</v>
      </c>
      <c r="AH8" s="3">
        <f>YEAR(SrcDB[[#This Row],[Datum_zverejnenia]])</f>
        <v>2020</v>
      </c>
      <c r="AI8" s="3" cm="1">
        <f t="array" ref="AI8">COUNT(_xlfn.UNIQUE(_xlfn._xlws.FILTER(SrcDB[ID],SrcDB[Objednavatel_ICO]=$H8)))</f>
        <v>6</v>
      </c>
      <c r="AJ8" s="3" cm="1">
        <f t="array" ref="AJ8">COUNT(_xlfn.UNIQUE(_xlfn._xlws.FILTER(SrcDB[ID],SrcDB[Dodavatel_ICO]=$K8)))</f>
        <v>4</v>
      </c>
      <c r="AK8" s="3">
        <f t="shared" si="8"/>
        <v>0</v>
      </c>
      <c r="AL8" s="3">
        <f t="shared" si="9"/>
        <v>0</v>
      </c>
      <c r="AM8" s="17" t="str">
        <f>IF(SrcDB[[#This Row],[Pocet zmluv objednavatela]]&gt;3,SrcDB[[#This Row],[Objednavatel]],"Ostatné")</f>
        <v>Ministerstvo spravodlivosti SR</v>
      </c>
      <c r="AN8" s="17" t="str">
        <f>IF(SrcDB[[#This Row],[Pocet zmluv dodavatela]]&gt;3,SrcDB[[#This Row],[Dodavatel]],"Ostatné")</f>
        <v>ANASOFT APR, spol. s r.o.</v>
      </c>
    </row>
    <row r="9" spans="1:40" x14ac:dyDescent="0.3">
      <c r="A9" s="2" t="s">
        <v>61</v>
      </c>
      <c r="B9" s="2">
        <v>4392235</v>
      </c>
      <c r="C9" s="3" t="str">
        <f t="shared" si="0"/>
        <v>Nie</v>
      </c>
      <c r="D9" s="3" t="str">
        <f t="shared" si="1"/>
        <v>Áno</v>
      </c>
      <c r="E9" s="3" t="s">
        <v>48</v>
      </c>
      <c r="F9" s="3" t="s">
        <v>49</v>
      </c>
      <c r="G9" s="2" t="str">
        <f t="shared" si="2"/>
        <v>Stredné zmluvy</v>
      </c>
      <c r="H9" s="5" t="s">
        <v>62</v>
      </c>
      <c r="I9" s="2" t="s">
        <v>63</v>
      </c>
      <c r="J9" s="2" t="s">
        <v>64</v>
      </c>
      <c r="K9" s="5">
        <v>31361552</v>
      </c>
      <c r="L9" s="2" t="s">
        <v>65</v>
      </c>
      <c r="M9" s="2" t="s">
        <v>66</v>
      </c>
      <c r="N9" s="6">
        <v>43843</v>
      </c>
      <c r="O9" s="4">
        <v>4608000</v>
      </c>
      <c r="P9" s="2">
        <v>114565</v>
      </c>
      <c r="Q9" s="2" t="s">
        <v>67</v>
      </c>
      <c r="R9" s="2" t="s">
        <v>68</v>
      </c>
      <c r="S9" s="2" t="s">
        <v>56</v>
      </c>
      <c r="T9" s="2" t="s">
        <v>75</v>
      </c>
      <c r="U9" s="2" t="s">
        <v>76</v>
      </c>
      <c r="W9" s="4">
        <v>600</v>
      </c>
      <c r="X9" s="4">
        <v>720</v>
      </c>
      <c r="Y9" s="4">
        <f t="shared" ref="Y9" si="11">INDEX(InternalRates,MATCH($S9,InternalRates01,FALSE),2)</f>
        <v>278.98333333333335</v>
      </c>
      <c r="Z9" s="3" t="str">
        <f t="shared" si="5"/>
        <v>Nie</v>
      </c>
      <c r="AA9" s="3" t="str">
        <f t="shared" si="6"/>
        <v>SLA</v>
      </c>
      <c r="AD9" s="3" t="s">
        <v>48</v>
      </c>
      <c r="AE9" s="6">
        <v>44418</v>
      </c>
      <c r="AF9" s="3" t="s">
        <v>59</v>
      </c>
      <c r="AG9" s="3" t="s">
        <v>48</v>
      </c>
      <c r="AH9" s="3">
        <f>YEAR(SrcDB[[#This Row],[Datum_zverejnenia]])</f>
        <v>2020</v>
      </c>
      <c r="AI9" s="3" cm="1">
        <f t="array" ref="AI9">COUNT(_xlfn.UNIQUE(_xlfn._xlws.FILTER(SrcDB[ID],SrcDB[Objednavatel_ICO]=$H9)))</f>
        <v>6</v>
      </c>
      <c r="AJ9" s="3" cm="1">
        <f t="array" ref="AJ9">COUNT(_xlfn.UNIQUE(_xlfn._xlws.FILTER(SrcDB[ID],SrcDB[Dodavatel_ICO]=$K9)))</f>
        <v>4</v>
      </c>
      <c r="AK9" s="3">
        <f t="shared" si="8"/>
        <v>0</v>
      </c>
      <c r="AL9" s="3">
        <f t="shared" si="9"/>
        <v>0</v>
      </c>
      <c r="AM9" s="17" t="str">
        <f>IF(SrcDB[[#This Row],[Pocet zmluv objednavatela]]&gt;3,SrcDB[[#This Row],[Objednavatel]],"Ostatné")</f>
        <v>Ministerstvo spravodlivosti SR</v>
      </c>
      <c r="AN9" s="17" t="str">
        <f>IF(SrcDB[[#This Row],[Pocet zmluv dodavatela]]&gt;3,SrcDB[[#This Row],[Dodavatel]],"Ostatné")</f>
        <v>ANASOFT APR, spol. s r.o.</v>
      </c>
    </row>
    <row r="10" spans="1:40" x14ac:dyDescent="0.3">
      <c r="A10" s="2" t="s">
        <v>61</v>
      </c>
      <c r="B10" s="2">
        <v>4392235</v>
      </c>
      <c r="C10" s="3" t="str">
        <f t="shared" si="0"/>
        <v>Nie</v>
      </c>
      <c r="D10" s="3" t="str">
        <f t="shared" si="1"/>
        <v>Áno</v>
      </c>
      <c r="E10" s="3" t="s">
        <v>48</v>
      </c>
      <c r="F10" s="3" t="s">
        <v>49</v>
      </c>
      <c r="G10" s="2" t="str">
        <f t="shared" si="2"/>
        <v>Stredné zmluvy</v>
      </c>
      <c r="H10" s="5" t="s">
        <v>62</v>
      </c>
      <c r="I10" s="2" t="s">
        <v>63</v>
      </c>
      <c r="J10" s="2" t="s">
        <v>64</v>
      </c>
      <c r="K10" s="5">
        <v>31361552</v>
      </c>
      <c r="L10" s="2" t="s">
        <v>65</v>
      </c>
      <c r="M10" s="2" t="s">
        <v>66</v>
      </c>
      <c r="N10" s="6">
        <v>43843</v>
      </c>
      <c r="O10" s="4">
        <v>4608000</v>
      </c>
      <c r="P10" s="2">
        <v>114565</v>
      </c>
      <c r="Q10" s="2" t="s">
        <v>67</v>
      </c>
      <c r="R10" s="2" t="s">
        <v>68</v>
      </c>
      <c r="S10" s="2" t="s">
        <v>77</v>
      </c>
      <c r="T10" s="2" t="s">
        <v>78</v>
      </c>
      <c r="W10" s="4">
        <v>600</v>
      </c>
      <c r="X10" s="4">
        <v>720</v>
      </c>
      <c r="Y10" s="4">
        <f t="shared" ref="Y10" si="12">INDEX(InternalRates,MATCH($S10,InternalRates01,FALSE),2)</f>
        <v>278.98333333333335</v>
      </c>
      <c r="Z10" s="3" t="str">
        <f t="shared" si="5"/>
        <v>Nie</v>
      </c>
      <c r="AA10" s="3" t="str">
        <f t="shared" si="6"/>
        <v>SLA</v>
      </c>
      <c r="AD10" s="3" t="s">
        <v>48</v>
      </c>
      <c r="AE10" s="6">
        <v>44418</v>
      </c>
      <c r="AF10" s="3" t="s">
        <v>59</v>
      </c>
      <c r="AG10" s="3" t="s">
        <v>48</v>
      </c>
      <c r="AH10" s="3">
        <f>YEAR(SrcDB[[#This Row],[Datum_zverejnenia]])</f>
        <v>2020</v>
      </c>
      <c r="AI10" s="3" cm="1">
        <f t="array" ref="AI10">COUNT(_xlfn.UNIQUE(_xlfn._xlws.FILTER(SrcDB[ID],SrcDB[Objednavatel_ICO]=$H10)))</f>
        <v>6</v>
      </c>
      <c r="AJ10" s="3" cm="1">
        <f t="array" ref="AJ10">COUNT(_xlfn.UNIQUE(_xlfn._xlws.FILTER(SrcDB[ID],SrcDB[Dodavatel_ICO]=$K10)))</f>
        <v>4</v>
      </c>
      <c r="AK10" s="3">
        <f t="shared" si="8"/>
        <v>0</v>
      </c>
      <c r="AL10" s="3">
        <f t="shared" si="9"/>
        <v>0</v>
      </c>
      <c r="AM10" s="17" t="str">
        <f>IF(SrcDB[[#This Row],[Pocet zmluv objednavatela]]&gt;3,SrcDB[[#This Row],[Objednavatel]],"Ostatné")</f>
        <v>Ministerstvo spravodlivosti SR</v>
      </c>
      <c r="AN10" s="17" t="str">
        <f>IF(SrcDB[[#This Row],[Pocet zmluv dodavatela]]&gt;3,SrcDB[[#This Row],[Dodavatel]],"Ostatné")</f>
        <v>ANASOFT APR, spol. s r.o.</v>
      </c>
    </row>
    <row r="11" spans="1:40" x14ac:dyDescent="0.3">
      <c r="A11" s="2" t="s">
        <v>61</v>
      </c>
      <c r="B11" s="2">
        <v>4392235</v>
      </c>
      <c r="C11" s="3" t="str">
        <f t="shared" si="0"/>
        <v>Nie</v>
      </c>
      <c r="D11" s="3" t="str">
        <f t="shared" si="1"/>
        <v>Áno</v>
      </c>
      <c r="E11" s="3" t="s">
        <v>48</v>
      </c>
      <c r="F11" s="3" t="s">
        <v>49</v>
      </c>
      <c r="G11" s="2" t="str">
        <f t="shared" si="2"/>
        <v>Stredné zmluvy</v>
      </c>
      <c r="H11" s="5" t="s">
        <v>62</v>
      </c>
      <c r="I11" s="2" t="s">
        <v>63</v>
      </c>
      <c r="J11" s="2" t="s">
        <v>64</v>
      </c>
      <c r="K11" s="5">
        <v>31361552</v>
      </c>
      <c r="L11" s="2" t="s">
        <v>65</v>
      </c>
      <c r="M11" s="2" t="s">
        <v>66</v>
      </c>
      <c r="N11" s="6">
        <v>43843</v>
      </c>
      <c r="O11" s="4">
        <v>4608000</v>
      </c>
      <c r="P11" s="2">
        <v>114565</v>
      </c>
      <c r="Q11" s="2" t="s">
        <v>67</v>
      </c>
      <c r="R11" s="2" t="s">
        <v>68</v>
      </c>
      <c r="S11" s="2" t="s">
        <v>77</v>
      </c>
      <c r="T11" s="2" t="s">
        <v>77</v>
      </c>
      <c r="W11" s="4">
        <v>600</v>
      </c>
      <c r="X11" s="4">
        <v>720</v>
      </c>
      <c r="Y11" s="4">
        <f t="shared" ref="Y11" si="13">INDEX(InternalRates,MATCH($S11,InternalRates01,FALSE),2)</f>
        <v>278.98333333333335</v>
      </c>
      <c r="Z11" s="3" t="str">
        <f t="shared" si="5"/>
        <v>Nie</v>
      </c>
      <c r="AA11" s="3" t="str">
        <f t="shared" si="6"/>
        <v>SLA</v>
      </c>
      <c r="AD11" s="3" t="s">
        <v>48</v>
      </c>
      <c r="AE11" s="6">
        <v>44418</v>
      </c>
      <c r="AF11" s="3" t="s">
        <v>59</v>
      </c>
      <c r="AG11" s="3" t="s">
        <v>48</v>
      </c>
      <c r="AH11" s="3">
        <f>YEAR(SrcDB[[#This Row],[Datum_zverejnenia]])</f>
        <v>2020</v>
      </c>
      <c r="AI11" s="3" cm="1">
        <f t="array" ref="AI11">COUNT(_xlfn.UNIQUE(_xlfn._xlws.FILTER(SrcDB[ID],SrcDB[Objednavatel_ICO]=$H11)))</f>
        <v>6</v>
      </c>
      <c r="AJ11" s="3" cm="1">
        <f t="array" ref="AJ11">COUNT(_xlfn.UNIQUE(_xlfn._xlws.FILTER(SrcDB[ID],SrcDB[Dodavatel_ICO]=$K11)))</f>
        <v>4</v>
      </c>
      <c r="AK11" s="3">
        <f t="shared" si="8"/>
        <v>0</v>
      </c>
      <c r="AL11" s="3">
        <f t="shared" si="9"/>
        <v>0</v>
      </c>
      <c r="AM11" s="17" t="str">
        <f>IF(SrcDB[[#This Row],[Pocet zmluv objednavatela]]&gt;3,SrcDB[[#This Row],[Objednavatel]],"Ostatné")</f>
        <v>Ministerstvo spravodlivosti SR</v>
      </c>
      <c r="AN11" s="17" t="str">
        <f>IF(SrcDB[[#This Row],[Pocet zmluv dodavatela]]&gt;3,SrcDB[[#This Row],[Dodavatel]],"Ostatné")</f>
        <v>ANASOFT APR, spol. s r.o.</v>
      </c>
    </row>
    <row r="12" spans="1:40" x14ac:dyDescent="0.3">
      <c r="A12" s="2" t="s">
        <v>61</v>
      </c>
      <c r="B12" s="2">
        <v>4392235</v>
      </c>
      <c r="C12" s="3" t="str">
        <f t="shared" si="0"/>
        <v>Nie</v>
      </c>
      <c r="D12" s="3" t="str">
        <f t="shared" si="1"/>
        <v>Áno</v>
      </c>
      <c r="E12" s="3" t="s">
        <v>48</v>
      </c>
      <c r="F12" s="3" t="s">
        <v>49</v>
      </c>
      <c r="G12" s="2" t="str">
        <f t="shared" si="2"/>
        <v>Stredné zmluvy</v>
      </c>
      <c r="H12" s="5" t="s">
        <v>62</v>
      </c>
      <c r="I12" s="2" t="s">
        <v>63</v>
      </c>
      <c r="J12" s="2" t="s">
        <v>64</v>
      </c>
      <c r="K12" s="5">
        <v>31361552</v>
      </c>
      <c r="L12" s="2" t="s">
        <v>65</v>
      </c>
      <c r="M12" s="2" t="s">
        <v>66</v>
      </c>
      <c r="N12" s="6">
        <v>43843</v>
      </c>
      <c r="O12" s="4">
        <v>4608000</v>
      </c>
      <c r="P12" s="2">
        <v>114565</v>
      </c>
      <c r="Q12" s="2" t="s">
        <v>67</v>
      </c>
      <c r="R12" s="2" t="s">
        <v>68</v>
      </c>
      <c r="S12" s="2" t="s">
        <v>79</v>
      </c>
      <c r="T12" s="2" t="s">
        <v>80</v>
      </c>
      <c r="W12" s="4">
        <v>600</v>
      </c>
      <c r="X12" s="4">
        <v>720</v>
      </c>
      <c r="Y12" s="4">
        <f t="shared" ref="Y12" si="14">INDEX(InternalRates,MATCH($S12,InternalRates01,FALSE),2)</f>
        <v>278.98333333333335</v>
      </c>
      <c r="Z12" s="3" t="str">
        <f t="shared" si="5"/>
        <v>Nie</v>
      </c>
      <c r="AA12" s="3" t="str">
        <f t="shared" si="6"/>
        <v>SLA</v>
      </c>
      <c r="AD12" s="3" t="s">
        <v>48</v>
      </c>
      <c r="AE12" s="6">
        <v>44418</v>
      </c>
      <c r="AF12" s="3" t="s">
        <v>59</v>
      </c>
      <c r="AG12" s="3" t="s">
        <v>48</v>
      </c>
      <c r="AH12" s="3">
        <f>YEAR(SrcDB[[#This Row],[Datum_zverejnenia]])</f>
        <v>2020</v>
      </c>
      <c r="AI12" s="3" cm="1">
        <f t="array" ref="AI12">COUNT(_xlfn.UNIQUE(_xlfn._xlws.FILTER(SrcDB[ID],SrcDB[Objednavatel_ICO]=$H12)))</f>
        <v>6</v>
      </c>
      <c r="AJ12" s="3" cm="1">
        <f t="array" ref="AJ12">COUNT(_xlfn.UNIQUE(_xlfn._xlws.FILTER(SrcDB[ID],SrcDB[Dodavatel_ICO]=$K12)))</f>
        <v>4</v>
      </c>
      <c r="AK12" s="3">
        <f t="shared" si="8"/>
        <v>0</v>
      </c>
      <c r="AL12" s="3">
        <f t="shared" si="9"/>
        <v>0</v>
      </c>
      <c r="AM12" s="17" t="str">
        <f>IF(SrcDB[[#This Row],[Pocet zmluv objednavatela]]&gt;3,SrcDB[[#This Row],[Objednavatel]],"Ostatné")</f>
        <v>Ministerstvo spravodlivosti SR</v>
      </c>
      <c r="AN12" s="17" t="str">
        <f>IF(SrcDB[[#This Row],[Pocet zmluv dodavatela]]&gt;3,SrcDB[[#This Row],[Dodavatel]],"Ostatné")</f>
        <v>ANASOFT APR, spol. s r.o.</v>
      </c>
    </row>
    <row r="13" spans="1:40" x14ac:dyDescent="0.3">
      <c r="A13" s="2" t="s">
        <v>81</v>
      </c>
      <c r="B13" s="2">
        <v>4394142</v>
      </c>
      <c r="C13" s="3" t="str">
        <f t="shared" si="0"/>
        <v>Áno</v>
      </c>
      <c r="D13" s="3" t="str">
        <f t="shared" si="1"/>
        <v>Nie</v>
      </c>
      <c r="E13" s="3" t="s">
        <v>49</v>
      </c>
      <c r="F13" s="3" t="s">
        <v>48</v>
      </c>
      <c r="G13" s="2" t="str">
        <f t="shared" si="2"/>
        <v>Veľké zmluvy</v>
      </c>
      <c r="H13" s="5" t="s">
        <v>82</v>
      </c>
      <c r="I13" s="2" t="s">
        <v>83</v>
      </c>
      <c r="J13" s="2" t="s">
        <v>84</v>
      </c>
      <c r="K13" s="5">
        <v>35760419</v>
      </c>
      <c r="L13" s="2" t="s">
        <v>85</v>
      </c>
      <c r="M13" s="2" t="s">
        <v>86</v>
      </c>
      <c r="N13" s="6">
        <v>43844.61446759259</v>
      </c>
      <c r="O13" s="4">
        <v>16667892</v>
      </c>
      <c r="P13" s="2">
        <v>114571</v>
      </c>
      <c r="Q13" s="2" t="s">
        <v>87</v>
      </c>
      <c r="R13" s="2" t="s">
        <v>88</v>
      </c>
      <c r="S13" s="2" t="s">
        <v>69</v>
      </c>
      <c r="T13" s="2" t="s">
        <v>70</v>
      </c>
      <c r="W13" s="4">
        <v>640</v>
      </c>
      <c r="X13" s="4">
        <v>768</v>
      </c>
      <c r="Y13" s="4">
        <f t="shared" ref="Y13" si="15">INDEX(InternalRates,MATCH($S13,InternalRates01,FALSE),2)</f>
        <v>278.98333333333335</v>
      </c>
      <c r="Z13" s="3" t="str">
        <f t="shared" si="5"/>
        <v>Nie</v>
      </c>
      <c r="AA13" s="3" t="str">
        <f t="shared" si="6"/>
        <v>ZoD</v>
      </c>
      <c r="AB13" s="4">
        <v>1032</v>
      </c>
      <c r="AD13" s="3" t="s">
        <v>48</v>
      </c>
      <c r="AE13" s="6">
        <v>44419</v>
      </c>
      <c r="AF13" s="3" t="s">
        <v>59</v>
      </c>
      <c r="AG13" s="3" t="s">
        <v>48</v>
      </c>
      <c r="AH13" s="3">
        <f>YEAR(SrcDB[[#This Row],[Datum_zverejnenia]])</f>
        <v>2020</v>
      </c>
      <c r="AI13" s="3" cm="1">
        <f t="array" ref="AI13">COUNT(_xlfn.UNIQUE(_xlfn._xlws.FILTER(SrcDB[ID],SrcDB[Objednavatel_ICO]=$H13)))</f>
        <v>2</v>
      </c>
      <c r="AJ13" s="3" cm="1">
        <f t="array" ref="AJ13">COUNT(_xlfn.UNIQUE(_xlfn._xlws.FILTER(SrcDB[ID],SrcDB[Dodavatel_ICO]=$K13)))</f>
        <v>34</v>
      </c>
      <c r="AK13" s="3">
        <f t="shared" si="8"/>
        <v>1</v>
      </c>
      <c r="AL13" s="3">
        <f t="shared" si="9"/>
        <v>1</v>
      </c>
      <c r="AM13" s="17" t="str">
        <f>IF(SrcDB[[#This Row],[Pocet zmluv objednavatela]]&gt;3,SrcDB[[#This Row],[Objednavatel]],"Ostatné")</f>
        <v>Ostatné</v>
      </c>
      <c r="AN13" s="17" t="str">
        <f>IF(SrcDB[[#This Row],[Pocet zmluv dodavatela]]&gt;3,SrcDB[[#This Row],[Dodavatel]],"Ostatné")</f>
        <v>Asseco Central Europe, a.s.</v>
      </c>
    </row>
    <row r="14" spans="1:40" x14ac:dyDescent="0.3">
      <c r="A14" s="2" t="s">
        <v>81</v>
      </c>
      <c r="B14" s="2">
        <v>4394142</v>
      </c>
      <c r="C14" s="3" t="str">
        <f t="shared" si="0"/>
        <v>Áno</v>
      </c>
      <c r="D14" s="3" t="str">
        <f t="shared" si="1"/>
        <v>Nie</v>
      </c>
      <c r="E14" s="3" t="s">
        <v>49</v>
      </c>
      <c r="F14" s="3" t="s">
        <v>48</v>
      </c>
      <c r="G14" s="2" t="str">
        <f t="shared" si="2"/>
        <v>Veľké zmluvy</v>
      </c>
      <c r="H14" s="5" t="s">
        <v>82</v>
      </c>
      <c r="I14" s="2" t="s">
        <v>83</v>
      </c>
      <c r="J14" s="2" t="s">
        <v>84</v>
      </c>
      <c r="K14" s="5">
        <v>35760419</v>
      </c>
      <c r="L14" s="2" t="s">
        <v>85</v>
      </c>
      <c r="M14" s="2" t="s">
        <v>86</v>
      </c>
      <c r="N14" s="6">
        <v>43844.61446759259</v>
      </c>
      <c r="O14" s="4">
        <v>16667892</v>
      </c>
      <c r="P14" s="2">
        <v>114571</v>
      </c>
      <c r="Q14" s="2" t="s">
        <v>87</v>
      </c>
      <c r="R14" s="2" t="s">
        <v>88</v>
      </c>
      <c r="S14" s="2" t="s">
        <v>56</v>
      </c>
      <c r="T14" s="2" t="s">
        <v>89</v>
      </c>
      <c r="U14" s="2" t="s">
        <v>58</v>
      </c>
      <c r="W14" s="4">
        <v>570</v>
      </c>
      <c r="X14" s="4">
        <v>684</v>
      </c>
      <c r="Y14" s="4">
        <f t="shared" ref="Y14" si="16">INDEX(InternalRates,MATCH($S14,InternalRates01,FALSE),2)</f>
        <v>278.98333333333335</v>
      </c>
      <c r="Z14" s="3" t="str">
        <f t="shared" si="5"/>
        <v>Nie</v>
      </c>
      <c r="AA14" s="3" t="str">
        <f t="shared" si="6"/>
        <v>ZoD</v>
      </c>
      <c r="AB14" s="4">
        <v>2039</v>
      </c>
      <c r="AD14" s="3" t="s">
        <v>48</v>
      </c>
      <c r="AE14" s="6">
        <v>44419</v>
      </c>
      <c r="AF14" s="3" t="s">
        <v>59</v>
      </c>
      <c r="AG14" s="3" t="s">
        <v>48</v>
      </c>
      <c r="AH14" s="3">
        <f>YEAR(SrcDB[[#This Row],[Datum_zverejnenia]])</f>
        <v>2020</v>
      </c>
      <c r="AI14" s="3" cm="1">
        <f t="array" ref="AI14">COUNT(_xlfn.UNIQUE(_xlfn._xlws.FILTER(SrcDB[ID],SrcDB[Objednavatel_ICO]=$H14)))</f>
        <v>2</v>
      </c>
      <c r="AJ14" s="3" cm="1">
        <f t="array" ref="AJ14">COUNT(_xlfn.UNIQUE(_xlfn._xlws.FILTER(SrcDB[ID],SrcDB[Dodavatel_ICO]=$K14)))</f>
        <v>34</v>
      </c>
      <c r="AK14" s="3">
        <f t="shared" si="8"/>
        <v>0</v>
      </c>
      <c r="AL14" s="3">
        <f t="shared" si="9"/>
        <v>0</v>
      </c>
      <c r="AM14" s="17" t="str">
        <f>IF(SrcDB[[#This Row],[Pocet zmluv objednavatela]]&gt;3,SrcDB[[#This Row],[Objednavatel]],"Ostatné")</f>
        <v>Ostatné</v>
      </c>
      <c r="AN14" s="17" t="str">
        <f>IF(SrcDB[[#This Row],[Pocet zmluv dodavatela]]&gt;3,SrcDB[[#This Row],[Dodavatel]],"Ostatné")</f>
        <v>Asseco Central Europe, a.s.</v>
      </c>
    </row>
    <row r="15" spans="1:40" x14ac:dyDescent="0.3">
      <c r="A15" s="2" t="s">
        <v>81</v>
      </c>
      <c r="B15" s="2">
        <v>4394142</v>
      </c>
      <c r="C15" s="3" t="str">
        <f t="shared" si="0"/>
        <v>Áno</v>
      </c>
      <c r="D15" s="3" t="str">
        <f t="shared" si="1"/>
        <v>Nie</v>
      </c>
      <c r="E15" s="3" t="s">
        <v>49</v>
      </c>
      <c r="F15" s="3" t="s">
        <v>48</v>
      </c>
      <c r="G15" s="2" t="str">
        <f t="shared" si="2"/>
        <v>Veľké zmluvy</v>
      </c>
      <c r="H15" s="5" t="s">
        <v>82</v>
      </c>
      <c r="I15" s="2" t="s">
        <v>83</v>
      </c>
      <c r="J15" s="2" t="s">
        <v>84</v>
      </c>
      <c r="K15" s="5">
        <v>35760419</v>
      </c>
      <c r="L15" s="2" t="s">
        <v>85</v>
      </c>
      <c r="M15" s="2" t="s">
        <v>86</v>
      </c>
      <c r="N15" s="6">
        <v>43844</v>
      </c>
      <c r="O15" s="4">
        <v>16667892</v>
      </c>
      <c r="P15" s="2">
        <v>114571</v>
      </c>
      <c r="Q15" s="2" t="s">
        <v>87</v>
      </c>
      <c r="R15" s="2" t="s">
        <v>88</v>
      </c>
      <c r="S15" s="2" t="s">
        <v>73</v>
      </c>
      <c r="T15" s="2" t="s">
        <v>90</v>
      </c>
      <c r="W15" s="4">
        <v>530</v>
      </c>
      <c r="X15" s="4">
        <v>636</v>
      </c>
      <c r="Y15" s="4">
        <f t="shared" ref="Y15" si="17">INDEX(InternalRates,MATCH($S15,InternalRates01,FALSE),2)</f>
        <v>278.98333333333335</v>
      </c>
      <c r="Z15" s="3" t="str">
        <f t="shared" si="5"/>
        <v>Nie</v>
      </c>
      <c r="AA15" s="3" t="str">
        <f t="shared" si="6"/>
        <v>ZoD</v>
      </c>
      <c r="AB15" s="4">
        <v>7150</v>
      </c>
      <c r="AD15" s="3" t="s">
        <v>48</v>
      </c>
      <c r="AE15" s="6">
        <v>44419</v>
      </c>
      <c r="AF15" s="3" t="s">
        <v>59</v>
      </c>
      <c r="AG15" s="3" t="s">
        <v>48</v>
      </c>
      <c r="AH15" s="3">
        <f>YEAR(SrcDB[[#This Row],[Datum_zverejnenia]])</f>
        <v>2020</v>
      </c>
      <c r="AI15" s="3" cm="1">
        <f t="array" ref="AI15">COUNT(_xlfn.UNIQUE(_xlfn._xlws.FILTER(SrcDB[ID],SrcDB[Objednavatel_ICO]=$H15)))</f>
        <v>2</v>
      </c>
      <c r="AJ15" s="3" cm="1">
        <f t="array" ref="AJ15">COUNT(_xlfn.UNIQUE(_xlfn._xlws.FILTER(SrcDB[ID],SrcDB[Dodavatel_ICO]=$K15)))</f>
        <v>34</v>
      </c>
      <c r="AK15" s="3">
        <f t="shared" si="8"/>
        <v>0</v>
      </c>
      <c r="AL15" s="3">
        <f t="shared" si="9"/>
        <v>0</v>
      </c>
      <c r="AM15" s="17" t="str">
        <f>IF(SrcDB[[#This Row],[Pocet zmluv objednavatela]]&gt;3,SrcDB[[#This Row],[Objednavatel]],"Ostatné")</f>
        <v>Ostatné</v>
      </c>
      <c r="AN15" s="17" t="str">
        <f>IF(SrcDB[[#This Row],[Pocet zmluv dodavatela]]&gt;3,SrcDB[[#This Row],[Dodavatel]],"Ostatné")</f>
        <v>Asseco Central Europe, a.s.</v>
      </c>
    </row>
    <row r="16" spans="1:40" x14ac:dyDescent="0.3">
      <c r="A16" s="2" t="s">
        <v>81</v>
      </c>
      <c r="B16" s="2">
        <v>4394142</v>
      </c>
      <c r="C16" s="3" t="str">
        <f t="shared" si="0"/>
        <v>Áno</v>
      </c>
      <c r="D16" s="3" t="str">
        <f t="shared" si="1"/>
        <v>Nie</v>
      </c>
      <c r="E16" s="3" t="s">
        <v>49</v>
      </c>
      <c r="F16" s="3" t="s">
        <v>48</v>
      </c>
      <c r="G16" s="2" t="str">
        <f t="shared" si="2"/>
        <v>Veľké zmluvy</v>
      </c>
      <c r="H16" s="5" t="s">
        <v>82</v>
      </c>
      <c r="I16" s="2" t="s">
        <v>83</v>
      </c>
      <c r="J16" s="2" t="s">
        <v>84</v>
      </c>
      <c r="K16" s="5">
        <v>35760419</v>
      </c>
      <c r="L16" s="2" t="s">
        <v>85</v>
      </c>
      <c r="M16" s="2" t="s">
        <v>86</v>
      </c>
      <c r="N16" s="6">
        <v>43844</v>
      </c>
      <c r="O16" s="4">
        <v>16667892</v>
      </c>
      <c r="P16" s="2">
        <v>114571</v>
      </c>
      <c r="Q16" s="2" t="s">
        <v>87</v>
      </c>
      <c r="R16" s="2" t="s">
        <v>88</v>
      </c>
      <c r="S16" s="2" t="s">
        <v>73</v>
      </c>
      <c r="T16" s="2" t="s">
        <v>91</v>
      </c>
      <c r="W16" s="4">
        <v>720</v>
      </c>
      <c r="X16" s="4">
        <v>864</v>
      </c>
      <c r="Y16" s="4">
        <f t="shared" ref="Y16" si="18">INDEX(InternalRates,MATCH($S16,InternalRates01,FALSE),2)</f>
        <v>278.98333333333335</v>
      </c>
      <c r="Z16" s="3" t="str">
        <f t="shared" si="5"/>
        <v>Nie</v>
      </c>
      <c r="AA16" s="3" t="str">
        <f t="shared" si="6"/>
        <v>ZoD</v>
      </c>
      <c r="AB16" s="4">
        <v>1522</v>
      </c>
      <c r="AD16" s="3" t="s">
        <v>48</v>
      </c>
      <c r="AE16" s="6">
        <v>44419</v>
      </c>
      <c r="AF16" s="3" t="s">
        <v>59</v>
      </c>
      <c r="AG16" s="3" t="s">
        <v>48</v>
      </c>
      <c r="AH16" s="3">
        <f>YEAR(SrcDB[[#This Row],[Datum_zverejnenia]])</f>
        <v>2020</v>
      </c>
      <c r="AI16" s="3" cm="1">
        <f t="array" ref="AI16">COUNT(_xlfn.UNIQUE(_xlfn._xlws.FILTER(SrcDB[ID],SrcDB[Objednavatel_ICO]=$H16)))</f>
        <v>2</v>
      </c>
      <c r="AJ16" s="3" cm="1">
        <f t="array" ref="AJ16">COUNT(_xlfn.UNIQUE(_xlfn._xlws.FILTER(SrcDB[ID],SrcDB[Dodavatel_ICO]=$K16)))</f>
        <v>34</v>
      </c>
      <c r="AK16" s="3">
        <f t="shared" si="8"/>
        <v>0</v>
      </c>
      <c r="AL16" s="3">
        <f t="shared" si="9"/>
        <v>0</v>
      </c>
      <c r="AM16" s="17" t="str">
        <f>IF(SrcDB[[#This Row],[Pocet zmluv objednavatela]]&gt;3,SrcDB[[#This Row],[Objednavatel]],"Ostatné")</f>
        <v>Ostatné</v>
      </c>
      <c r="AN16" s="17" t="str">
        <f>IF(SrcDB[[#This Row],[Pocet zmluv dodavatela]]&gt;3,SrcDB[[#This Row],[Dodavatel]],"Ostatné")</f>
        <v>Asseco Central Europe, a.s.</v>
      </c>
    </row>
    <row r="17" spans="1:40" x14ac:dyDescent="0.3">
      <c r="A17" s="2" t="s">
        <v>81</v>
      </c>
      <c r="B17" s="2">
        <v>4394142</v>
      </c>
      <c r="C17" s="3" t="str">
        <f t="shared" si="0"/>
        <v>Áno</v>
      </c>
      <c r="D17" s="3" t="str">
        <f t="shared" si="1"/>
        <v>Nie</v>
      </c>
      <c r="E17" s="3" t="s">
        <v>49</v>
      </c>
      <c r="F17" s="3" t="s">
        <v>48</v>
      </c>
      <c r="G17" s="2" t="str">
        <f t="shared" si="2"/>
        <v>Veľké zmluvy</v>
      </c>
      <c r="H17" s="5" t="s">
        <v>82</v>
      </c>
      <c r="I17" s="2" t="s">
        <v>83</v>
      </c>
      <c r="J17" s="2" t="s">
        <v>84</v>
      </c>
      <c r="K17" s="5">
        <v>35760419</v>
      </c>
      <c r="L17" s="2" t="s">
        <v>85</v>
      </c>
      <c r="M17" s="2" t="s">
        <v>86</v>
      </c>
      <c r="N17" s="6">
        <v>43844</v>
      </c>
      <c r="O17" s="4">
        <v>16667892</v>
      </c>
      <c r="P17" s="2">
        <v>114571</v>
      </c>
      <c r="Q17" s="2" t="s">
        <v>87</v>
      </c>
      <c r="R17" s="2" t="s">
        <v>88</v>
      </c>
      <c r="S17" s="2" t="s">
        <v>77</v>
      </c>
      <c r="T17" s="2" t="s">
        <v>92</v>
      </c>
      <c r="W17" s="4">
        <v>570</v>
      </c>
      <c r="X17" s="4">
        <v>684</v>
      </c>
      <c r="Y17" s="4">
        <f t="shared" ref="Y17" si="19">INDEX(InternalRates,MATCH($S17,InternalRates01,FALSE),2)</f>
        <v>278.98333333333335</v>
      </c>
      <c r="Z17" s="3" t="str">
        <f t="shared" si="5"/>
        <v>Nie</v>
      </c>
      <c r="AA17" s="3" t="str">
        <f t="shared" si="6"/>
        <v>ZoD</v>
      </c>
      <c r="AB17" s="4">
        <v>8630</v>
      </c>
      <c r="AD17" s="3" t="s">
        <v>48</v>
      </c>
      <c r="AE17" s="6">
        <v>44419</v>
      </c>
      <c r="AF17" s="3" t="s">
        <v>59</v>
      </c>
      <c r="AG17" s="3" t="s">
        <v>48</v>
      </c>
      <c r="AH17" s="3">
        <f>YEAR(SrcDB[[#This Row],[Datum_zverejnenia]])</f>
        <v>2020</v>
      </c>
      <c r="AI17" s="3" cm="1">
        <f t="array" ref="AI17">COUNT(_xlfn.UNIQUE(_xlfn._xlws.FILTER(SrcDB[ID],SrcDB[Objednavatel_ICO]=$H17)))</f>
        <v>2</v>
      </c>
      <c r="AJ17" s="3" cm="1">
        <f t="array" ref="AJ17">COUNT(_xlfn.UNIQUE(_xlfn._xlws.FILTER(SrcDB[ID],SrcDB[Dodavatel_ICO]=$K17)))</f>
        <v>34</v>
      </c>
      <c r="AK17" s="3">
        <f t="shared" si="8"/>
        <v>0</v>
      </c>
      <c r="AL17" s="3">
        <f t="shared" si="9"/>
        <v>0</v>
      </c>
      <c r="AM17" s="17" t="str">
        <f>IF(SrcDB[[#This Row],[Pocet zmluv objednavatela]]&gt;3,SrcDB[[#This Row],[Objednavatel]],"Ostatné")</f>
        <v>Ostatné</v>
      </c>
      <c r="AN17" s="17" t="str">
        <f>IF(SrcDB[[#This Row],[Pocet zmluv dodavatela]]&gt;3,SrcDB[[#This Row],[Dodavatel]],"Ostatné")</f>
        <v>Asseco Central Europe, a.s.</v>
      </c>
    </row>
    <row r="18" spans="1:40" x14ac:dyDescent="0.3">
      <c r="A18" s="2" t="s">
        <v>81</v>
      </c>
      <c r="B18" s="2">
        <v>4394142</v>
      </c>
      <c r="C18" s="3" t="str">
        <f t="shared" si="0"/>
        <v>Áno</v>
      </c>
      <c r="D18" s="3" t="str">
        <f t="shared" si="1"/>
        <v>Nie</v>
      </c>
      <c r="E18" s="3" t="s">
        <v>49</v>
      </c>
      <c r="F18" s="3" t="s">
        <v>48</v>
      </c>
      <c r="G18" s="2" t="str">
        <f t="shared" si="2"/>
        <v>Veľké zmluvy</v>
      </c>
      <c r="H18" s="5" t="s">
        <v>82</v>
      </c>
      <c r="I18" s="2" t="s">
        <v>83</v>
      </c>
      <c r="J18" s="2" t="s">
        <v>84</v>
      </c>
      <c r="K18" s="5">
        <v>35760419</v>
      </c>
      <c r="L18" s="2" t="s">
        <v>85</v>
      </c>
      <c r="M18" s="2" t="s">
        <v>86</v>
      </c>
      <c r="N18" s="6">
        <v>43844</v>
      </c>
      <c r="O18" s="4">
        <v>16667892</v>
      </c>
      <c r="P18" s="2">
        <v>114571</v>
      </c>
      <c r="Q18" s="2" t="s">
        <v>87</v>
      </c>
      <c r="R18" s="2" t="s">
        <v>88</v>
      </c>
      <c r="S18" s="2" t="s">
        <v>79</v>
      </c>
      <c r="T18" s="2" t="s">
        <v>93</v>
      </c>
      <c r="W18" s="4">
        <v>510</v>
      </c>
      <c r="X18" s="4">
        <v>612</v>
      </c>
      <c r="Y18" s="4">
        <f t="shared" ref="Y18" si="20">INDEX(InternalRates,MATCH($S18,InternalRates01,FALSE),2)</f>
        <v>278.98333333333335</v>
      </c>
      <c r="Z18" s="3" t="str">
        <f t="shared" si="5"/>
        <v>Nie</v>
      </c>
      <c r="AA18" s="3" t="str">
        <f t="shared" si="6"/>
        <v>ZoD</v>
      </c>
      <c r="AB18" s="4">
        <v>820</v>
      </c>
      <c r="AD18" s="3" t="s">
        <v>48</v>
      </c>
      <c r="AE18" s="6">
        <v>44419</v>
      </c>
      <c r="AF18" s="3" t="s">
        <v>59</v>
      </c>
      <c r="AG18" s="3" t="s">
        <v>48</v>
      </c>
      <c r="AH18" s="3">
        <f>YEAR(SrcDB[[#This Row],[Datum_zverejnenia]])</f>
        <v>2020</v>
      </c>
      <c r="AI18" s="3" cm="1">
        <f t="array" ref="AI18">COUNT(_xlfn.UNIQUE(_xlfn._xlws.FILTER(SrcDB[ID],SrcDB[Objednavatel_ICO]=$H18)))</f>
        <v>2</v>
      </c>
      <c r="AJ18" s="3" cm="1">
        <f t="array" ref="AJ18">COUNT(_xlfn.UNIQUE(_xlfn._xlws.FILTER(SrcDB[ID],SrcDB[Dodavatel_ICO]=$K18)))</f>
        <v>34</v>
      </c>
      <c r="AK18" s="3">
        <f t="shared" si="8"/>
        <v>0</v>
      </c>
      <c r="AL18" s="3">
        <f t="shared" si="9"/>
        <v>0</v>
      </c>
      <c r="AM18" s="17" t="str">
        <f>IF(SrcDB[[#This Row],[Pocet zmluv objednavatela]]&gt;3,SrcDB[[#This Row],[Objednavatel]],"Ostatné")</f>
        <v>Ostatné</v>
      </c>
      <c r="AN18" s="17" t="str">
        <f>IF(SrcDB[[#This Row],[Pocet zmluv dodavatela]]&gt;3,SrcDB[[#This Row],[Dodavatel]],"Ostatné")</f>
        <v>Asseco Central Europe, a.s.</v>
      </c>
    </row>
    <row r="19" spans="1:40" x14ac:dyDescent="0.3">
      <c r="A19" s="2" t="s">
        <v>81</v>
      </c>
      <c r="B19" s="2">
        <v>4394142</v>
      </c>
      <c r="C19" s="3" t="str">
        <f t="shared" si="0"/>
        <v>Áno</v>
      </c>
      <c r="D19" s="3" t="str">
        <f t="shared" si="1"/>
        <v>Nie</v>
      </c>
      <c r="E19" s="3" t="s">
        <v>49</v>
      </c>
      <c r="F19" s="3" t="s">
        <v>48</v>
      </c>
      <c r="G19" s="2" t="str">
        <f t="shared" si="2"/>
        <v>Veľké zmluvy</v>
      </c>
      <c r="H19" s="5" t="s">
        <v>82</v>
      </c>
      <c r="I19" s="2" t="s">
        <v>83</v>
      </c>
      <c r="J19" s="2" t="s">
        <v>84</v>
      </c>
      <c r="K19" s="5">
        <v>35760419</v>
      </c>
      <c r="L19" s="2" t="s">
        <v>85</v>
      </c>
      <c r="M19" s="2" t="s">
        <v>86</v>
      </c>
      <c r="N19" s="6">
        <v>43844</v>
      </c>
      <c r="O19" s="4">
        <v>16667892</v>
      </c>
      <c r="P19" s="2">
        <v>114571</v>
      </c>
      <c r="Q19" s="2" t="s">
        <v>87</v>
      </c>
      <c r="R19" s="2" t="s">
        <v>88</v>
      </c>
      <c r="S19" s="2" t="s">
        <v>56</v>
      </c>
      <c r="T19" s="2" t="s">
        <v>94</v>
      </c>
      <c r="U19" s="2" t="s">
        <v>95</v>
      </c>
      <c r="W19" s="4">
        <v>790</v>
      </c>
      <c r="X19" s="4">
        <v>948</v>
      </c>
      <c r="Y19" s="4">
        <f t="shared" ref="Y19" si="21">INDEX(InternalRates,MATCH($S19,InternalRates01,FALSE),2)</f>
        <v>278.98333333333335</v>
      </c>
      <c r="Z19" s="3" t="str">
        <f t="shared" si="5"/>
        <v>Nie</v>
      </c>
      <c r="AA19" s="3" t="str">
        <f t="shared" si="6"/>
        <v>ZoD</v>
      </c>
      <c r="AB19" s="4">
        <v>949</v>
      </c>
      <c r="AD19" s="3" t="s">
        <v>48</v>
      </c>
      <c r="AE19" s="6">
        <v>44419</v>
      </c>
      <c r="AF19" s="3" t="s">
        <v>59</v>
      </c>
      <c r="AG19" s="3" t="s">
        <v>48</v>
      </c>
      <c r="AH19" s="3">
        <f>YEAR(SrcDB[[#This Row],[Datum_zverejnenia]])</f>
        <v>2020</v>
      </c>
      <c r="AI19" s="3" cm="1">
        <f t="array" ref="AI19">COUNT(_xlfn.UNIQUE(_xlfn._xlws.FILTER(SrcDB[ID],SrcDB[Objednavatel_ICO]=$H19)))</f>
        <v>2</v>
      </c>
      <c r="AJ19" s="3" cm="1">
        <f t="array" ref="AJ19">COUNT(_xlfn.UNIQUE(_xlfn._xlws.FILTER(SrcDB[ID],SrcDB[Dodavatel_ICO]=$K19)))</f>
        <v>34</v>
      </c>
      <c r="AK19" s="3">
        <f t="shared" si="8"/>
        <v>0</v>
      </c>
      <c r="AL19" s="3">
        <f t="shared" si="9"/>
        <v>0</v>
      </c>
      <c r="AM19" s="17" t="str">
        <f>IF(SrcDB[[#This Row],[Pocet zmluv objednavatela]]&gt;3,SrcDB[[#This Row],[Objednavatel]],"Ostatné")</f>
        <v>Ostatné</v>
      </c>
      <c r="AN19" s="17" t="str">
        <f>IF(SrcDB[[#This Row],[Pocet zmluv dodavatela]]&gt;3,SrcDB[[#This Row],[Dodavatel]],"Ostatné")</f>
        <v>Asseco Central Europe, a.s.</v>
      </c>
    </row>
    <row r="20" spans="1:40" x14ac:dyDescent="0.3">
      <c r="A20" s="2" t="s">
        <v>81</v>
      </c>
      <c r="B20" s="2">
        <v>4394142</v>
      </c>
      <c r="C20" s="3" t="str">
        <f t="shared" si="0"/>
        <v>Áno</v>
      </c>
      <c r="D20" s="3" t="str">
        <f t="shared" si="1"/>
        <v>Nie</v>
      </c>
      <c r="E20" s="3" t="s">
        <v>49</v>
      </c>
      <c r="F20" s="3" t="s">
        <v>48</v>
      </c>
      <c r="G20" s="2" t="str">
        <f t="shared" si="2"/>
        <v>Veľké zmluvy</v>
      </c>
      <c r="H20" s="5" t="s">
        <v>82</v>
      </c>
      <c r="I20" s="2" t="s">
        <v>83</v>
      </c>
      <c r="J20" s="2" t="s">
        <v>84</v>
      </c>
      <c r="K20" s="5">
        <v>35760419</v>
      </c>
      <c r="L20" s="2" t="s">
        <v>85</v>
      </c>
      <c r="M20" s="2" t="s">
        <v>86</v>
      </c>
      <c r="N20" s="6">
        <v>43844</v>
      </c>
      <c r="O20" s="4">
        <v>16667892</v>
      </c>
      <c r="P20" s="2">
        <v>114571</v>
      </c>
      <c r="Q20" s="2" t="s">
        <v>87</v>
      </c>
      <c r="R20" s="2" t="s">
        <v>88</v>
      </c>
      <c r="S20" s="2" t="s">
        <v>56</v>
      </c>
      <c r="T20" s="2" t="s">
        <v>96</v>
      </c>
      <c r="U20" s="2" t="s">
        <v>97</v>
      </c>
      <c r="W20" s="4">
        <v>640</v>
      </c>
      <c r="X20" s="4">
        <v>768</v>
      </c>
      <c r="Y20" s="4">
        <f t="shared" ref="Y20" si="22">INDEX(InternalRates,MATCH($S20,InternalRates01,FALSE),2)</f>
        <v>278.98333333333335</v>
      </c>
      <c r="Z20" s="3" t="str">
        <f t="shared" si="5"/>
        <v>Nie</v>
      </c>
      <c r="AA20" s="3" t="str">
        <f t="shared" si="6"/>
        <v>ZoD</v>
      </c>
      <c r="AB20" s="4">
        <v>320</v>
      </c>
      <c r="AD20" s="3" t="s">
        <v>48</v>
      </c>
      <c r="AE20" s="6">
        <v>44419</v>
      </c>
      <c r="AF20" s="3" t="s">
        <v>59</v>
      </c>
      <c r="AG20" s="3" t="s">
        <v>48</v>
      </c>
      <c r="AH20" s="3">
        <f>YEAR(SrcDB[[#This Row],[Datum_zverejnenia]])</f>
        <v>2020</v>
      </c>
      <c r="AI20" s="3" cm="1">
        <f t="array" ref="AI20">COUNT(_xlfn.UNIQUE(_xlfn._xlws.FILTER(SrcDB[ID],SrcDB[Objednavatel_ICO]=$H20)))</f>
        <v>2</v>
      </c>
      <c r="AJ20" s="3" cm="1">
        <f t="array" ref="AJ20">COUNT(_xlfn.UNIQUE(_xlfn._xlws.FILTER(SrcDB[ID],SrcDB[Dodavatel_ICO]=$K20)))</f>
        <v>34</v>
      </c>
      <c r="AK20" s="3">
        <f t="shared" si="8"/>
        <v>0</v>
      </c>
      <c r="AL20" s="3">
        <f t="shared" si="9"/>
        <v>0</v>
      </c>
      <c r="AM20" s="17" t="str">
        <f>IF(SrcDB[[#This Row],[Pocet zmluv objednavatela]]&gt;3,SrcDB[[#This Row],[Objednavatel]],"Ostatné")</f>
        <v>Ostatné</v>
      </c>
      <c r="AN20" s="17" t="str">
        <f>IF(SrcDB[[#This Row],[Pocet zmluv dodavatela]]&gt;3,SrcDB[[#This Row],[Dodavatel]],"Ostatné")</f>
        <v>Asseco Central Europe, a.s.</v>
      </c>
    </row>
    <row r="21" spans="1:40" x14ac:dyDescent="0.3">
      <c r="A21" s="2" t="s">
        <v>81</v>
      </c>
      <c r="B21" s="2">
        <v>4394142</v>
      </c>
      <c r="C21" s="3" t="str">
        <f t="shared" si="0"/>
        <v>Áno</v>
      </c>
      <c r="D21" s="3" t="str">
        <f t="shared" si="1"/>
        <v>Nie</v>
      </c>
      <c r="E21" s="3" t="s">
        <v>49</v>
      </c>
      <c r="F21" s="3" t="s">
        <v>48</v>
      </c>
      <c r="G21" s="2" t="str">
        <f t="shared" si="2"/>
        <v>Veľké zmluvy</v>
      </c>
      <c r="H21" s="5" t="s">
        <v>82</v>
      </c>
      <c r="I21" s="2" t="s">
        <v>83</v>
      </c>
      <c r="J21" s="2" t="s">
        <v>84</v>
      </c>
      <c r="K21" s="5">
        <v>35760419</v>
      </c>
      <c r="L21" s="2" t="s">
        <v>85</v>
      </c>
      <c r="M21" s="2" t="s">
        <v>86</v>
      </c>
      <c r="N21" s="6">
        <v>43844</v>
      </c>
      <c r="O21" s="4">
        <v>16667892</v>
      </c>
      <c r="P21" s="2">
        <v>114571</v>
      </c>
      <c r="Q21" s="2" t="s">
        <v>87</v>
      </c>
      <c r="R21" s="2" t="s">
        <v>88</v>
      </c>
      <c r="S21" s="2" t="s">
        <v>98</v>
      </c>
      <c r="T21" s="2" t="s">
        <v>99</v>
      </c>
      <c r="W21" s="4">
        <v>720</v>
      </c>
      <c r="X21" s="4">
        <v>864</v>
      </c>
      <c r="Y21" s="4">
        <f t="shared" ref="Y21" si="23">INDEX(InternalRates,MATCH($S21,InternalRates01,FALSE),2)</f>
        <v>278.98333333333335</v>
      </c>
      <c r="Z21" s="3" t="str">
        <f t="shared" si="5"/>
        <v>Nie</v>
      </c>
      <c r="AA21" s="3" t="str">
        <f t="shared" si="6"/>
        <v>ZoD</v>
      </c>
      <c r="AB21" s="4">
        <v>140</v>
      </c>
      <c r="AD21" s="3" t="s">
        <v>48</v>
      </c>
      <c r="AE21" s="6">
        <v>44419</v>
      </c>
      <c r="AF21" s="3" t="s">
        <v>59</v>
      </c>
      <c r="AG21" s="3" t="s">
        <v>48</v>
      </c>
      <c r="AH21" s="3">
        <f>YEAR(SrcDB[[#This Row],[Datum_zverejnenia]])</f>
        <v>2020</v>
      </c>
      <c r="AI21" s="3" cm="1">
        <f t="array" ref="AI21">COUNT(_xlfn.UNIQUE(_xlfn._xlws.FILTER(SrcDB[ID],SrcDB[Objednavatel_ICO]=$H21)))</f>
        <v>2</v>
      </c>
      <c r="AJ21" s="3" cm="1">
        <f t="array" ref="AJ21">COUNT(_xlfn.UNIQUE(_xlfn._xlws.FILTER(SrcDB[ID],SrcDB[Dodavatel_ICO]=$K21)))</f>
        <v>34</v>
      </c>
      <c r="AK21" s="3">
        <f t="shared" si="8"/>
        <v>0</v>
      </c>
      <c r="AL21" s="3">
        <f t="shared" si="9"/>
        <v>0</v>
      </c>
      <c r="AM21" s="17" t="str">
        <f>IF(SrcDB[[#This Row],[Pocet zmluv objednavatela]]&gt;3,SrcDB[[#This Row],[Objednavatel]],"Ostatné")</f>
        <v>Ostatné</v>
      </c>
      <c r="AN21" s="17" t="str">
        <f>IF(SrcDB[[#This Row],[Pocet zmluv dodavatela]]&gt;3,SrcDB[[#This Row],[Dodavatel]],"Ostatné")</f>
        <v>Asseco Central Europe, a.s.</v>
      </c>
    </row>
    <row r="22" spans="1:40" x14ac:dyDescent="0.3">
      <c r="A22" s="2" t="s">
        <v>81</v>
      </c>
      <c r="B22" s="2">
        <v>4394142</v>
      </c>
      <c r="C22" s="3" t="str">
        <f t="shared" si="0"/>
        <v>Áno</v>
      </c>
      <c r="D22" s="3" t="str">
        <f t="shared" si="1"/>
        <v>Nie</v>
      </c>
      <c r="E22" s="3" t="s">
        <v>49</v>
      </c>
      <c r="F22" s="3" t="s">
        <v>48</v>
      </c>
      <c r="G22" s="2" t="str">
        <f t="shared" si="2"/>
        <v>Veľké zmluvy</v>
      </c>
      <c r="H22" s="5" t="s">
        <v>82</v>
      </c>
      <c r="I22" s="2" t="s">
        <v>83</v>
      </c>
      <c r="J22" s="2" t="s">
        <v>84</v>
      </c>
      <c r="K22" s="5">
        <v>35760419</v>
      </c>
      <c r="L22" s="2" t="s">
        <v>85</v>
      </c>
      <c r="M22" s="2" t="s">
        <v>86</v>
      </c>
      <c r="N22" s="6">
        <v>43844</v>
      </c>
      <c r="O22" s="4">
        <v>16667892</v>
      </c>
      <c r="P22" s="2">
        <v>114571</v>
      </c>
      <c r="Q22" s="2" t="s">
        <v>87</v>
      </c>
      <c r="R22" s="2" t="s">
        <v>88</v>
      </c>
      <c r="S22" s="2" t="s">
        <v>100</v>
      </c>
      <c r="T22" s="2" t="s">
        <v>101</v>
      </c>
      <c r="W22" s="4">
        <v>570</v>
      </c>
      <c r="X22" s="4">
        <v>684</v>
      </c>
      <c r="Y22" s="4">
        <f t="shared" ref="Y22" si="24">INDEX(InternalRates,MATCH($S22,InternalRates01,FALSE),2)</f>
        <v>278.98333333333335</v>
      </c>
      <c r="Z22" s="3" t="str">
        <f t="shared" si="5"/>
        <v>Nie</v>
      </c>
      <c r="AA22" s="3" t="str">
        <f t="shared" si="6"/>
        <v>ZoD</v>
      </c>
      <c r="AB22" s="4">
        <v>200</v>
      </c>
      <c r="AD22" s="3" t="s">
        <v>48</v>
      </c>
      <c r="AE22" s="6">
        <v>44419</v>
      </c>
      <c r="AF22" s="3" t="s">
        <v>59</v>
      </c>
      <c r="AG22" s="3" t="s">
        <v>48</v>
      </c>
      <c r="AH22" s="3">
        <f>YEAR(SrcDB[[#This Row],[Datum_zverejnenia]])</f>
        <v>2020</v>
      </c>
      <c r="AI22" s="3" cm="1">
        <f t="array" ref="AI22">COUNT(_xlfn.UNIQUE(_xlfn._xlws.FILTER(SrcDB[ID],SrcDB[Objednavatel_ICO]=$H22)))</f>
        <v>2</v>
      </c>
      <c r="AJ22" s="3" cm="1">
        <f t="array" ref="AJ22">COUNT(_xlfn.UNIQUE(_xlfn._xlws.FILTER(SrcDB[ID],SrcDB[Dodavatel_ICO]=$K22)))</f>
        <v>34</v>
      </c>
      <c r="AK22" s="3">
        <f t="shared" si="8"/>
        <v>0</v>
      </c>
      <c r="AL22" s="3">
        <f t="shared" si="9"/>
        <v>0</v>
      </c>
      <c r="AM22" s="17" t="str">
        <f>IF(SrcDB[[#This Row],[Pocet zmluv objednavatela]]&gt;3,SrcDB[[#This Row],[Objednavatel]],"Ostatné")</f>
        <v>Ostatné</v>
      </c>
      <c r="AN22" s="17" t="str">
        <f>IF(SrcDB[[#This Row],[Pocet zmluv dodavatela]]&gt;3,SrcDB[[#This Row],[Dodavatel]],"Ostatné")</f>
        <v>Asseco Central Europe, a.s.</v>
      </c>
    </row>
    <row r="23" spans="1:40" x14ac:dyDescent="0.3">
      <c r="A23" s="2" t="s">
        <v>81</v>
      </c>
      <c r="B23" s="2">
        <v>4394142</v>
      </c>
      <c r="C23" s="3" t="str">
        <f t="shared" si="0"/>
        <v>Áno</v>
      </c>
      <c r="D23" s="3" t="str">
        <f t="shared" si="1"/>
        <v>Nie</v>
      </c>
      <c r="E23" s="3" t="s">
        <v>49</v>
      </c>
      <c r="F23" s="3" t="s">
        <v>48</v>
      </c>
      <c r="G23" s="2" t="str">
        <f t="shared" si="2"/>
        <v>Veľké zmluvy</v>
      </c>
      <c r="H23" s="5" t="s">
        <v>82</v>
      </c>
      <c r="I23" s="2" t="s">
        <v>83</v>
      </c>
      <c r="J23" s="2" t="s">
        <v>84</v>
      </c>
      <c r="K23" s="5">
        <v>35760419</v>
      </c>
      <c r="L23" s="2" t="s">
        <v>85</v>
      </c>
      <c r="M23" s="2" t="s">
        <v>86</v>
      </c>
      <c r="N23" s="6">
        <v>43844</v>
      </c>
      <c r="O23" s="4">
        <v>16667892</v>
      </c>
      <c r="P23" s="2">
        <v>114571</v>
      </c>
      <c r="Q23" s="2" t="s">
        <v>87</v>
      </c>
      <c r="R23" s="2" t="s">
        <v>88</v>
      </c>
      <c r="S23" s="2" t="s">
        <v>102</v>
      </c>
      <c r="T23" s="2" t="s">
        <v>101</v>
      </c>
      <c r="W23" s="4">
        <v>570</v>
      </c>
      <c r="X23" s="4">
        <v>684</v>
      </c>
      <c r="Y23" s="4">
        <f t="shared" ref="Y23" si="25">INDEX(InternalRates,MATCH($S23,InternalRates01,FALSE),2)</f>
        <v>278.98333333333335</v>
      </c>
      <c r="Z23" s="3" t="str">
        <f t="shared" si="5"/>
        <v>Nie</v>
      </c>
      <c r="AA23" s="3" t="str">
        <f t="shared" si="6"/>
        <v>ZoD</v>
      </c>
      <c r="AB23" s="4">
        <v>200</v>
      </c>
      <c r="AD23" s="3" t="s">
        <v>48</v>
      </c>
      <c r="AE23" s="6">
        <v>44419</v>
      </c>
      <c r="AF23" s="3" t="s">
        <v>59</v>
      </c>
      <c r="AG23" s="3" t="s">
        <v>48</v>
      </c>
      <c r="AH23" s="3">
        <f>YEAR(SrcDB[[#This Row],[Datum_zverejnenia]])</f>
        <v>2020</v>
      </c>
      <c r="AI23" s="3" cm="1">
        <f t="array" ref="AI23">COUNT(_xlfn.UNIQUE(_xlfn._xlws.FILTER(SrcDB[ID],SrcDB[Objednavatel_ICO]=$H23)))</f>
        <v>2</v>
      </c>
      <c r="AJ23" s="3" cm="1">
        <f t="array" ref="AJ23">COUNT(_xlfn.UNIQUE(_xlfn._xlws.FILTER(SrcDB[ID],SrcDB[Dodavatel_ICO]=$K23)))</f>
        <v>34</v>
      </c>
      <c r="AK23" s="3">
        <f t="shared" si="8"/>
        <v>0</v>
      </c>
      <c r="AL23" s="3">
        <f t="shared" si="9"/>
        <v>0</v>
      </c>
      <c r="AM23" s="17" t="str">
        <f>IF(SrcDB[[#This Row],[Pocet zmluv objednavatela]]&gt;3,SrcDB[[#This Row],[Objednavatel]],"Ostatné")</f>
        <v>Ostatné</v>
      </c>
      <c r="AN23" s="17" t="str">
        <f>IF(SrcDB[[#This Row],[Pocet zmluv dodavatela]]&gt;3,SrcDB[[#This Row],[Dodavatel]],"Ostatné")</f>
        <v>Asseco Central Europe, a.s.</v>
      </c>
    </row>
    <row r="24" spans="1:40" x14ac:dyDescent="0.3">
      <c r="A24" s="2" t="s">
        <v>103</v>
      </c>
      <c r="B24" s="2">
        <v>4439583</v>
      </c>
      <c r="C24" s="3" t="str">
        <f t="shared" si="0"/>
        <v>Nie</v>
      </c>
      <c r="D24" s="3" t="str">
        <f t="shared" si="1"/>
        <v>Áno</v>
      </c>
      <c r="E24" s="3" t="s">
        <v>48</v>
      </c>
      <c r="F24" s="3" t="s">
        <v>49</v>
      </c>
      <c r="G24" s="2" t="str">
        <f t="shared" si="2"/>
        <v>Malé zmluvy</v>
      </c>
      <c r="H24" s="5">
        <v>36631124</v>
      </c>
      <c r="I24" s="2" t="s">
        <v>104</v>
      </c>
      <c r="J24" s="2" t="s">
        <v>105</v>
      </c>
      <c r="K24" s="5">
        <v>31625410</v>
      </c>
      <c r="L24" s="2" t="s">
        <v>106</v>
      </c>
      <c r="M24" s="2" t="s">
        <v>107</v>
      </c>
      <c r="N24" s="6">
        <v>43872.462731481479</v>
      </c>
      <c r="O24" s="4">
        <v>411000</v>
      </c>
      <c r="P24" s="2">
        <v>114573</v>
      </c>
      <c r="Q24" s="2" t="s">
        <v>108</v>
      </c>
      <c r="R24" s="2" t="s">
        <v>109</v>
      </c>
      <c r="S24" s="2" t="s">
        <v>71</v>
      </c>
      <c r="T24" s="2" t="s">
        <v>71</v>
      </c>
      <c r="W24" s="4">
        <v>800</v>
      </c>
      <c r="X24" s="4">
        <v>960</v>
      </c>
      <c r="Y24" s="4">
        <f t="shared" ref="Y24" si="26">INDEX(InternalRates,MATCH($S24,InternalRates01,FALSE),2)</f>
        <v>354.0333333333333</v>
      </c>
      <c r="Z24" s="3" t="str">
        <f t="shared" si="5"/>
        <v>Nie</v>
      </c>
      <c r="AA24" s="3" t="str">
        <f t="shared" si="6"/>
        <v>SLA</v>
      </c>
      <c r="AD24" s="3" t="s">
        <v>48</v>
      </c>
      <c r="AE24" s="6">
        <v>44508</v>
      </c>
      <c r="AF24" s="3" t="s">
        <v>59</v>
      </c>
      <c r="AG24" s="3" t="s">
        <v>60</v>
      </c>
      <c r="AH24" s="3">
        <f>YEAR(SrcDB[[#This Row],[Datum_zverejnenia]])</f>
        <v>2020</v>
      </c>
      <c r="AI24" s="3" cm="1">
        <f t="array" ref="AI24">COUNT(_xlfn.UNIQUE(_xlfn._xlws.FILTER(SrcDB[ID],SrcDB[Objednavatel_ICO]=$H24)))</f>
        <v>17</v>
      </c>
      <c r="AJ24" s="3" cm="1">
        <f t="array" ref="AJ24">COUNT(_xlfn.UNIQUE(_xlfn._xlws.FILTER(SrcDB[ID],SrcDB[Dodavatel_ICO]=$K24)))</f>
        <v>2</v>
      </c>
      <c r="AK24" s="3">
        <f t="shared" si="8"/>
        <v>1</v>
      </c>
      <c r="AL24" s="3">
        <f t="shared" si="9"/>
        <v>1</v>
      </c>
      <c r="AM24" s="17" t="str">
        <f>IF(SrcDB[[#This Row],[Pocet zmluv objednavatela]]&gt;3,SrcDB[[#This Row],[Objednavatel]],"Ostatné")</f>
        <v>Slovenská pošta, a. s.</v>
      </c>
      <c r="AN24" s="17" t="str">
        <f>IF(SrcDB[[#This Row],[Pocet zmluv dodavatela]]&gt;3,SrcDB[[#This Row],[Dodavatel]],"Ostatné")</f>
        <v>Ostatné</v>
      </c>
    </row>
    <row r="25" spans="1:40" x14ac:dyDescent="0.3">
      <c r="A25" s="2" t="s">
        <v>103</v>
      </c>
      <c r="B25" s="2">
        <v>4439583</v>
      </c>
      <c r="C25" s="3" t="str">
        <f t="shared" si="0"/>
        <v>Nie</v>
      </c>
      <c r="D25" s="3" t="str">
        <f t="shared" si="1"/>
        <v>Áno</v>
      </c>
      <c r="E25" s="3" t="s">
        <v>48</v>
      </c>
      <c r="F25" s="3" t="s">
        <v>49</v>
      </c>
      <c r="G25" s="2" t="str">
        <f t="shared" si="2"/>
        <v>Malé zmluvy</v>
      </c>
      <c r="H25" s="5">
        <v>36631124</v>
      </c>
      <c r="I25" s="2" t="s">
        <v>104</v>
      </c>
      <c r="J25" s="2" t="s">
        <v>105</v>
      </c>
      <c r="K25" s="5">
        <v>31625410</v>
      </c>
      <c r="L25" s="2" t="s">
        <v>106</v>
      </c>
      <c r="M25" s="2" t="s">
        <v>107</v>
      </c>
      <c r="N25" s="6">
        <v>43872.462731481479</v>
      </c>
      <c r="O25" s="4">
        <v>411000</v>
      </c>
      <c r="P25" s="2">
        <v>114573</v>
      </c>
      <c r="Q25" s="2" t="s">
        <v>108</v>
      </c>
      <c r="R25" s="2" t="s">
        <v>109</v>
      </c>
      <c r="S25" s="2" t="s">
        <v>69</v>
      </c>
      <c r="T25" s="2" t="s">
        <v>69</v>
      </c>
      <c r="W25" s="4">
        <v>750</v>
      </c>
      <c r="X25" s="4">
        <v>900</v>
      </c>
      <c r="Y25" s="4">
        <f t="shared" ref="Y25" si="27">INDEX(InternalRates,MATCH($S25,InternalRates01,FALSE),2)</f>
        <v>278.98333333333335</v>
      </c>
      <c r="Z25" s="3" t="str">
        <f t="shared" si="5"/>
        <v>Nie</v>
      </c>
      <c r="AA25" s="3" t="str">
        <f t="shared" si="6"/>
        <v>SLA</v>
      </c>
      <c r="AD25" s="3" t="s">
        <v>48</v>
      </c>
      <c r="AE25" s="6">
        <v>44508</v>
      </c>
      <c r="AF25" s="3" t="s">
        <v>59</v>
      </c>
      <c r="AG25" s="3" t="s">
        <v>60</v>
      </c>
      <c r="AH25" s="3">
        <f>YEAR(SrcDB[[#This Row],[Datum_zverejnenia]])</f>
        <v>2020</v>
      </c>
      <c r="AI25" s="3" cm="1">
        <f t="array" ref="AI25">COUNT(_xlfn.UNIQUE(_xlfn._xlws.FILTER(SrcDB[ID],SrcDB[Objednavatel_ICO]=$H25)))</f>
        <v>17</v>
      </c>
      <c r="AJ25" s="3" cm="1">
        <f t="array" ref="AJ25">COUNT(_xlfn.UNIQUE(_xlfn._xlws.FILTER(SrcDB[ID],SrcDB[Dodavatel_ICO]=$K25)))</f>
        <v>2</v>
      </c>
      <c r="AK25" s="3">
        <f t="shared" si="8"/>
        <v>0</v>
      </c>
      <c r="AL25" s="3">
        <f t="shared" si="9"/>
        <v>0</v>
      </c>
      <c r="AM25" s="17" t="str">
        <f>IF(SrcDB[[#This Row],[Pocet zmluv objednavatela]]&gt;3,SrcDB[[#This Row],[Objednavatel]],"Ostatné")</f>
        <v>Slovenská pošta, a. s.</v>
      </c>
      <c r="AN25" s="17" t="str">
        <f>IF(SrcDB[[#This Row],[Pocet zmluv dodavatela]]&gt;3,SrcDB[[#This Row],[Dodavatel]],"Ostatné")</f>
        <v>Ostatné</v>
      </c>
    </row>
    <row r="26" spans="1:40" x14ac:dyDescent="0.3">
      <c r="A26" s="2" t="s">
        <v>103</v>
      </c>
      <c r="B26" s="2">
        <v>4439583</v>
      </c>
      <c r="C26" s="3" t="str">
        <f t="shared" si="0"/>
        <v>Nie</v>
      </c>
      <c r="D26" s="3" t="str">
        <f t="shared" si="1"/>
        <v>Áno</v>
      </c>
      <c r="E26" s="3" t="s">
        <v>48</v>
      </c>
      <c r="F26" s="3" t="s">
        <v>49</v>
      </c>
      <c r="G26" s="2" t="str">
        <f t="shared" si="2"/>
        <v>Malé zmluvy</v>
      </c>
      <c r="H26" s="5">
        <v>36631124</v>
      </c>
      <c r="I26" s="2" t="s">
        <v>104</v>
      </c>
      <c r="J26" s="2" t="s">
        <v>105</v>
      </c>
      <c r="K26" s="5">
        <v>31625410</v>
      </c>
      <c r="L26" s="2" t="s">
        <v>106</v>
      </c>
      <c r="M26" s="2" t="s">
        <v>107</v>
      </c>
      <c r="N26" s="6">
        <v>43872.462731481479</v>
      </c>
      <c r="O26" s="4">
        <v>411000</v>
      </c>
      <c r="P26" s="2">
        <v>114573</v>
      </c>
      <c r="Q26" s="2" t="s">
        <v>108</v>
      </c>
      <c r="R26" s="2" t="s">
        <v>109</v>
      </c>
      <c r="S26" s="2" t="s">
        <v>102</v>
      </c>
      <c r="T26" s="2" t="s">
        <v>110</v>
      </c>
      <c r="W26" s="4">
        <v>600</v>
      </c>
      <c r="X26" s="4">
        <v>720</v>
      </c>
      <c r="Y26" s="4">
        <f t="shared" ref="Y26" si="28">INDEX(InternalRates,MATCH($S26,InternalRates01,FALSE),2)</f>
        <v>278.98333333333335</v>
      </c>
      <c r="Z26" s="3" t="str">
        <f t="shared" si="5"/>
        <v>Nie</v>
      </c>
      <c r="AA26" s="3" t="str">
        <f t="shared" si="6"/>
        <v>SLA</v>
      </c>
      <c r="AD26" s="3" t="s">
        <v>48</v>
      </c>
      <c r="AE26" s="6">
        <v>44508</v>
      </c>
      <c r="AF26" s="3" t="s">
        <v>59</v>
      </c>
      <c r="AG26" s="3" t="s">
        <v>60</v>
      </c>
      <c r="AH26" s="3">
        <f>YEAR(SrcDB[[#This Row],[Datum_zverejnenia]])</f>
        <v>2020</v>
      </c>
      <c r="AI26" s="3" cm="1">
        <f t="array" ref="AI26">COUNT(_xlfn.UNIQUE(_xlfn._xlws.FILTER(SrcDB[ID],SrcDB[Objednavatel_ICO]=$H26)))</f>
        <v>17</v>
      </c>
      <c r="AJ26" s="3" cm="1">
        <f t="array" ref="AJ26">COUNT(_xlfn.UNIQUE(_xlfn._xlws.FILTER(SrcDB[ID],SrcDB[Dodavatel_ICO]=$K26)))</f>
        <v>2</v>
      </c>
      <c r="AK26" s="3">
        <f t="shared" si="8"/>
        <v>0</v>
      </c>
      <c r="AL26" s="3">
        <f t="shared" si="9"/>
        <v>0</v>
      </c>
      <c r="AM26" s="17" t="str">
        <f>IF(SrcDB[[#This Row],[Pocet zmluv objednavatela]]&gt;3,SrcDB[[#This Row],[Objednavatel]],"Ostatné")</f>
        <v>Slovenská pošta, a. s.</v>
      </c>
      <c r="AN26" s="17" t="str">
        <f>IF(SrcDB[[#This Row],[Pocet zmluv dodavatela]]&gt;3,SrcDB[[#This Row],[Dodavatel]],"Ostatné")</f>
        <v>Ostatné</v>
      </c>
    </row>
    <row r="27" spans="1:40" x14ac:dyDescent="0.3">
      <c r="A27" s="2" t="s">
        <v>103</v>
      </c>
      <c r="B27" s="2">
        <v>4439583</v>
      </c>
      <c r="C27" s="3" t="str">
        <f t="shared" si="0"/>
        <v>Nie</v>
      </c>
      <c r="D27" s="3" t="str">
        <f t="shared" si="1"/>
        <v>Áno</v>
      </c>
      <c r="E27" s="3" t="s">
        <v>48</v>
      </c>
      <c r="F27" s="3" t="s">
        <v>49</v>
      </c>
      <c r="G27" s="2" t="str">
        <f t="shared" si="2"/>
        <v>Malé zmluvy</v>
      </c>
      <c r="H27" s="5">
        <v>36631124</v>
      </c>
      <c r="I27" s="2" t="s">
        <v>104</v>
      </c>
      <c r="J27" s="2" t="s">
        <v>105</v>
      </c>
      <c r="K27" s="5">
        <v>31625410</v>
      </c>
      <c r="L27" s="2" t="s">
        <v>106</v>
      </c>
      <c r="M27" s="2" t="s">
        <v>107</v>
      </c>
      <c r="N27" s="6">
        <v>43872.462731481479</v>
      </c>
      <c r="O27" s="4">
        <v>411000</v>
      </c>
      <c r="P27" s="2">
        <v>114573</v>
      </c>
      <c r="Q27" s="2" t="s">
        <v>108</v>
      </c>
      <c r="R27" s="2" t="s">
        <v>109</v>
      </c>
      <c r="S27" s="2" t="s">
        <v>102</v>
      </c>
      <c r="T27" s="2" t="s">
        <v>111</v>
      </c>
      <c r="W27" s="4">
        <v>600</v>
      </c>
      <c r="X27" s="4">
        <v>720</v>
      </c>
      <c r="Y27" s="4">
        <f t="shared" ref="Y27" si="29">INDEX(InternalRates,MATCH($S27,InternalRates01,FALSE),2)</f>
        <v>278.98333333333335</v>
      </c>
      <c r="Z27" s="3" t="str">
        <f t="shared" si="5"/>
        <v>Nie</v>
      </c>
      <c r="AA27" s="3" t="str">
        <f t="shared" si="6"/>
        <v>SLA</v>
      </c>
      <c r="AD27" s="3" t="s">
        <v>48</v>
      </c>
      <c r="AE27" s="6">
        <v>44508</v>
      </c>
      <c r="AF27" s="3" t="s">
        <v>59</v>
      </c>
      <c r="AG27" s="3" t="s">
        <v>60</v>
      </c>
      <c r="AH27" s="3">
        <f>YEAR(SrcDB[[#This Row],[Datum_zverejnenia]])</f>
        <v>2020</v>
      </c>
      <c r="AI27" s="3" cm="1">
        <f t="array" ref="AI27">COUNT(_xlfn.UNIQUE(_xlfn._xlws.FILTER(SrcDB[ID],SrcDB[Objednavatel_ICO]=$H27)))</f>
        <v>17</v>
      </c>
      <c r="AJ27" s="3" cm="1">
        <f t="array" ref="AJ27">COUNT(_xlfn.UNIQUE(_xlfn._xlws.FILTER(SrcDB[ID],SrcDB[Dodavatel_ICO]=$K27)))</f>
        <v>2</v>
      </c>
      <c r="AK27" s="3">
        <f t="shared" si="8"/>
        <v>0</v>
      </c>
      <c r="AL27" s="3">
        <f t="shared" si="9"/>
        <v>0</v>
      </c>
      <c r="AM27" s="17" t="str">
        <f>IF(SrcDB[[#This Row],[Pocet zmluv objednavatela]]&gt;3,SrcDB[[#This Row],[Objednavatel]],"Ostatné")</f>
        <v>Slovenská pošta, a. s.</v>
      </c>
      <c r="AN27" s="17" t="str">
        <f>IF(SrcDB[[#This Row],[Pocet zmluv dodavatela]]&gt;3,SrcDB[[#This Row],[Dodavatel]],"Ostatné")</f>
        <v>Ostatné</v>
      </c>
    </row>
    <row r="28" spans="1:40" x14ac:dyDescent="0.3">
      <c r="A28" s="2" t="s">
        <v>103</v>
      </c>
      <c r="B28" s="2">
        <v>4439583</v>
      </c>
      <c r="C28" s="3" t="str">
        <f t="shared" si="0"/>
        <v>Nie</v>
      </c>
      <c r="D28" s="3" t="str">
        <f t="shared" si="1"/>
        <v>Áno</v>
      </c>
      <c r="E28" s="3" t="s">
        <v>48</v>
      </c>
      <c r="F28" s="3" t="s">
        <v>49</v>
      </c>
      <c r="G28" s="2" t="str">
        <f t="shared" si="2"/>
        <v>Malé zmluvy</v>
      </c>
      <c r="H28" s="5">
        <v>36631124</v>
      </c>
      <c r="I28" s="2" t="s">
        <v>104</v>
      </c>
      <c r="J28" s="2" t="s">
        <v>105</v>
      </c>
      <c r="K28" s="5">
        <v>31625410</v>
      </c>
      <c r="L28" s="2" t="s">
        <v>106</v>
      </c>
      <c r="M28" s="2" t="s">
        <v>107</v>
      </c>
      <c r="N28" s="6">
        <v>43872.462731481479</v>
      </c>
      <c r="O28" s="4">
        <v>411000</v>
      </c>
      <c r="P28" s="2">
        <v>114573</v>
      </c>
      <c r="Q28" s="2" t="s">
        <v>108</v>
      </c>
      <c r="R28" s="2" t="s">
        <v>109</v>
      </c>
      <c r="S28" s="2" t="s">
        <v>73</v>
      </c>
      <c r="T28" s="2" t="s">
        <v>73</v>
      </c>
      <c r="W28" s="4">
        <v>750</v>
      </c>
      <c r="X28" s="4">
        <v>900</v>
      </c>
      <c r="Y28" s="4">
        <f t="shared" ref="Y28" si="30">INDEX(InternalRates,MATCH($S28,InternalRates01,FALSE),2)</f>
        <v>278.98333333333335</v>
      </c>
      <c r="Z28" s="3" t="str">
        <f t="shared" si="5"/>
        <v>Nie</v>
      </c>
      <c r="AA28" s="3" t="str">
        <f t="shared" si="6"/>
        <v>SLA</v>
      </c>
      <c r="AD28" s="3" t="s">
        <v>48</v>
      </c>
      <c r="AE28" s="6">
        <v>44508</v>
      </c>
      <c r="AF28" s="3" t="s">
        <v>59</v>
      </c>
      <c r="AG28" s="3" t="s">
        <v>60</v>
      </c>
      <c r="AH28" s="3">
        <f>YEAR(SrcDB[[#This Row],[Datum_zverejnenia]])</f>
        <v>2020</v>
      </c>
      <c r="AI28" s="3" cm="1">
        <f t="array" ref="AI28">COUNT(_xlfn.UNIQUE(_xlfn._xlws.FILTER(SrcDB[ID],SrcDB[Objednavatel_ICO]=$H28)))</f>
        <v>17</v>
      </c>
      <c r="AJ28" s="3" cm="1">
        <f t="array" ref="AJ28">COUNT(_xlfn.UNIQUE(_xlfn._xlws.FILTER(SrcDB[ID],SrcDB[Dodavatel_ICO]=$K28)))</f>
        <v>2</v>
      </c>
      <c r="AK28" s="3">
        <f t="shared" si="8"/>
        <v>0</v>
      </c>
      <c r="AL28" s="3">
        <f t="shared" si="9"/>
        <v>0</v>
      </c>
      <c r="AM28" s="17" t="str">
        <f>IF(SrcDB[[#This Row],[Pocet zmluv objednavatela]]&gt;3,SrcDB[[#This Row],[Objednavatel]],"Ostatné")</f>
        <v>Slovenská pošta, a. s.</v>
      </c>
      <c r="AN28" s="17" t="str">
        <f>IF(SrcDB[[#This Row],[Pocet zmluv dodavatela]]&gt;3,SrcDB[[#This Row],[Dodavatel]],"Ostatné")</f>
        <v>Ostatné</v>
      </c>
    </row>
    <row r="29" spans="1:40" x14ac:dyDescent="0.3">
      <c r="A29" s="2" t="s">
        <v>103</v>
      </c>
      <c r="B29" s="2">
        <v>4439583</v>
      </c>
      <c r="C29" s="3" t="str">
        <f t="shared" si="0"/>
        <v>Nie</v>
      </c>
      <c r="D29" s="3" t="str">
        <f t="shared" si="1"/>
        <v>Áno</v>
      </c>
      <c r="E29" s="3" t="s">
        <v>48</v>
      </c>
      <c r="F29" s="3" t="s">
        <v>49</v>
      </c>
      <c r="G29" s="2" t="str">
        <f t="shared" si="2"/>
        <v>Malé zmluvy</v>
      </c>
      <c r="H29" s="5">
        <v>36631124</v>
      </c>
      <c r="I29" s="2" t="s">
        <v>104</v>
      </c>
      <c r="J29" s="2" t="s">
        <v>105</v>
      </c>
      <c r="K29" s="5">
        <v>31625410</v>
      </c>
      <c r="L29" s="2" t="s">
        <v>106</v>
      </c>
      <c r="M29" s="2" t="s">
        <v>107</v>
      </c>
      <c r="N29" s="6">
        <v>43872.462731481479</v>
      </c>
      <c r="O29" s="4">
        <v>411000</v>
      </c>
      <c r="P29" s="2">
        <v>114573</v>
      </c>
      <c r="Q29" s="2" t="s">
        <v>108</v>
      </c>
      <c r="R29" s="2" t="s">
        <v>109</v>
      </c>
      <c r="S29" s="2" t="s">
        <v>56</v>
      </c>
      <c r="T29" s="2" t="s">
        <v>112</v>
      </c>
      <c r="U29" s="2" t="s">
        <v>113</v>
      </c>
      <c r="W29" s="4">
        <v>750</v>
      </c>
      <c r="X29" s="4">
        <v>900</v>
      </c>
      <c r="Y29" s="4">
        <f t="shared" ref="Y29" si="31">INDEX(InternalRates,MATCH($S29,InternalRates01,FALSE),2)</f>
        <v>278.98333333333335</v>
      </c>
      <c r="Z29" s="3" t="str">
        <f t="shared" si="5"/>
        <v>Nie</v>
      </c>
      <c r="AA29" s="3" t="str">
        <f t="shared" si="6"/>
        <v>SLA</v>
      </c>
      <c r="AD29" s="3" t="s">
        <v>48</v>
      </c>
      <c r="AE29" s="6">
        <v>44508</v>
      </c>
      <c r="AF29" s="3" t="s">
        <v>59</v>
      </c>
      <c r="AG29" s="3" t="s">
        <v>60</v>
      </c>
      <c r="AH29" s="3">
        <f>YEAR(SrcDB[[#This Row],[Datum_zverejnenia]])</f>
        <v>2020</v>
      </c>
      <c r="AI29" s="3" cm="1">
        <f t="array" ref="AI29">COUNT(_xlfn.UNIQUE(_xlfn._xlws.FILTER(SrcDB[ID],SrcDB[Objednavatel_ICO]=$H29)))</f>
        <v>17</v>
      </c>
      <c r="AJ29" s="3" cm="1">
        <f t="array" ref="AJ29">COUNT(_xlfn.UNIQUE(_xlfn._xlws.FILTER(SrcDB[ID],SrcDB[Dodavatel_ICO]=$K29)))</f>
        <v>2</v>
      </c>
      <c r="AK29" s="3">
        <f t="shared" si="8"/>
        <v>0</v>
      </c>
      <c r="AL29" s="3">
        <f t="shared" si="9"/>
        <v>0</v>
      </c>
      <c r="AM29" s="17" t="str">
        <f>IF(SrcDB[[#This Row],[Pocet zmluv objednavatela]]&gt;3,SrcDB[[#This Row],[Objednavatel]],"Ostatné")</f>
        <v>Slovenská pošta, a. s.</v>
      </c>
      <c r="AN29" s="17" t="str">
        <f>IF(SrcDB[[#This Row],[Pocet zmluv dodavatela]]&gt;3,SrcDB[[#This Row],[Dodavatel]],"Ostatné")</f>
        <v>Ostatné</v>
      </c>
    </row>
    <row r="30" spans="1:40" x14ac:dyDescent="0.3">
      <c r="A30" s="2" t="s">
        <v>103</v>
      </c>
      <c r="B30" s="2">
        <v>4439583</v>
      </c>
      <c r="C30" s="3" t="str">
        <f t="shared" si="0"/>
        <v>Nie</v>
      </c>
      <c r="D30" s="3" t="str">
        <f t="shared" si="1"/>
        <v>Áno</v>
      </c>
      <c r="E30" s="3" t="s">
        <v>48</v>
      </c>
      <c r="F30" s="3" t="s">
        <v>49</v>
      </c>
      <c r="G30" s="2" t="str">
        <f t="shared" si="2"/>
        <v>Malé zmluvy</v>
      </c>
      <c r="H30" s="5">
        <v>36631124</v>
      </c>
      <c r="I30" s="2" t="s">
        <v>104</v>
      </c>
      <c r="J30" s="2" t="s">
        <v>105</v>
      </c>
      <c r="K30" s="5">
        <v>31625410</v>
      </c>
      <c r="L30" s="2" t="s">
        <v>106</v>
      </c>
      <c r="M30" s="2" t="s">
        <v>107</v>
      </c>
      <c r="N30" s="6">
        <v>43872.462731481479</v>
      </c>
      <c r="O30" s="4">
        <v>411000</v>
      </c>
      <c r="P30" s="2">
        <v>114573</v>
      </c>
      <c r="Q30" s="2" t="s">
        <v>108</v>
      </c>
      <c r="R30" s="2" t="s">
        <v>109</v>
      </c>
      <c r="S30" s="2" t="s">
        <v>77</v>
      </c>
      <c r="T30" s="2" t="s">
        <v>77</v>
      </c>
      <c r="W30" s="4">
        <v>750</v>
      </c>
      <c r="X30" s="4">
        <v>900</v>
      </c>
      <c r="Y30" s="4">
        <f t="shared" ref="Y30" si="32">INDEX(InternalRates,MATCH($S30,InternalRates01,FALSE),2)</f>
        <v>278.98333333333335</v>
      </c>
      <c r="Z30" s="3" t="str">
        <f t="shared" si="5"/>
        <v>Nie</v>
      </c>
      <c r="AA30" s="3" t="str">
        <f t="shared" si="6"/>
        <v>SLA</v>
      </c>
      <c r="AD30" s="3" t="s">
        <v>48</v>
      </c>
      <c r="AE30" s="6">
        <v>44508</v>
      </c>
      <c r="AF30" s="3" t="s">
        <v>59</v>
      </c>
      <c r="AG30" s="3" t="s">
        <v>60</v>
      </c>
      <c r="AH30" s="3">
        <f>YEAR(SrcDB[[#This Row],[Datum_zverejnenia]])</f>
        <v>2020</v>
      </c>
      <c r="AI30" s="3" cm="1">
        <f t="array" ref="AI30">COUNT(_xlfn.UNIQUE(_xlfn._xlws.FILTER(SrcDB[ID],SrcDB[Objednavatel_ICO]=$H30)))</f>
        <v>17</v>
      </c>
      <c r="AJ30" s="3" cm="1">
        <f t="array" ref="AJ30">COUNT(_xlfn.UNIQUE(_xlfn._xlws.FILTER(SrcDB[ID],SrcDB[Dodavatel_ICO]=$K30)))</f>
        <v>2</v>
      </c>
      <c r="AK30" s="3">
        <f t="shared" si="8"/>
        <v>0</v>
      </c>
      <c r="AL30" s="3">
        <f t="shared" si="9"/>
        <v>0</v>
      </c>
      <c r="AM30" s="17" t="str">
        <f>IF(SrcDB[[#This Row],[Pocet zmluv objednavatela]]&gt;3,SrcDB[[#This Row],[Objednavatel]],"Ostatné")</f>
        <v>Slovenská pošta, a. s.</v>
      </c>
      <c r="AN30" s="17" t="str">
        <f>IF(SrcDB[[#This Row],[Pocet zmluv dodavatela]]&gt;3,SrcDB[[#This Row],[Dodavatel]],"Ostatné")</f>
        <v>Ostatné</v>
      </c>
    </row>
    <row r="31" spans="1:40" x14ac:dyDescent="0.3">
      <c r="A31" s="2" t="s">
        <v>103</v>
      </c>
      <c r="B31" s="2">
        <v>4439583</v>
      </c>
      <c r="C31" s="3" t="str">
        <f t="shared" si="0"/>
        <v>Nie</v>
      </c>
      <c r="D31" s="3" t="str">
        <f t="shared" si="1"/>
        <v>Áno</v>
      </c>
      <c r="E31" s="3" t="s">
        <v>48</v>
      </c>
      <c r="F31" s="3" t="s">
        <v>49</v>
      </c>
      <c r="G31" s="2" t="str">
        <f t="shared" si="2"/>
        <v>Malé zmluvy</v>
      </c>
      <c r="H31" s="5">
        <v>36631124</v>
      </c>
      <c r="I31" s="2" t="s">
        <v>104</v>
      </c>
      <c r="J31" s="2" t="s">
        <v>105</v>
      </c>
      <c r="K31" s="5">
        <v>31625410</v>
      </c>
      <c r="L31" s="2" t="s">
        <v>106</v>
      </c>
      <c r="M31" s="2" t="s">
        <v>107</v>
      </c>
      <c r="N31" s="6">
        <v>43872.462731481479</v>
      </c>
      <c r="O31" s="4">
        <v>411000</v>
      </c>
      <c r="P31" s="2">
        <v>114573</v>
      </c>
      <c r="Q31" s="2" t="s">
        <v>108</v>
      </c>
      <c r="R31" s="2" t="s">
        <v>109</v>
      </c>
      <c r="S31" s="2" t="s">
        <v>98</v>
      </c>
      <c r="T31" s="2" t="s">
        <v>98</v>
      </c>
      <c r="W31" s="4">
        <v>750</v>
      </c>
      <c r="X31" s="4">
        <v>900</v>
      </c>
      <c r="Y31" s="4">
        <f t="shared" ref="Y31" si="33">INDEX(InternalRates,MATCH($S31,InternalRates01,FALSE),2)</f>
        <v>278.98333333333335</v>
      </c>
      <c r="Z31" s="3" t="str">
        <f t="shared" si="5"/>
        <v>Nie</v>
      </c>
      <c r="AA31" s="3" t="str">
        <f t="shared" si="6"/>
        <v>SLA</v>
      </c>
      <c r="AD31" s="3" t="s">
        <v>48</v>
      </c>
      <c r="AE31" s="6">
        <v>44508</v>
      </c>
      <c r="AF31" s="3" t="s">
        <v>59</v>
      </c>
      <c r="AG31" s="3" t="s">
        <v>60</v>
      </c>
      <c r="AH31" s="3">
        <f>YEAR(SrcDB[[#This Row],[Datum_zverejnenia]])</f>
        <v>2020</v>
      </c>
      <c r="AI31" s="3" cm="1">
        <f t="array" ref="AI31">COUNT(_xlfn.UNIQUE(_xlfn._xlws.FILTER(SrcDB[ID],SrcDB[Objednavatel_ICO]=$H31)))</f>
        <v>17</v>
      </c>
      <c r="AJ31" s="3" cm="1">
        <f t="array" ref="AJ31">COUNT(_xlfn.UNIQUE(_xlfn._xlws.FILTER(SrcDB[ID],SrcDB[Dodavatel_ICO]=$K31)))</f>
        <v>2</v>
      </c>
      <c r="AK31" s="3">
        <f t="shared" si="8"/>
        <v>0</v>
      </c>
      <c r="AL31" s="3">
        <f t="shared" si="9"/>
        <v>0</v>
      </c>
      <c r="AM31" s="17" t="str">
        <f>IF(SrcDB[[#This Row],[Pocet zmluv objednavatela]]&gt;3,SrcDB[[#This Row],[Objednavatel]],"Ostatné")</f>
        <v>Slovenská pošta, a. s.</v>
      </c>
      <c r="AN31" s="17" t="str">
        <f>IF(SrcDB[[#This Row],[Pocet zmluv dodavatela]]&gt;3,SrcDB[[#This Row],[Dodavatel]],"Ostatné")</f>
        <v>Ostatné</v>
      </c>
    </row>
    <row r="32" spans="1:40" x14ac:dyDescent="0.3">
      <c r="A32" s="2" t="s">
        <v>103</v>
      </c>
      <c r="B32" s="2">
        <v>4439583</v>
      </c>
      <c r="C32" s="3" t="str">
        <f t="shared" si="0"/>
        <v>Nie</v>
      </c>
      <c r="D32" s="3" t="str">
        <f t="shared" si="1"/>
        <v>Áno</v>
      </c>
      <c r="E32" s="3" t="s">
        <v>48</v>
      </c>
      <c r="F32" s="3" t="s">
        <v>49</v>
      </c>
      <c r="G32" s="2" t="str">
        <f t="shared" si="2"/>
        <v>Malé zmluvy</v>
      </c>
      <c r="H32" s="5">
        <v>36631124</v>
      </c>
      <c r="I32" s="2" t="s">
        <v>104</v>
      </c>
      <c r="J32" s="2" t="s">
        <v>105</v>
      </c>
      <c r="K32" s="5">
        <v>31625410</v>
      </c>
      <c r="L32" s="2" t="s">
        <v>106</v>
      </c>
      <c r="M32" s="2" t="s">
        <v>107</v>
      </c>
      <c r="N32" s="6">
        <v>43872.462731481479</v>
      </c>
      <c r="O32" s="4">
        <v>411000</v>
      </c>
      <c r="P32" s="2">
        <v>114573</v>
      </c>
      <c r="Q32" s="2" t="s">
        <v>108</v>
      </c>
      <c r="R32" s="2" t="s">
        <v>109</v>
      </c>
      <c r="S32" s="2" t="s">
        <v>79</v>
      </c>
      <c r="T32" s="2" t="s">
        <v>79</v>
      </c>
      <c r="W32" s="4">
        <v>750</v>
      </c>
      <c r="X32" s="4">
        <v>900</v>
      </c>
      <c r="Y32" s="4">
        <f t="shared" ref="Y32" si="34">INDEX(InternalRates,MATCH($S32,InternalRates01,FALSE),2)</f>
        <v>278.98333333333335</v>
      </c>
      <c r="Z32" s="3" t="str">
        <f t="shared" si="5"/>
        <v>Nie</v>
      </c>
      <c r="AA32" s="3" t="str">
        <f t="shared" si="6"/>
        <v>SLA</v>
      </c>
      <c r="AD32" s="3" t="s">
        <v>48</v>
      </c>
      <c r="AE32" s="6">
        <v>44508</v>
      </c>
      <c r="AF32" s="3" t="s">
        <v>59</v>
      </c>
      <c r="AG32" s="3" t="s">
        <v>60</v>
      </c>
      <c r="AH32" s="3">
        <f>YEAR(SrcDB[[#This Row],[Datum_zverejnenia]])</f>
        <v>2020</v>
      </c>
      <c r="AI32" s="3" cm="1">
        <f t="array" ref="AI32">COUNT(_xlfn.UNIQUE(_xlfn._xlws.FILTER(SrcDB[ID],SrcDB[Objednavatel_ICO]=$H32)))</f>
        <v>17</v>
      </c>
      <c r="AJ32" s="3" cm="1">
        <f t="array" ref="AJ32">COUNT(_xlfn.UNIQUE(_xlfn._xlws.FILTER(SrcDB[ID],SrcDB[Dodavatel_ICO]=$K32)))</f>
        <v>2</v>
      </c>
      <c r="AK32" s="3">
        <f t="shared" si="8"/>
        <v>0</v>
      </c>
      <c r="AL32" s="3">
        <f t="shared" si="9"/>
        <v>0</v>
      </c>
      <c r="AM32" s="17" t="str">
        <f>IF(SrcDB[[#This Row],[Pocet zmluv objednavatela]]&gt;3,SrcDB[[#This Row],[Objednavatel]],"Ostatné")</f>
        <v>Slovenská pošta, a. s.</v>
      </c>
      <c r="AN32" s="17" t="str">
        <f>IF(SrcDB[[#This Row],[Pocet zmluv dodavatela]]&gt;3,SrcDB[[#This Row],[Dodavatel]],"Ostatné")</f>
        <v>Ostatné</v>
      </c>
    </row>
    <row r="33" spans="1:40" x14ac:dyDescent="0.3">
      <c r="A33" s="2" t="s">
        <v>103</v>
      </c>
      <c r="B33" s="2">
        <v>4439583</v>
      </c>
      <c r="C33" s="3" t="str">
        <f t="shared" si="0"/>
        <v>Nie</v>
      </c>
      <c r="D33" s="3" t="str">
        <f t="shared" si="1"/>
        <v>Áno</v>
      </c>
      <c r="E33" s="3" t="s">
        <v>48</v>
      </c>
      <c r="F33" s="3" t="s">
        <v>49</v>
      </c>
      <c r="G33" s="2" t="str">
        <f t="shared" si="2"/>
        <v>Malé zmluvy</v>
      </c>
      <c r="H33" s="5">
        <v>36631124</v>
      </c>
      <c r="I33" s="2" t="s">
        <v>104</v>
      </c>
      <c r="J33" s="2" t="s">
        <v>105</v>
      </c>
      <c r="K33" s="5">
        <v>31625410</v>
      </c>
      <c r="L33" s="2" t="s">
        <v>106</v>
      </c>
      <c r="M33" s="2" t="s">
        <v>107</v>
      </c>
      <c r="N33" s="6">
        <v>43872.462731481479</v>
      </c>
      <c r="O33" s="4">
        <v>411000</v>
      </c>
      <c r="P33" s="2">
        <v>114573</v>
      </c>
      <c r="Q33" s="2" t="s">
        <v>108</v>
      </c>
      <c r="R33" s="2" t="s">
        <v>109</v>
      </c>
      <c r="S33" s="2" t="s">
        <v>102</v>
      </c>
      <c r="T33" s="2" t="s">
        <v>114</v>
      </c>
      <c r="W33" s="4">
        <v>600</v>
      </c>
      <c r="X33" s="4">
        <v>720</v>
      </c>
      <c r="Y33" s="4">
        <f t="shared" ref="Y33" si="35">INDEX(InternalRates,MATCH($S33,InternalRates01,FALSE),2)</f>
        <v>278.98333333333335</v>
      </c>
      <c r="Z33" s="3" t="str">
        <f t="shared" si="5"/>
        <v>Nie</v>
      </c>
      <c r="AA33" s="3" t="str">
        <f t="shared" si="6"/>
        <v>SLA</v>
      </c>
      <c r="AD33" s="3" t="s">
        <v>48</v>
      </c>
      <c r="AE33" s="6">
        <v>44508</v>
      </c>
      <c r="AF33" s="3" t="s">
        <v>59</v>
      </c>
      <c r="AG33" s="3" t="s">
        <v>60</v>
      </c>
      <c r="AH33" s="3">
        <f>YEAR(SrcDB[[#This Row],[Datum_zverejnenia]])</f>
        <v>2020</v>
      </c>
      <c r="AI33" s="3" cm="1">
        <f t="array" ref="AI33">COUNT(_xlfn.UNIQUE(_xlfn._xlws.FILTER(SrcDB[ID],SrcDB[Objednavatel_ICO]=$H33)))</f>
        <v>17</v>
      </c>
      <c r="AJ33" s="3" cm="1">
        <f t="array" ref="AJ33">COUNT(_xlfn.UNIQUE(_xlfn._xlws.FILTER(SrcDB[ID],SrcDB[Dodavatel_ICO]=$K33)))</f>
        <v>2</v>
      </c>
      <c r="AK33" s="3">
        <f t="shared" si="8"/>
        <v>0</v>
      </c>
      <c r="AL33" s="3">
        <f t="shared" si="9"/>
        <v>0</v>
      </c>
      <c r="AM33" s="17" t="str">
        <f>IF(SrcDB[[#This Row],[Pocet zmluv objednavatela]]&gt;3,SrcDB[[#This Row],[Objednavatel]],"Ostatné")</f>
        <v>Slovenská pošta, a. s.</v>
      </c>
      <c r="AN33" s="17" t="str">
        <f>IF(SrcDB[[#This Row],[Pocet zmluv dodavatela]]&gt;3,SrcDB[[#This Row],[Dodavatel]],"Ostatné")</f>
        <v>Ostatné</v>
      </c>
    </row>
    <row r="34" spans="1:40" x14ac:dyDescent="0.3">
      <c r="A34" s="2" t="s">
        <v>115</v>
      </c>
      <c r="B34" s="2">
        <v>4448596</v>
      </c>
      <c r="C34" s="3" t="str">
        <f t="shared" si="0"/>
        <v>Nie</v>
      </c>
      <c r="D34" s="3" t="str">
        <f t="shared" si="1"/>
        <v>Áno</v>
      </c>
      <c r="E34" s="3" t="s">
        <v>48</v>
      </c>
      <c r="F34" s="3" t="s">
        <v>49</v>
      </c>
      <c r="G34" s="2" t="str">
        <f t="shared" si="2"/>
        <v>Malé zmluvy</v>
      </c>
      <c r="H34" s="5">
        <v>30845572</v>
      </c>
      <c r="I34" s="2" t="s">
        <v>116</v>
      </c>
      <c r="J34" s="2" t="s">
        <v>117</v>
      </c>
      <c r="K34" s="5">
        <v>35785306</v>
      </c>
      <c r="L34" s="2" t="s">
        <v>118</v>
      </c>
      <c r="M34" s="2" t="s">
        <v>119</v>
      </c>
      <c r="N34" s="6">
        <v>43875.413564814815</v>
      </c>
      <c r="O34" s="4">
        <v>700000</v>
      </c>
      <c r="P34" s="2">
        <v>114495</v>
      </c>
      <c r="Q34" s="2" t="s">
        <v>120</v>
      </c>
      <c r="R34" s="2" t="s">
        <v>121</v>
      </c>
      <c r="S34" s="2" t="s">
        <v>73</v>
      </c>
      <c r="T34" s="2" t="s">
        <v>122</v>
      </c>
      <c r="W34" s="4">
        <v>932</v>
      </c>
      <c r="X34" s="4">
        <v>1118.3999999999999</v>
      </c>
      <c r="Y34" s="4">
        <f t="shared" ref="Y34" si="36">INDEX(InternalRates,MATCH($S34,InternalRates01,FALSE),2)</f>
        <v>278.98333333333335</v>
      </c>
      <c r="Z34" s="3" t="str">
        <f t="shared" si="5"/>
        <v>Nie</v>
      </c>
      <c r="AA34" s="3" t="str">
        <f t="shared" si="6"/>
        <v>SLA</v>
      </c>
      <c r="AD34" s="3" t="s">
        <v>48</v>
      </c>
      <c r="AE34" s="6">
        <v>44424</v>
      </c>
      <c r="AF34" s="3" t="s">
        <v>59</v>
      </c>
      <c r="AG34" s="3" t="s">
        <v>60</v>
      </c>
      <c r="AH34" s="3">
        <f>YEAR(SrcDB[[#This Row],[Datum_zverejnenia]])</f>
        <v>2020</v>
      </c>
      <c r="AI34" s="3" cm="1">
        <f t="array" ref="AI34">COUNT(_xlfn.UNIQUE(_xlfn._xlws.FILTER(SrcDB[ID],SrcDB[Objednavatel_ICO]=$H34)))</f>
        <v>3</v>
      </c>
      <c r="AJ34" s="3" cm="1">
        <f t="array" ref="AJ34">COUNT(_xlfn.UNIQUE(_xlfn._xlws.FILTER(SrcDB[ID],SrcDB[Dodavatel_ICO]=$K34)))</f>
        <v>9</v>
      </c>
      <c r="AK34" s="3">
        <f t="shared" si="8"/>
        <v>1</v>
      </c>
      <c r="AL34" s="3">
        <f t="shared" si="9"/>
        <v>1</v>
      </c>
      <c r="AM34" s="17" t="str">
        <f>IF(SrcDB[[#This Row],[Pocet zmluv objednavatela]]&gt;3,SrcDB[[#This Row],[Objednavatel]],"Ostatné")</f>
        <v>Ostatné</v>
      </c>
      <c r="AN34" s="17" t="str">
        <f>IF(SrcDB[[#This Row],[Pocet zmluv dodavatela]]&gt;3,SrcDB[[#This Row],[Dodavatel]],"Ostatné")</f>
        <v>DXC Technology Slovakia s.r.o.</v>
      </c>
    </row>
    <row r="35" spans="1:40" x14ac:dyDescent="0.3">
      <c r="A35" s="2" t="s">
        <v>115</v>
      </c>
      <c r="B35" s="2">
        <v>4448596</v>
      </c>
      <c r="C35" s="3" t="str">
        <f t="shared" si="0"/>
        <v>Nie</v>
      </c>
      <c r="D35" s="3" t="str">
        <f t="shared" si="1"/>
        <v>Áno</v>
      </c>
      <c r="E35" s="3" t="s">
        <v>48</v>
      </c>
      <c r="F35" s="3" t="s">
        <v>49</v>
      </c>
      <c r="G35" s="2" t="str">
        <f t="shared" si="2"/>
        <v>Malé zmluvy</v>
      </c>
      <c r="H35" s="5">
        <v>30845572</v>
      </c>
      <c r="I35" s="2" t="s">
        <v>116</v>
      </c>
      <c r="J35" s="2" t="s">
        <v>117</v>
      </c>
      <c r="K35" s="5">
        <v>35785306</v>
      </c>
      <c r="L35" s="2" t="s">
        <v>118</v>
      </c>
      <c r="M35" s="2" t="s">
        <v>119</v>
      </c>
      <c r="N35" s="6">
        <v>43875.413564814815</v>
      </c>
      <c r="O35" s="4">
        <v>700000</v>
      </c>
      <c r="P35" s="2">
        <v>114495</v>
      </c>
      <c r="Q35" s="2" t="s">
        <v>120</v>
      </c>
      <c r="R35" s="2" t="s">
        <v>121</v>
      </c>
      <c r="S35" s="2" t="s">
        <v>123</v>
      </c>
      <c r="T35" s="2" t="s">
        <v>124</v>
      </c>
      <c r="V35" s="2" t="s">
        <v>125</v>
      </c>
      <c r="W35" s="4">
        <v>932</v>
      </c>
      <c r="X35" s="4">
        <v>1118.3999999999999</v>
      </c>
      <c r="Y35" s="4">
        <f t="shared" ref="Y35" si="37">INDEX(InternalRates,MATCH($S35,InternalRates01,FALSE),2)</f>
        <v>231.85833333333335</v>
      </c>
      <c r="Z35" s="3" t="str">
        <f t="shared" si="5"/>
        <v>Nie</v>
      </c>
      <c r="AA35" s="3" t="str">
        <f t="shared" si="6"/>
        <v>SLA</v>
      </c>
      <c r="AD35" s="3" t="s">
        <v>48</v>
      </c>
      <c r="AE35" s="6">
        <v>44424</v>
      </c>
      <c r="AF35" s="3" t="s">
        <v>59</v>
      </c>
      <c r="AG35" s="3" t="s">
        <v>60</v>
      </c>
      <c r="AH35" s="3">
        <f>YEAR(SrcDB[[#This Row],[Datum_zverejnenia]])</f>
        <v>2020</v>
      </c>
      <c r="AI35" s="3" cm="1">
        <f t="array" ref="AI35">COUNT(_xlfn.UNIQUE(_xlfn._xlws.FILTER(SrcDB[ID],SrcDB[Objednavatel_ICO]=$H35)))</f>
        <v>3</v>
      </c>
      <c r="AJ35" s="3" cm="1">
        <f t="array" ref="AJ35">COUNT(_xlfn.UNIQUE(_xlfn._xlws.FILTER(SrcDB[ID],SrcDB[Dodavatel_ICO]=$K35)))</f>
        <v>9</v>
      </c>
      <c r="AK35" s="3">
        <f t="shared" si="8"/>
        <v>0</v>
      </c>
      <c r="AL35" s="3">
        <f t="shared" si="9"/>
        <v>0</v>
      </c>
      <c r="AM35" s="17" t="str">
        <f>IF(SrcDB[[#This Row],[Pocet zmluv objednavatela]]&gt;3,SrcDB[[#This Row],[Objednavatel]],"Ostatné")</f>
        <v>Ostatné</v>
      </c>
      <c r="AN35" s="17" t="str">
        <f>IF(SrcDB[[#This Row],[Pocet zmluv dodavatela]]&gt;3,SrcDB[[#This Row],[Dodavatel]],"Ostatné")</f>
        <v>DXC Technology Slovakia s.r.o.</v>
      </c>
    </row>
    <row r="36" spans="1:40" x14ac:dyDescent="0.3">
      <c r="A36" s="2" t="s">
        <v>115</v>
      </c>
      <c r="B36" s="2">
        <v>4448596</v>
      </c>
      <c r="C36" s="3" t="str">
        <f t="shared" si="0"/>
        <v>Nie</v>
      </c>
      <c r="D36" s="3" t="str">
        <f t="shared" si="1"/>
        <v>Áno</v>
      </c>
      <c r="E36" s="3" t="s">
        <v>48</v>
      </c>
      <c r="F36" s="3" t="s">
        <v>49</v>
      </c>
      <c r="G36" s="2" t="str">
        <f t="shared" si="2"/>
        <v>Malé zmluvy</v>
      </c>
      <c r="H36" s="5">
        <v>30845572</v>
      </c>
      <c r="I36" s="2" t="s">
        <v>116</v>
      </c>
      <c r="J36" s="2" t="s">
        <v>117</v>
      </c>
      <c r="K36" s="5">
        <v>35785306</v>
      </c>
      <c r="L36" s="2" t="s">
        <v>118</v>
      </c>
      <c r="M36" s="2" t="s">
        <v>119</v>
      </c>
      <c r="N36" s="6">
        <v>43875</v>
      </c>
      <c r="O36" s="4">
        <v>700000</v>
      </c>
      <c r="P36" s="2">
        <v>114495</v>
      </c>
      <c r="Q36" s="2" t="s">
        <v>120</v>
      </c>
      <c r="R36" s="2" t="s">
        <v>121</v>
      </c>
      <c r="S36" s="2" t="s">
        <v>77</v>
      </c>
      <c r="T36" s="2" t="s">
        <v>126</v>
      </c>
      <c r="W36" s="4">
        <v>419</v>
      </c>
      <c r="X36" s="4">
        <v>502.79999999999995</v>
      </c>
      <c r="Y36" s="4">
        <f t="shared" ref="Y36" si="38">INDEX(InternalRates,MATCH($S36,InternalRates01,FALSE),2)</f>
        <v>278.98333333333335</v>
      </c>
      <c r="Z36" s="3" t="str">
        <f t="shared" si="5"/>
        <v>Nie</v>
      </c>
      <c r="AA36" s="3" t="str">
        <f t="shared" si="6"/>
        <v>SLA</v>
      </c>
      <c r="AD36" s="3" t="s">
        <v>48</v>
      </c>
      <c r="AE36" s="6">
        <v>44424</v>
      </c>
      <c r="AF36" s="3" t="s">
        <v>59</v>
      </c>
      <c r="AG36" s="3" t="s">
        <v>60</v>
      </c>
      <c r="AH36" s="3">
        <f>YEAR(SrcDB[[#This Row],[Datum_zverejnenia]])</f>
        <v>2020</v>
      </c>
      <c r="AI36" s="3" cm="1">
        <f t="array" ref="AI36">COUNT(_xlfn.UNIQUE(_xlfn._xlws.FILTER(SrcDB[ID],SrcDB[Objednavatel_ICO]=$H36)))</f>
        <v>3</v>
      </c>
      <c r="AJ36" s="3" cm="1">
        <f t="array" ref="AJ36">COUNT(_xlfn.UNIQUE(_xlfn._xlws.FILTER(SrcDB[ID],SrcDB[Dodavatel_ICO]=$K36)))</f>
        <v>9</v>
      </c>
      <c r="AK36" s="3">
        <f t="shared" si="8"/>
        <v>0</v>
      </c>
      <c r="AL36" s="3">
        <f t="shared" si="9"/>
        <v>0</v>
      </c>
      <c r="AM36" s="17" t="str">
        <f>IF(SrcDB[[#This Row],[Pocet zmluv objednavatela]]&gt;3,SrcDB[[#This Row],[Objednavatel]],"Ostatné")</f>
        <v>Ostatné</v>
      </c>
      <c r="AN36" s="17" t="str">
        <f>IF(SrcDB[[#This Row],[Pocet zmluv dodavatela]]&gt;3,SrcDB[[#This Row],[Dodavatel]],"Ostatné")</f>
        <v>DXC Technology Slovakia s.r.o.</v>
      </c>
    </row>
    <row r="37" spans="1:40" x14ac:dyDescent="0.3">
      <c r="A37" s="2" t="s">
        <v>115</v>
      </c>
      <c r="B37" s="2">
        <v>4448596</v>
      </c>
      <c r="C37" s="3" t="str">
        <f t="shared" si="0"/>
        <v>Nie</v>
      </c>
      <c r="D37" s="3" t="str">
        <f t="shared" si="1"/>
        <v>Áno</v>
      </c>
      <c r="E37" s="3" t="s">
        <v>48</v>
      </c>
      <c r="F37" s="3" t="s">
        <v>49</v>
      </c>
      <c r="G37" s="2" t="str">
        <f t="shared" si="2"/>
        <v>Malé zmluvy</v>
      </c>
      <c r="H37" s="5">
        <v>30845572</v>
      </c>
      <c r="I37" s="2" t="s">
        <v>116</v>
      </c>
      <c r="J37" s="2" t="s">
        <v>117</v>
      </c>
      <c r="K37" s="5">
        <v>35785306</v>
      </c>
      <c r="L37" s="2" t="s">
        <v>118</v>
      </c>
      <c r="M37" s="2" t="s">
        <v>119</v>
      </c>
      <c r="N37" s="6">
        <v>43875</v>
      </c>
      <c r="O37" s="4">
        <v>700000</v>
      </c>
      <c r="P37" s="2">
        <v>114495</v>
      </c>
      <c r="Q37" s="2" t="s">
        <v>120</v>
      </c>
      <c r="R37" s="2" t="s">
        <v>121</v>
      </c>
      <c r="S37" s="2" t="s">
        <v>77</v>
      </c>
      <c r="T37" s="2" t="s">
        <v>127</v>
      </c>
      <c r="W37" s="4">
        <v>419</v>
      </c>
      <c r="X37" s="4">
        <v>502.79999999999995</v>
      </c>
      <c r="Y37" s="4">
        <f t="shared" ref="Y37" si="39">INDEX(InternalRates,MATCH($S37,InternalRates01,FALSE),2)</f>
        <v>278.98333333333335</v>
      </c>
      <c r="Z37" s="3" t="str">
        <f t="shared" si="5"/>
        <v>Nie</v>
      </c>
      <c r="AA37" s="3" t="str">
        <f t="shared" si="6"/>
        <v>SLA</v>
      </c>
      <c r="AD37" s="3" t="s">
        <v>48</v>
      </c>
      <c r="AE37" s="6">
        <v>44424</v>
      </c>
      <c r="AF37" s="3" t="s">
        <v>59</v>
      </c>
      <c r="AG37" s="3" t="s">
        <v>60</v>
      </c>
      <c r="AH37" s="3">
        <f>YEAR(SrcDB[[#This Row],[Datum_zverejnenia]])</f>
        <v>2020</v>
      </c>
      <c r="AI37" s="3" cm="1">
        <f t="array" ref="AI37">COUNT(_xlfn.UNIQUE(_xlfn._xlws.FILTER(SrcDB[ID],SrcDB[Objednavatel_ICO]=$H37)))</f>
        <v>3</v>
      </c>
      <c r="AJ37" s="3" cm="1">
        <f t="array" ref="AJ37">COUNT(_xlfn.UNIQUE(_xlfn._xlws.FILTER(SrcDB[ID],SrcDB[Dodavatel_ICO]=$K37)))</f>
        <v>9</v>
      </c>
      <c r="AK37" s="3">
        <f t="shared" si="8"/>
        <v>0</v>
      </c>
      <c r="AL37" s="3">
        <f t="shared" si="9"/>
        <v>0</v>
      </c>
      <c r="AM37" s="17" t="str">
        <f>IF(SrcDB[[#This Row],[Pocet zmluv objednavatela]]&gt;3,SrcDB[[#This Row],[Objednavatel]],"Ostatné")</f>
        <v>Ostatné</v>
      </c>
      <c r="AN37" s="17" t="str">
        <f>IF(SrcDB[[#This Row],[Pocet zmluv dodavatela]]&gt;3,SrcDB[[#This Row],[Dodavatel]],"Ostatné")</f>
        <v>DXC Technology Slovakia s.r.o.</v>
      </c>
    </row>
    <row r="38" spans="1:40" x14ac:dyDescent="0.3">
      <c r="A38" s="2" t="s">
        <v>115</v>
      </c>
      <c r="B38" s="2">
        <v>4448596</v>
      </c>
      <c r="C38" s="3" t="str">
        <f t="shared" si="0"/>
        <v>Nie</v>
      </c>
      <c r="D38" s="3" t="str">
        <f t="shared" si="1"/>
        <v>Áno</v>
      </c>
      <c r="E38" s="3" t="s">
        <v>48</v>
      </c>
      <c r="F38" s="3" t="s">
        <v>49</v>
      </c>
      <c r="G38" s="2" t="str">
        <f t="shared" si="2"/>
        <v>Malé zmluvy</v>
      </c>
      <c r="H38" s="5">
        <v>30845572</v>
      </c>
      <c r="I38" s="2" t="s">
        <v>116</v>
      </c>
      <c r="J38" s="2" t="s">
        <v>117</v>
      </c>
      <c r="K38" s="5">
        <v>35785306</v>
      </c>
      <c r="L38" s="2" t="s">
        <v>118</v>
      </c>
      <c r="M38" s="2" t="s">
        <v>119</v>
      </c>
      <c r="N38" s="6">
        <v>43875</v>
      </c>
      <c r="O38" s="4">
        <v>700000</v>
      </c>
      <c r="P38" s="2">
        <v>114495</v>
      </c>
      <c r="Q38" s="2" t="s">
        <v>120</v>
      </c>
      <c r="R38" s="2" t="s">
        <v>121</v>
      </c>
      <c r="S38" s="2" t="s">
        <v>56</v>
      </c>
      <c r="T38" s="2" t="s">
        <v>128</v>
      </c>
      <c r="U38" s="2" t="s">
        <v>129</v>
      </c>
      <c r="W38" s="4">
        <v>932</v>
      </c>
      <c r="X38" s="4">
        <v>1118.3999999999999</v>
      </c>
      <c r="Y38" s="4">
        <f t="shared" ref="Y38" si="40">INDEX(InternalRates,MATCH($S38,InternalRates01,FALSE),2)</f>
        <v>278.98333333333335</v>
      </c>
      <c r="Z38" s="3" t="str">
        <f t="shared" si="5"/>
        <v>Nie</v>
      </c>
      <c r="AA38" s="3" t="str">
        <f t="shared" si="6"/>
        <v>SLA</v>
      </c>
      <c r="AD38" s="3" t="s">
        <v>48</v>
      </c>
      <c r="AE38" s="6">
        <v>44424</v>
      </c>
      <c r="AF38" s="3" t="s">
        <v>59</v>
      </c>
      <c r="AG38" s="3" t="s">
        <v>60</v>
      </c>
      <c r="AH38" s="3">
        <f>YEAR(SrcDB[[#This Row],[Datum_zverejnenia]])</f>
        <v>2020</v>
      </c>
      <c r="AI38" s="3" cm="1">
        <f t="array" ref="AI38">COUNT(_xlfn.UNIQUE(_xlfn._xlws.FILTER(SrcDB[ID],SrcDB[Objednavatel_ICO]=$H38)))</f>
        <v>3</v>
      </c>
      <c r="AJ38" s="3" cm="1">
        <f t="array" ref="AJ38">COUNT(_xlfn.UNIQUE(_xlfn._xlws.FILTER(SrcDB[ID],SrcDB[Dodavatel_ICO]=$K38)))</f>
        <v>9</v>
      </c>
      <c r="AK38" s="3">
        <f t="shared" si="8"/>
        <v>0</v>
      </c>
      <c r="AL38" s="3">
        <f t="shared" si="9"/>
        <v>0</v>
      </c>
      <c r="AM38" s="17" t="str">
        <f>IF(SrcDB[[#This Row],[Pocet zmluv objednavatela]]&gt;3,SrcDB[[#This Row],[Objednavatel]],"Ostatné")</f>
        <v>Ostatné</v>
      </c>
      <c r="AN38" s="17" t="str">
        <f>IF(SrcDB[[#This Row],[Pocet zmluv dodavatela]]&gt;3,SrcDB[[#This Row],[Dodavatel]],"Ostatné")</f>
        <v>DXC Technology Slovakia s.r.o.</v>
      </c>
    </row>
    <row r="39" spans="1:40" x14ac:dyDescent="0.3">
      <c r="A39" s="2" t="s">
        <v>115</v>
      </c>
      <c r="B39" s="2">
        <v>4448596</v>
      </c>
      <c r="C39" s="3" t="str">
        <f t="shared" si="0"/>
        <v>Nie</v>
      </c>
      <c r="D39" s="3" t="str">
        <f t="shared" si="1"/>
        <v>Áno</v>
      </c>
      <c r="E39" s="3" t="s">
        <v>48</v>
      </c>
      <c r="F39" s="3" t="s">
        <v>49</v>
      </c>
      <c r="G39" s="2" t="str">
        <f t="shared" si="2"/>
        <v>Malé zmluvy</v>
      </c>
      <c r="H39" s="5">
        <v>30845572</v>
      </c>
      <c r="I39" s="2" t="s">
        <v>116</v>
      </c>
      <c r="J39" s="2" t="s">
        <v>117</v>
      </c>
      <c r="K39" s="5">
        <v>35785306</v>
      </c>
      <c r="L39" s="2" t="s">
        <v>118</v>
      </c>
      <c r="M39" s="2" t="s">
        <v>119</v>
      </c>
      <c r="N39" s="6">
        <v>43875</v>
      </c>
      <c r="O39" s="4">
        <v>700000</v>
      </c>
      <c r="P39" s="2">
        <v>114495</v>
      </c>
      <c r="Q39" s="2" t="s">
        <v>120</v>
      </c>
      <c r="R39" s="2" t="s">
        <v>121</v>
      </c>
      <c r="S39" s="2" t="s">
        <v>98</v>
      </c>
      <c r="T39" s="2" t="s">
        <v>130</v>
      </c>
      <c r="W39" s="4">
        <v>419</v>
      </c>
      <c r="X39" s="4">
        <v>502.79999999999995</v>
      </c>
      <c r="Y39" s="4">
        <f t="shared" ref="Y39" si="41">INDEX(InternalRates,MATCH($S39,InternalRates01,FALSE),2)</f>
        <v>278.98333333333335</v>
      </c>
      <c r="Z39" s="3" t="str">
        <f t="shared" si="5"/>
        <v>Nie</v>
      </c>
      <c r="AA39" s="3" t="str">
        <f t="shared" si="6"/>
        <v>SLA</v>
      </c>
      <c r="AD39" s="3" t="s">
        <v>48</v>
      </c>
      <c r="AE39" s="6">
        <v>44424</v>
      </c>
      <c r="AF39" s="3" t="s">
        <v>59</v>
      </c>
      <c r="AG39" s="3" t="s">
        <v>60</v>
      </c>
      <c r="AH39" s="3">
        <f>YEAR(SrcDB[[#This Row],[Datum_zverejnenia]])</f>
        <v>2020</v>
      </c>
      <c r="AI39" s="3" cm="1">
        <f t="array" ref="AI39">COUNT(_xlfn.UNIQUE(_xlfn._xlws.FILTER(SrcDB[ID],SrcDB[Objednavatel_ICO]=$H39)))</f>
        <v>3</v>
      </c>
      <c r="AJ39" s="3" cm="1">
        <f t="array" ref="AJ39">COUNT(_xlfn.UNIQUE(_xlfn._xlws.FILTER(SrcDB[ID],SrcDB[Dodavatel_ICO]=$K39)))</f>
        <v>9</v>
      </c>
      <c r="AK39" s="3" t="e">
        <f>IF(#REF!&lt;&gt;$H39,1,IF(#REF!&lt;&gt;$B39,1,0))</f>
        <v>#REF!</v>
      </c>
      <c r="AL39" s="3" t="e">
        <f>IF(#REF!&lt;&gt;$K39,1,IF(#REF!&lt;&gt;$B39,1,0))</f>
        <v>#REF!</v>
      </c>
      <c r="AM39" s="17" t="str">
        <f>IF(SrcDB[[#This Row],[Pocet zmluv objednavatela]]&gt;3,SrcDB[[#This Row],[Objednavatel]],"Ostatné")</f>
        <v>Ostatné</v>
      </c>
      <c r="AN39" s="17" t="str">
        <f>IF(SrcDB[[#This Row],[Pocet zmluv dodavatela]]&gt;3,SrcDB[[#This Row],[Dodavatel]],"Ostatné")</f>
        <v>DXC Technology Slovakia s.r.o.</v>
      </c>
    </row>
    <row r="40" spans="1:40" x14ac:dyDescent="0.3">
      <c r="A40" s="2" t="s">
        <v>132</v>
      </c>
      <c r="B40" s="2">
        <v>4449447</v>
      </c>
      <c r="C40" s="3" t="str">
        <f t="shared" si="0"/>
        <v>Nie</v>
      </c>
      <c r="D40" s="3" t="str">
        <f t="shared" si="1"/>
        <v>Áno</v>
      </c>
      <c r="E40" s="3" t="s">
        <v>48</v>
      </c>
      <c r="F40" s="3" t="s">
        <v>49</v>
      </c>
      <c r="G40" s="2" t="str">
        <f t="shared" si="2"/>
        <v>Malé zmluvy</v>
      </c>
      <c r="H40" s="5">
        <v>35919001</v>
      </c>
      <c r="I40" s="2" t="s">
        <v>133</v>
      </c>
      <c r="J40" s="2" t="s">
        <v>134</v>
      </c>
      <c r="K40" s="5">
        <v>31376045</v>
      </c>
      <c r="L40" s="2" t="s">
        <v>135</v>
      </c>
      <c r="M40" s="2" t="s">
        <v>136</v>
      </c>
      <c r="N40" s="6">
        <v>43875.593182870369</v>
      </c>
      <c r="O40" s="4">
        <v>600000</v>
      </c>
      <c r="P40" s="2">
        <v>114573</v>
      </c>
      <c r="Q40" s="2" t="s">
        <v>137</v>
      </c>
      <c r="R40" s="2" t="s">
        <v>138</v>
      </c>
      <c r="S40" s="2" t="s">
        <v>123</v>
      </c>
      <c r="T40" s="2" t="s">
        <v>139</v>
      </c>
      <c r="V40" s="2" t="s">
        <v>140</v>
      </c>
      <c r="W40" s="4">
        <v>440</v>
      </c>
      <c r="X40" s="4">
        <v>528</v>
      </c>
      <c r="Y40" s="4">
        <f t="shared" ref="Y40" si="42">INDEX(InternalRates,MATCH($S40,InternalRates01,FALSE),2)</f>
        <v>231.85833333333335</v>
      </c>
      <c r="Z40" s="3" t="str">
        <f t="shared" si="5"/>
        <v>Nie</v>
      </c>
      <c r="AA40" s="3" t="str">
        <f t="shared" si="6"/>
        <v>SLA</v>
      </c>
      <c r="AB40" s="4">
        <v>12.5</v>
      </c>
      <c r="AD40" s="3" t="s">
        <v>48</v>
      </c>
      <c r="AE40" s="6">
        <v>44424</v>
      </c>
      <c r="AF40" s="3" t="s">
        <v>59</v>
      </c>
      <c r="AG40" s="3" t="s">
        <v>60</v>
      </c>
      <c r="AH40" s="3">
        <f>YEAR(SrcDB[[#This Row],[Datum_zverejnenia]])</f>
        <v>2020</v>
      </c>
      <c r="AI40" s="3" cm="1">
        <f t="array" ref="AI40">COUNT(_xlfn.UNIQUE(_xlfn._xlws.FILTER(SrcDB[ID],SrcDB[Objednavatel_ICO]=$H40)))</f>
        <v>2</v>
      </c>
      <c r="AJ40" s="3" cm="1">
        <f t="array" ref="AJ40">COUNT(_xlfn.UNIQUE(_xlfn._xlws.FILTER(SrcDB[ID],SrcDB[Dodavatel_ICO]=$K40)))</f>
        <v>1</v>
      </c>
      <c r="AK40" s="3" t="e">
        <f>IF(#REF!&lt;&gt;$H40,1,IF(#REF!&lt;&gt;$B40,1,0))</f>
        <v>#REF!</v>
      </c>
      <c r="AL40" s="3" t="e">
        <f>IF(#REF!&lt;&gt;$K40,1,IF(#REF!&lt;&gt;$B40,1,0))</f>
        <v>#REF!</v>
      </c>
      <c r="AM40" s="17" t="str">
        <f>IF(SrcDB[[#This Row],[Pocet zmluv objednavatela]]&gt;3,SrcDB[[#This Row],[Objednavatel]],"Ostatné")</f>
        <v>Ostatné</v>
      </c>
      <c r="AN40" s="17" t="str">
        <f>IF(SrcDB[[#This Row],[Pocet zmluv dodavatela]]&gt;3,SrcDB[[#This Row],[Dodavatel]],"Ostatné")</f>
        <v>Ostatné</v>
      </c>
    </row>
    <row r="41" spans="1:40" x14ac:dyDescent="0.3">
      <c r="A41" s="2" t="s">
        <v>141</v>
      </c>
      <c r="B41" s="2">
        <v>4471081</v>
      </c>
      <c r="C41" s="3" t="str">
        <f t="shared" si="0"/>
        <v>Nie</v>
      </c>
      <c r="D41" s="3" t="str">
        <f t="shared" si="1"/>
        <v>Áno</v>
      </c>
      <c r="E41" s="3" t="s">
        <v>48</v>
      </c>
      <c r="F41" s="3" t="s">
        <v>49</v>
      </c>
      <c r="G41" s="2" t="str">
        <f t="shared" si="2"/>
        <v>Veľké zmluvy</v>
      </c>
      <c r="H41" s="5" t="s">
        <v>62</v>
      </c>
      <c r="I41" s="2" t="s">
        <v>63</v>
      </c>
      <c r="J41" s="2" t="s">
        <v>64</v>
      </c>
      <c r="K41" s="5">
        <v>31385401</v>
      </c>
      <c r="L41" s="2" t="s">
        <v>142</v>
      </c>
      <c r="M41" s="2" t="s">
        <v>143</v>
      </c>
      <c r="N41" s="6">
        <v>43888.739942129629</v>
      </c>
      <c r="O41" s="4">
        <v>9591739.1999999993</v>
      </c>
      <c r="P41" s="2">
        <v>114565</v>
      </c>
      <c r="Q41" s="2" t="s">
        <v>144</v>
      </c>
      <c r="R41" s="2" t="s">
        <v>145</v>
      </c>
      <c r="S41" s="2" t="s">
        <v>69</v>
      </c>
      <c r="T41" s="2" t="s">
        <v>70</v>
      </c>
      <c r="W41" s="4">
        <v>570</v>
      </c>
      <c r="X41" s="4">
        <v>684</v>
      </c>
      <c r="Y41" s="4">
        <f t="shared" ref="Y41" si="43">INDEX(InternalRates,MATCH($S41,InternalRates01,FALSE),2)</f>
        <v>278.98333333333335</v>
      </c>
      <c r="Z41" s="3" t="str">
        <f t="shared" si="5"/>
        <v>Nie</v>
      </c>
      <c r="AA41" s="3" t="str">
        <f t="shared" si="6"/>
        <v>SLA</v>
      </c>
      <c r="AD41" s="3" t="s">
        <v>48</v>
      </c>
      <c r="AE41" s="6">
        <v>44417</v>
      </c>
      <c r="AF41" s="3" t="s">
        <v>59</v>
      </c>
      <c r="AG41" s="3" t="s">
        <v>49</v>
      </c>
      <c r="AH41" s="3">
        <f>YEAR(SrcDB[[#This Row],[Datum_zverejnenia]])</f>
        <v>2020</v>
      </c>
      <c r="AI41" s="3" cm="1">
        <f t="array" ref="AI41">COUNT(_xlfn.UNIQUE(_xlfn._xlws.FILTER(SrcDB[ID],SrcDB[Objednavatel_ICO]=$H41)))</f>
        <v>6</v>
      </c>
      <c r="AJ41" s="3" cm="1">
        <f t="array" ref="AJ41">COUNT(_xlfn.UNIQUE(_xlfn._xlws.FILTER(SrcDB[ID],SrcDB[Dodavatel_ICO]=$K41)))</f>
        <v>14</v>
      </c>
      <c r="AK41" s="3">
        <f t="shared" si="8"/>
        <v>1</v>
      </c>
      <c r="AL41" s="3">
        <f t="shared" si="9"/>
        <v>1</v>
      </c>
      <c r="AM41" s="17" t="str">
        <f>IF(SrcDB[[#This Row],[Pocet zmluv objednavatela]]&gt;3,SrcDB[[#This Row],[Objednavatel]],"Ostatné")</f>
        <v>Ministerstvo spravodlivosti SR</v>
      </c>
      <c r="AN41" s="17" t="str">
        <f>IF(SrcDB[[#This Row],[Pocet zmluv dodavatela]]&gt;3,SrcDB[[#This Row],[Dodavatel]],"Ostatné")</f>
        <v>DITEC, a.s.</v>
      </c>
    </row>
    <row r="42" spans="1:40" x14ac:dyDescent="0.3">
      <c r="A42" s="2" t="s">
        <v>141</v>
      </c>
      <c r="B42" s="2">
        <v>4471081</v>
      </c>
      <c r="C42" s="3" t="str">
        <f t="shared" si="0"/>
        <v>Nie</v>
      </c>
      <c r="D42" s="3" t="str">
        <f t="shared" si="1"/>
        <v>Áno</v>
      </c>
      <c r="E42" s="3" t="s">
        <v>48</v>
      </c>
      <c r="F42" s="3" t="s">
        <v>49</v>
      </c>
      <c r="G42" s="2" t="str">
        <f t="shared" si="2"/>
        <v>Veľké zmluvy</v>
      </c>
      <c r="H42" s="5" t="s">
        <v>62</v>
      </c>
      <c r="I42" s="2" t="s">
        <v>63</v>
      </c>
      <c r="J42" s="2" t="s">
        <v>64</v>
      </c>
      <c r="K42" s="5">
        <v>31385401</v>
      </c>
      <c r="L42" s="2" t="s">
        <v>142</v>
      </c>
      <c r="M42" s="2" t="s">
        <v>143</v>
      </c>
      <c r="N42" s="6">
        <v>43888.739942129629</v>
      </c>
      <c r="O42" s="4">
        <v>9591739.1999999993</v>
      </c>
      <c r="P42" s="2">
        <v>114565</v>
      </c>
      <c r="Q42" s="2" t="s">
        <v>144</v>
      </c>
      <c r="R42" s="2" t="s">
        <v>145</v>
      </c>
      <c r="S42" s="2" t="s">
        <v>71</v>
      </c>
      <c r="T42" s="2" t="s">
        <v>146</v>
      </c>
      <c r="W42" s="4">
        <v>570</v>
      </c>
      <c r="X42" s="4">
        <v>684</v>
      </c>
      <c r="Y42" s="4">
        <f t="shared" ref="Y42" si="44">INDEX(InternalRates,MATCH($S42,InternalRates01,FALSE),2)</f>
        <v>354.0333333333333</v>
      </c>
      <c r="Z42" s="3" t="str">
        <f t="shared" si="5"/>
        <v>Nie</v>
      </c>
      <c r="AA42" s="3" t="str">
        <f t="shared" si="6"/>
        <v>SLA</v>
      </c>
      <c r="AD42" s="3" t="s">
        <v>48</v>
      </c>
      <c r="AE42" s="6">
        <v>44417</v>
      </c>
      <c r="AF42" s="3" t="s">
        <v>59</v>
      </c>
      <c r="AG42" s="3" t="s">
        <v>49</v>
      </c>
      <c r="AH42" s="3">
        <f>YEAR(SrcDB[[#This Row],[Datum_zverejnenia]])</f>
        <v>2020</v>
      </c>
      <c r="AI42" s="3" cm="1">
        <f t="array" ref="AI42">COUNT(_xlfn.UNIQUE(_xlfn._xlws.FILTER(SrcDB[ID],SrcDB[Objednavatel_ICO]=$H42)))</f>
        <v>6</v>
      </c>
      <c r="AJ42" s="3" cm="1">
        <f t="array" ref="AJ42">COUNT(_xlfn.UNIQUE(_xlfn._xlws.FILTER(SrcDB[ID],SrcDB[Dodavatel_ICO]=$K42)))</f>
        <v>14</v>
      </c>
      <c r="AK42" s="3">
        <f t="shared" si="8"/>
        <v>0</v>
      </c>
      <c r="AL42" s="3">
        <f t="shared" si="9"/>
        <v>0</v>
      </c>
      <c r="AM42" s="17" t="str">
        <f>IF(SrcDB[[#This Row],[Pocet zmluv objednavatela]]&gt;3,SrcDB[[#This Row],[Objednavatel]],"Ostatné")</f>
        <v>Ministerstvo spravodlivosti SR</v>
      </c>
      <c r="AN42" s="17" t="str">
        <f>IF(SrcDB[[#This Row],[Pocet zmluv dodavatela]]&gt;3,SrcDB[[#This Row],[Dodavatel]],"Ostatné")</f>
        <v>DITEC, a.s.</v>
      </c>
    </row>
    <row r="43" spans="1:40" x14ac:dyDescent="0.3">
      <c r="A43" s="2" t="s">
        <v>141</v>
      </c>
      <c r="B43" s="2">
        <v>4471081</v>
      </c>
      <c r="C43" s="3" t="str">
        <f t="shared" si="0"/>
        <v>Nie</v>
      </c>
      <c r="D43" s="3" t="str">
        <f t="shared" si="1"/>
        <v>Áno</v>
      </c>
      <c r="E43" s="3" t="s">
        <v>48</v>
      </c>
      <c r="F43" s="3" t="s">
        <v>49</v>
      </c>
      <c r="G43" s="2" t="str">
        <f t="shared" si="2"/>
        <v>Veľké zmluvy</v>
      </c>
      <c r="H43" s="5" t="s">
        <v>62</v>
      </c>
      <c r="I43" s="2" t="s">
        <v>63</v>
      </c>
      <c r="J43" s="2" t="s">
        <v>64</v>
      </c>
      <c r="K43" s="5">
        <v>31385401</v>
      </c>
      <c r="L43" s="2" t="s">
        <v>142</v>
      </c>
      <c r="M43" s="2" t="s">
        <v>143</v>
      </c>
      <c r="N43" s="6">
        <v>43888</v>
      </c>
      <c r="O43" s="4">
        <v>9591739.1999999993</v>
      </c>
      <c r="P43" s="2">
        <v>114565</v>
      </c>
      <c r="Q43" s="2" t="s">
        <v>144</v>
      </c>
      <c r="R43" s="2" t="s">
        <v>145</v>
      </c>
      <c r="S43" s="2" t="s">
        <v>73</v>
      </c>
      <c r="T43" s="2" t="s">
        <v>73</v>
      </c>
      <c r="W43" s="4">
        <v>570</v>
      </c>
      <c r="X43" s="4">
        <v>684</v>
      </c>
      <c r="Y43" s="4">
        <f t="shared" ref="Y43" si="45">INDEX(InternalRates,MATCH($S43,InternalRates01,FALSE),2)</f>
        <v>278.98333333333335</v>
      </c>
      <c r="Z43" s="3" t="str">
        <f t="shared" si="5"/>
        <v>Nie</v>
      </c>
      <c r="AA43" s="3" t="str">
        <f t="shared" si="6"/>
        <v>SLA</v>
      </c>
      <c r="AD43" s="3" t="s">
        <v>48</v>
      </c>
      <c r="AE43" s="6">
        <v>44417</v>
      </c>
      <c r="AF43" s="3" t="s">
        <v>59</v>
      </c>
      <c r="AG43" s="3" t="s">
        <v>49</v>
      </c>
      <c r="AH43" s="3">
        <f>YEAR(SrcDB[[#This Row],[Datum_zverejnenia]])</f>
        <v>2020</v>
      </c>
      <c r="AI43" s="3" cm="1">
        <f t="array" ref="AI43">COUNT(_xlfn.UNIQUE(_xlfn._xlws.FILTER(SrcDB[ID],SrcDB[Objednavatel_ICO]=$H43)))</f>
        <v>6</v>
      </c>
      <c r="AJ43" s="3" cm="1">
        <f t="array" ref="AJ43">COUNT(_xlfn.UNIQUE(_xlfn._xlws.FILTER(SrcDB[ID],SrcDB[Dodavatel_ICO]=$K43)))</f>
        <v>14</v>
      </c>
      <c r="AK43" s="3">
        <f t="shared" si="8"/>
        <v>0</v>
      </c>
      <c r="AL43" s="3">
        <f t="shared" si="9"/>
        <v>0</v>
      </c>
      <c r="AM43" s="17" t="str">
        <f>IF(SrcDB[[#This Row],[Pocet zmluv objednavatela]]&gt;3,SrcDB[[#This Row],[Objednavatel]],"Ostatné")</f>
        <v>Ministerstvo spravodlivosti SR</v>
      </c>
      <c r="AN43" s="17" t="str">
        <f>IF(SrcDB[[#This Row],[Pocet zmluv dodavatela]]&gt;3,SrcDB[[#This Row],[Dodavatel]],"Ostatné")</f>
        <v>DITEC, a.s.</v>
      </c>
    </row>
    <row r="44" spans="1:40" x14ac:dyDescent="0.3">
      <c r="A44" s="2" t="s">
        <v>141</v>
      </c>
      <c r="B44" s="2">
        <v>4471081</v>
      </c>
      <c r="C44" s="3" t="str">
        <f t="shared" si="0"/>
        <v>Nie</v>
      </c>
      <c r="D44" s="3" t="str">
        <f t="shared" si="1"/>
        <v>Áno</v>
      </c>
      <c r="E44" s="3" t="s">
        <v>48</v>
      </c>
      <c r="F44" s="3" t="s">
        <v>49</v>
      </c>
      <c r="G44" s="2" t="str">
        <f t="shared" si="2"/>
        <v>Veľké zmluvy</v>
      </c>
      <c r="H44" s="5" t="s">
        <v>62</v>
      </c>
      <c r="I44" s="2" t="s">
        <v>63</v>
      </c>
      <c r="J44" s="2" t="s">
        <v>64</v>
      </c>
      <c r="K44" s="5">
        <v>31385401</v>
      </c>
      <c r="L44" s="2" t="s">
        <v>142</v>
      </c>
      <c r="M44" s="2" t="s">
        <v>143</v>
      </c>
      <c r="N44" s="6">
        <v>43888</v>
      </c>
      <c r="O44" s="4">
        <v>9591739.1999999993</v>
      </c>
      <c r="P44" s="2">
        <v>114565</v>
      </c>
      <c r="Q44" s="2" t="s">
        <v>144</v>
      </c>
      <c r="R44" s="2" t="s">
        <v>145</v>
      </c>
      <c r="S44" s="2" t="s">
        <v>56</v>
      </c>
      <c r="T44" s="2" t="s">
        <v>147</v>
      </c>
      <c r="U44" s="2" t="s">
        <v>76</v>
      </c>
      <c r="W44" s="4">
        <v>570</v>
      </c>
      <c r="X44" s="4">
        <v>684</v>
      </c>
      <c r="Y44" s="4">
        <f t="shared" ref="Y44" si="46">INDEX(InternalRates,MATCH($S44,InternalRates01,FALSE),2)</f>
        <v>278.98333333333335</v>
      </c>
      <c r="Z44" s="3" t="str">
        <f t="shared" si="5"/>
        <v>Nie</v>
      </c>
      <c r="AA44" s="3" t="str">
        <f t="shared" si="6"/>
        <v>SLA</v>
      </c>
      <c r="AD44" s="3" t="s">
        <v>48</v>
      </c>
      <c r="AE44" s="6">
        <v>44417</v>
      </c>
      <c r="AF44" s="3" t="s">
        <v>59</v>
      </c>
      <c r="AG44" s="3" t="s">
        <v>49</v>
      </c>
      <c r="AH44" s="3">
        <f>YEAR(SrcDB[[#This Row],[Datum_zverejnenia]])</f>
        <v>2020</v>
      </c>
      <c r="AI44" s="3" cm="1">
        <f t="array" ref="AI44">COUNT(_xlfn.UNIQUE(_xlfn._xlws.FILTER(SrcDB[ID],SrcDB[Objednavatel_ICO]=$H44)))</f>
        <v>6</v>
      </c>
      <c r="AJ44" s="3" cm="1">
        <f t="array" ref="AJ44">COUNT(_xlfn.UNIQUE(_xlfn._xlws.FILTER(SrcDB[ID],SrcDB[Dodavatel_ICO]=$K44)))</f>
        <v>14</v>
      </c>
      <c r="AK44" s="3">
        <f t="shared" si="8"/>
        <v>0</v>
      </c>
      <c r="AL44" s="3">
        <f t="shared" si="9"/>
        <v>0</v>
      </c>
      <c r="AM44" s="17" t="str">
        <f>IF(SrcDB[[#This Row],[Pocet zmluv objednavatela]]&gt;3,SrcDB[[#This Row],[Objednavatel]],"Ostatné")</f>
        <v>Ministerstvo spravodlivosti SR</v>
      </c>
      <c r="AN44" s="17" t="str">
        <f>IF(SrcDB[[#This Row],[Pocet zmluv dodavatela]]&gt;3,SrcDB[[#This Row],[Dodavatel]],"Ostatné")</f>
        <v>DITEC, a.s.</v>
      </c>
    </row>
    <row r="45" spans="1:40" x14ac:dyDescent="0.3">
      <c r="A45" s="2" t="s">
        <v>141</v>
      </c>
      <c r="B45" s="2">
        <v>4471081</v>
      </c>
      <c r="C45" s="3" t="str">
        <f t="shared" si="0"/>
        <v>Nie</v>
      </c>
      <c r="D45" s="3" t="str">
        <f t="shared" si="1"/>
        <v>Áno</v>
      </c>
      <c r="E45" s="3" t="s">
        <v>48</v>
      </c>
      <c r="F45" s="3" t="s">
        <v>49</v>
      </c>
      <c r="G45" s="2" t="str">
        <f t="shared" si="2"/>
        <v>Veľké zmluvy</v>
      </c>
      <c r="H45" s="5" t="s">
        <v>62</v>
      </c>
      <c r="I45" s="2" t="s">
        <v>63</v>
      </c>
      <c r="J45" s="2" t="s">
        <v>64</v>
      </c>
      <c r="K45" s="5">
        <v>31385401</v>
      </c>
      <c r="L45" s="2" t="s">
        <v>142</v>
      </c>
      <c r="M45" s="2" t="s">
        <v>143</v>
      </c>
      <c r="N45" s="6">
        <v>43888</v>
      </c>
      <c r="O45" s="4">
        <v>9591739.1999999993</v>
      </c>
      <c r="P45" s="2">
        <v>114565</v>
      </c>
      <c r="Q45" s="2" t="s">
        <v>144</v>
      </c>
      <c r="R45" s="2" t="s">
        <v>145</v>
      </c>
      <c r="S45" s="2" t="s">
        <v>56</v>
      </c>
      <c r="T45" s="2" t="s">
        <v>148</v>
      </c>
      <c r="U45" s="2" t="s">
        <v>95</v>
      </c>
      <c r="W45" s="4">
        <v>570</v>
      </c>
      <c r="X45" s="4">
        <v>684</v>
      </c>
      <c r="Y45" s="4">
        <f t="shared" ref="Y45" si="47">INDEX(InternalRates,MATCH($S45,InternalRates01,FALSE),2)</f>
        <v>278.98333333333335</v>
      </c>
      <c r="Z45" s="3" t="str">
        <f t="shared" si="5"/>
        <v>Nie</v>
      </c>
      <c r="AA45" s="3" t="str">
        <f t="shared" si="6"/>
        <v>SLA</v>
      </c>
      <c r="AD45" s="3" t="s">
        <v>48</v>
      </c>
      <c r="AE45" s="6">
        <v>44417</v>
      </c>
      <c r="AF45" s="3" t="s">
        <v>59</v>
      </c>
      <c r="AG45" s="3" t="s">
        <v>49</v>
      </c>
      <c r="AH45" s="3">
        <f>YEAR(SrcDB[[#This Row],[Datum_zverejnenia]])</f>
        <v>2020</v>
      </c>
      <c r="AI45" s="3" cm="1">
        <f t="array" ref="AI45">COUNT(_xlfn.UNIQUE(_xlfn._xlws.FILTER(SrcDB[ID],SrcDB[Objednavatel_ICO]=$H45)))</f>
        <v>6</v>
      </c>
      <c r="AJ45" s="3" cm="1">
        <f t="array" ref="AJ45">COUNT(_xlfn.UNIQUE(_xlfn._xlws.FILTER(SrcDB[ID],SrcDB[Dodavatel_ICO]=$K45)))</f>
        <v>14</v>
      </c>
      <c r="AK45" s="3">
        <f t="shared" si="8"/>
        <v>0</v>
      </c>
      <c r="AL45" s="3">
        <f t="shared" si="9"/>
        <v>0</v>
      </c>
      <c r="AM45" s="17" t="str">
        <f>IF(SrcDB[[#This Row],[Pocet zmluv objednavatela]]&gt;3,SrcDB[[#This Row],[Objednavatel]],"Ostatné")</f>
        <v>Ministerstvo spravodlivosti SR</v>
      </c>
      <c r="AN45" s="17" t="str">
        <f>IF(SrcDB[[#This Row],[Pocet zmluv dodavatela]]&gt;3,SrcDB[[#This Row],[Dodavatel]],"Ostatné")</f>
        <v>DITEC, a.s.</v>
      </c>
    </row>
    <row r="46" spans="1:40" x14ac:dyDescent="0.3">
      <c r="A46" s="2" t="s">
        <v>141</v>
      </c>
      <c r="B46" s="2">
        <v>4471081</v>
      </c>
      <c r="C46" s="3" t="str">
        <f t="shared" si="0"/>
        <v>Nie</v>
      </c>
      <c r="D46" s="3" t="str">
        <f t="shared" si="1"/>
        <v>Áno</v>
      </c>
      <c r="E46" s="3" t="s">
        <v>48</v>
      </c>
      <c r="F46" s="3" t="s">
        <v>49</v>
      </c>
      <c r="G46" s="2" t="str">
        <f t="shared" si="2"/>
        <v>Veľké zmluvy</v>
      </c>
      <c r="H46" s="5" t="s">
        <v>62</v>
      </c>
      <c r="I46" s="2" t="s">
        <v>63</v>
      </c>
      <c r="J46" s="2" t="s">
        <v>64</v>
      </c>
      <c r="K46" s="5">
        <v>31385401</v>
      </c>
      <c r="L46" s="2" t="s">
        <v>142</v>
      </c>
      <c r="M46" s="2" t="s">
        <v>143</v>
      </c>
      <c r="N46" s="6">
        <v>43888</v>
      </c>
      <c r="O46" s="4">
        <v>9591739.1999999993</v>
      </c>
      <c r="P46" s="2">
        <v>114565</v>
      </c>
      <c r="Q46" s="2" t="s">
        <v>144</v>
      </c>
      <c r="R46" s="2" t="s">
        <v>145</v>
      </c>
      <c r="S46" s="2" t="s">
        <v>56</v>
      </c>
      <c r="T46" s="2" t="s">
        <v>149</v>
      </c>
      <c r="U46" s="2" t="s">
        <v>95</v>
      </c>
      <c r="W46" s="4">
        <v>570</v>
      </c>
      <c r="X46" s="4">
        <v>684</v>
      </c>
      <c r="Y46" s="4">
        <f t="shared" ref="Y46" si="48">INDEX(InternalRates,MATCH($S46,InternalRates01,FALSE),2)</f>
        <v>278.98333333333335</v>
      </c>
      <c r="Z46" s="3" t="str">
        <f t="shared" si="5"/>
        <v>Nie</v>
      </c>
      <c r="AA46" s="3" t="str">
        <f t="shared" si="6"/>
        <v>SLA</v>
      </c>
      <c r="AD46" s="3" t="s">
        <v>48</v>
      </c>
      <c r="AE46" s="6">
        <v>44417</v>
      </c>
      <c r="AF46" s="3" t="s">
        <v>59</v>
      </c>
      <c r="AG46" s="3" t="s">
        <v>49</v>
      </c>
      <c r="AH46" s="3">
        <f>YEAR(SrcDB[[#This Row],[Datum_zverejnenia]])</f>
        <v>2020</v>
      </c>
      <c r="AI46" s="3" cm="1">
        <f t="array" ref="AI46">COUNT(_xlfn.UNIQUE(_xlfn._xlws.FILTER(SrcDB[ID],SrcDB[Objednavatel_ICO]=$H46)))</f>
        <v>6</v>
      </c>
      <c r="AJ46" s="3" cm="1">
        <f t="array" ref="AJ46">COUNT(_xlfn.UNIQUE(_xlfn._xlws.FILTER(SrcDB[ID],SrcDB[Dodavatel_ICO]=$K46)))</f>
        <v>14</v>
      </c>
      <c r="AK46" s="3">
        <f t="shared" si="8"/>
        <v>0</v>
      </c>
      <c r="AL46" s="3">
        <f t="shared" si="9"/>
        <v>0</v>
      </c>
      <c r="AM46" s="17" t="str">
        <f>IF(SrcDB[[#This Row],[Pocet zmluv objednavatela]]&gt;3,SrcDB[[#This Row],[Objednavatel]],"Ostatné")</f>
        <v>Ministerstvo spravodlivosti SR</v>
      </c>
      <c r="AN46" s="17" t="str">
        <f>IF(SrcDB[[#This Row],[Pocet zmluv dodavatela]]&gt;3,SrcDB[[#This Row],[Dodavatel]],"Ostatné")</f>
        <v>DITEC, a.s.</v>
      </c>
    </row>
    <row r="47" spans="1:40" x14ac:dyDescent="0.3">
      <c r="A47" s="2" t="s">
        <v>141</v>
      </c>
      <c r="B47" s="2">
        <v>4471081</v>
      </c>
      <c r="C47" s="3" t="str">
        <f t="shared" si="0"/>
        <v>Nie</v>
      </c>
      <c r="D47" s="3" t="str">
        <f t="shared" si="1"/>
        <v>Áno</v>
      </c>
      <c r="E47" s="3" t="s">
        <v>48</v>
      </c>
      <c r="F47" s="3" t="s">
        <v>49</v>
      </c>
      <c r="G47" s="2" t="str">
        <f t="shared" si="2"/>
        <v>Veľké zmluvy</v>
      </c>
      <c r="H47" s="5" t="s">
        <v>62</v>
      </c>
      <c r="I47" s="2" t="s">
        <v>63</v>
      </c>
      <c r="J47" s="2" t="s">
        <v>64</v>
      </c>
      <c r="K47" s="5">
        <v>31385401</v>
      </c>
      <c r="L47" s="2" t="s">
        <v>142</v>
      </c>
      <c r="M47" s="2" t="s">
        <v>143</v>
      </c>
      <c r="N47" s="6">
        <v>43888</v>
      </c>
      <c r="O47" s="4">
        <v>9591739.1999999993</v>
      </c>
      <c r="P47" s="2">
        <v>114565</v>
      </c>
      <c r="Q47" s="2" t="s">
        <v>144</v>
      </c>
      <c r="R47" s="2" t="s">
        <v>145</v>
      </c>
      <c r="S47" s="2" t="s">
        <v>56</v>
      </c>
      <c r="T47" s="2" t="s">
        <v>150</v>
      </c>
      <c r="U47" s="2" t="s">
        <v>95</v>
      </c>
      <c r="W47" s="4">
        <v>570</v>
      </c>
      <c r="X47" s="4">
        <v>684</v>
      </c>
      <c r="Y47" s="4">
        <f t="shared" ref="Y47" si="49">INDEX(InternalRates,MATCH($S47,InternalRates01,FALSE),2)</f>
        <v>278.98333333333335</v>
      </c>
      <c r="Z47" s="3" t="str">
        <f t="shared" si="5"/>
        <v>Nie</v>
      </c>
      <c r="AA47" s="3" t="str">
        <f t="shared" si="6"/>
        <v>SLA</v>
      </c>
      <c r="AD47" s="3" t="s">
        <v>48</v>
      </c>
      <c r="AE47" s="6">
        <v>44417</v>
      </c>
      <c r="AF47" s="3" t="s">
        <v>59</v>
      </c>
      <c r="AG47" s="3" t="s">
        <v>49</v>
      </c>
      <c r="AH47" s="3">
        <f>YEAR(SrcDB[[#This Row],[Datum_zverejnenia]])</f>
        <v>2020</v>
      </c>
      <c r="AI47" s="3" cm="1">
        <f t="array" ref="AI47">COUNT(_xlfn.UNIQUE(_xlfn._xlws.FILTER(SrcDB[ID],SrcDB[Objednavatel_ICO]=$H47)))</f>
        <v>6</v>
      </c>
      <c r="AJ47" s="3" cm="1">
        <f t="array" ref="AJ47">COUNT(_xlfn.UNIQUE(_xlfn._xlws.FILTER(SrcDB[ID],SrcDB[Dodavatel_ICO]=$K47)))</f>
        <v>14</v>
      </c>
      <c r="AK47" s="3">
        <f t="shared" si="8"/>
        <v>0</v>
      </c>
      <c r="AL47" s="3">
        <f t="shared" si="9"/>
        <v>0</v>
      </c>
      <c r="AM47" s="17" t="str">
        <f>IF(SrcDB[[#This Row],[Pocet zmluv objednavatela]]&gt;3,SrcDB[[#This Row],[Objednavatel]],"Ostatné")</f>
        <v>Ministerstvo spravodlivosti SR</v>
      </c>
      <c r="AN47" s="17" t="str">
        <f>IF(SrcDB[[#This Row],[Pocet zmluv dodavatela]]&gt;3,SrcDB[[#This Row],[Dodavatel]],"Ostatné")</f>
        <v>DITEC, a.s.</v>
      </c>
    </row>
    <row r="48" spans="1:40" x14ac:dyDescent="0.3">
      <c r="A48" s="2" t="s">
        <v>141</v>
      </c>
      <c r="B48" s="2">
        <v>4471081</v>
      </c>
      <c r="C48" s="3" t="str">
        <f t="shared" si="0"/>
        <v>Nie</v>
      </c>
      <c r="D48" s="3" t="str">
        <f t="shared" si="1"/>
        <v>Áno</v>
      </c>
      <c r="E48" s="3" t="s">
        <v>48</v>
      </c>
      <c r="F48" s="3" t="s">
        <v>49</v>
      </c>
      <c r="G48" s="2" t="str">
        <f t="shared" si="2"/>
        <v>Veľké zmluvy</v>
      </c>
      <c r="H48" s="5" t="s">
        <v>62</v>
      </c>
      <c r="I48" s="2" t="s">
        <v>63</v>
      </c>
      <c r="J48" s="2" t="s">
        <v>64</v>
      </c>
      <c r="K48" s="5">
        <v>31385401</v>
      </c>
      <c r="L48" s="2" t="s">
        <v>142</v>
      </c>
      <c r="M48" s="2" t="s">
        <v>143</v>
      </c>
      <c r="N48" s="6">
        <v>43888</v>
      </c>
      <c r="O48" s="4">
        <v>9591739.1999999993</v>
      </c>
      <c r="P48" s="2">
        <v>114565</v>
      </c>
      <c r="Q48" s="2" t="s">
        <v>144</v>
      </c>
      <c r="R48" s="2" t="s">
        <v>145</v>
      </c>
      <c r="S48" s="2" t="s">
        <v>56</v>
      </c>
      <c r="T48" s="2" t="s">
        <v>151</v>
      </c>
      <c r="U48" s="2" t="s">
        <v>58</v>
      </c>
      <c r="W48" s="4">
        <v>570</v>
      </c>
      <c r="X48" s="4">
        <v>684</v>
      </c>
      <c r="Y48" s="4">
        <f t="shared" ref="Y48" si="50">INDEX(InternalRates,MATCH($S48,InternalRates01,FALSE),2)</f>
        <v>278.98333333333335</v>
      </c>
      <c r="Z48" s="3" t="str">
        <f t="shared" si="5"/>
        <v>Nie</v>
      </c>
      <c r="AA48" s="3" t="str">
        <f t="shared" si="6"/>
        <v>SLA</v>
      </c>
      <c r="AD48" s="3" t="s">
        <v>48</v>
      </c>
      <c r="AE48" s="6">
        <v>44417</v>
      </c>
      <c r="AF48" s="3" t="s">
        <v>59</v>
      </c>
      <c r="AG48" s="3" t="s">
        <v>49</v>
      </c>
      <c r="AH48" s="3">
        <f>YEAR(SrcDB[[#This Row],[Datum_zverejnenia]])</f>
        <v>2020</v>
      </c>
      <c r="AI48" s="3" cm="1">
        <f t="array" ref="AI48">COUNT(_xlfn.UNIQUE(_xlfn._xlws.FILTER(SrcDB[ID],SrcDB[Objednavatel_ICO]=$H48)))</f>
        <v>6</v>
      </c>
      <c r="AJ48" s="3" cm="1">
        <f t="array" ref="AJ48">COUNT(_xlfn.UNIQUE(_xlfn._xlws.FILTER(SrcDB[ID],SrcDB[Dodavatel_ICO]=$K48)))</f>
        <v>14</v>
      </c>
      <c r="AK48" s="3">
        <f t="shared" si="8"/>
        <v>0</v>
      </c>
      <c r="AL48" s="3">
        <f t="shared" si="9"/>
        <v>0</v>
      </c>
      <c r="AM48" s="17" t="str">
        <f>IF(SrcDB[[#This Row],[Pocet zmluv objednavatela]]&gt;3,SrcDB[[#This Row],[Objednavatel]],"Ostatné")</f>
        <v>Ministerstvo spravodlivosti SR</v>
      </c>
      <c r="AN48" s="17" t="str">
        <f>IF(SrcDB[[#This Row],[Pocet zmluv dodavatela]]&gt;3,SrcDB[[#This Row],[Dodavatel]],"Ostatné")</f>
        <v>DITEC, a.s.</v>
      </c>
    </row>
    <row r="49" spans="1:40" x14ac:dyDescent="0.3">
      <c r="A49" s="2" t="s">
        <v>152</v>
      </c>
      <c r="B49" s="2">
        <v>4472902</v>
      </c>
      <c r="C49" s="3" t="str">
        <f t="shared" si="0"/>
        <v>Nie</v>
      </c>
      <c r="D49" s="3" t="str">
        <f t="shared" si="1"/>
        <v>Áno</v>
      </c>
      <c r="E49" s="3" t="s">
        <v>48</v>
      </c>
      <c r="F49" s="3" t="s">
        <v>49</v>
      </c>
      <c r="G49" s="2" t="str">
        <f t="shared" si="2"/>
        <v>Stredné zmluvy</v>
      </c>
      <c r="H49" s="5" t="s">
        <v>153</v>
      </c>
      <c r="I49" s="2" t="s">
        <v>154</v>
      </c>
      <c r="J49" s="2" t="s">
        <v>155</v>
      </c>
      <c r="K49" s="5">
        <v>31326650</v>
      </c>
      <c r="L49" s="2" t="s">
        <v>156</v>
      </c>
      <c r="M49" s="2" t="s">
        <v>157</v>
      </c>
      <c r="N49" s="6">
        <v>43889.58357638889</v>
      </c>
      <c r="O49" s="4">
        <v>5494675.2000000002</v>
      </c>
      <c r="P49" s="2">
        <v>114725</v>
      </c>
      <c r="Q49" s="2" t="s">
        <v>158</v>
      </c>
      <c r="R49" s="2" t="s">
        <v>159</v>
      </c>
      <c r="S49" s="2" t="s">
        <v>160</v>
      </c>
      <c r="T49" s="2" t="s">
        <v>161</v>
      </c>
      <c r="W49" s="4">
        <v>580.70588235294099</v>
      </c>
      <c r="X49" s="4">
        <v>696.84705882352921</v>
      </c>
      <c r="Y49" s="4">
        <f t="shared" ref="Y49" si="51">INDEX(InternalRates,MATCH($S49,InternalRates01,FALSE),2)</f>
        <v>231.85833333333335</v>
      </c>
      <c r="Z49" s="3" t="str">
        <f t="shared" si="5"/>
        <v>Nie</v>
      </c>
      <c r="AA49" s="3" t="str">
        <f t="shared" si="6"/>
        <v>SLA</v>
      </c>
      <c r="AB49" s="4">
        <v>102</v>
      </c>
      <c r="AD49" s="3" t="s">
        <v>48</v>
      </c>
      <c r="AE49" s="6">
        <v>44418</v>
      </c>
      <c r="AF49" s="3" t="s">
        <v>59</v>
      </c>
      <c r="AG49" s="3" t="s">
        <v>48</v>
      </c>
      <c r="AH49" s="3">
        <f>YEAR(SrcDB[[#This Row],[Datum_zverejnenia]])</f>
        <v>2020</v>
      </c>
      <c r="AI49" s="3" cm="1">
        <f t="array" ref="AI49">COUNT(_xlfn.UNIQUE(_xlfn._xlws.FILTER(SrcDB[ID],SrcDB[Objednavatel_ICO]=$H49)))</f>
        <v>4</v>
      </c>
      <c r="AJ49" s="3" cm="1">
        <f t="array" ref="AJ49">COUNT(_xlfn.UNIQUE(_xlfn._xlws.FILTER(SrcDB[ID],SrcDB[Dodavatel_ICO]=$K49)))</f>
        <v>8</v>
      </c>
      <c r="AK49" s="3">
        <f t="shared" si="8"/>
        <v>1</v>
      </c>
      <c r="AL49" s="3">
        <f t="shared" si="9"/>
        <v>1</v>
      </c>
      <c r="AM49" s="17" t="str">
        <f>IF(SrcDB[[#This Row],[Pocet zmluv objednavatela]]&gt;3,SrcDB[[#This Row],[Objednavatel]],"Ostatné")</f>
        <v>DataCentrum</v>
      </c>
      <c r="AN49" s="17" t="str">
        <f>IF(SrcDB[[#This Row],[Pocet zmluv dodavatela]]&gt;3,SrcDB[[#This Row],[Dodavatel]],"Ostatné")</f>
        <v>TEMPEST a.s.</v>
      </c>
    </row>
    <row r="50" spans="1:40" x14ac:dyDescent="0.3">
      <c r="A50" s="2" t="s">
        <v>152</v>
      </c>
      <c r="B50" s="2">
        <v>4472902</v>
      </c>
      <c r="C50" s="3" t="str">
        <f t="shared" si="0"/>
        <v>Nie</v>
      </c>
      <c r="D50" s="3" t="str">
        <f t="shared" si="1"/>
        <v>Áno</v>
      </c>
      <c r="E50" s="3" t="s">
        <v>48</v>
      </c>
      <c r="F50" s="3" t="s">
        <v>49</v>
      </c>
      <c r="G50" s="2" t="str">
        <f t="shared" si="2"/>
        <v>Stredné zmluvy</v>
      </c>
      <c r="H50" s="5" t="s">
        <v>153</v>
      </c>
      <c r="I50" s="2" t="s">
        <v>154</v>
      </c>
      <c r="J50" s="2" t="s">
        <v>155</v>
      </c>
      <c r="K50" s="5">
        <v>31326650</v>
      </c>
      <c r="L50" s="2" t="s">
        <v>156</v>
      </c>
      <c r="M50" s="2" t="s">
        <v>157</v>
      </c>
      <c r="N50" s="6">
        <v>43889.58357638889</v>
      </c>
      <c r="O50" s="4">
        <v>5494675.2000000002</v>
      </c>
      <c r="P50" s="2">
        <v>114725</v>
      </c>
      <c r="Q50" s="2" t="s">
        <v>158</v>
      </c>
      <c r="R50" s="2" t="s">
        <v>159</v>
      </c>
      <c r="S50" s="2" t="s">
        <v>162</v>
      </c>
      <c r="T50" s="2" t="s">
        <v>163</v>
      </c>
      <c r="W50" s="4">
        <v>520</v>
      </c>
      <c r="X50" s="4">
        <v>624</v>
      </c>
      <c r="Y50" s="4">
        <f t="shared" ref="Y50" si="52">INDEX(InternalRates,MATCH($S50,InternalRates01,FALSE),2)</f>
        <v>231.85833333333335</v>
      </c>
      <c r="Z50" s="3" t="str">
        <f t="shared" si="5"/>
        <v>Nie</v>
      </c>
      <c r="AA50" s="3" t="str">
        <f t="shared" si="6"/>
        <v>SLA</v>
      </c>
      <c r="AB50" s="4">
        <v>22.5</v>
      </c>
      <c r="AD50" s="3" t="s">
        <v>48</v>
      </c>
      <c r="AE50" s="6">
        <v>44418</v>
      </c>
      <c r="AF50" s="3" t="s">
        <v>59</v>
      </c>
      <c r="AG50" s="3" t="s">
        <v>48</v>
      </c>
      <c r="AH50" s="3">
        <f>YEAR(SrcDB[[#This Row],[Datum_zverejnenia]])</f>
        <v>2020</v>
      </c>
      <c r="AI50" s="3" cm="1">
        <f t="array" ref="AI50">COUNT(_xlfn.UNIQUE(_xlfn._xlws.FILTER(SrcDB[ID],SrcDB[Objednavatel_ICO]=$H50)))</f>
        <v>4</v>
      </c>
      <c r="AJ50" s="3" cm="1">
        <f t="array" ref="AJ50">COUNT(_xlfn.UNIQUE(_xlfn._xlws.FILTER(SrcDB[ID],SrcDB[Dodavatel_ICO]=$K50)))</f>
        <v>8</v>
      </c>
      <c r="AK50" s="3">
        <f t="shared" si="8"/>
        <v>0</v>
      </c>
      <c r="AL50" s="3">
        <f t="shared" si="9"/>
        <v>0</v>
      </c>
      <c r="AM50" s="17" t="str">
        <f>IF(SrcDB[[#This Row],[Pocet zmluv objednavatela]]&gt;3,SrcDB[[#This Row],[Objednavatel]],"Ostatné")</f>
        <v>DataCentrum</v>
      </c>
      <c r="AN50" s="17" t="str">
        <f>IF(SrcDB[[#This Row],[Pocet zmluv dodavatela]]&gt;3,SrcDB[[#This Row],[Dodavatel]],"Ostatné")</f>
        <v>TEMPEST a.s.</v>
      </c>
    </row>
    <row r="51" spans="1:40" x14ac:dyDescent="0.3">
      <c r="A51" s="2" t="s">
        <v>152</v>
      </c>
      <c r="B51" s="2">
        <v>4472902</v>
      </c>
      <c r="C51" s="3" t="str">
        <f t="shared" si="0"/>
        <v>Nie</v>
      </c>
      <c r="D51" s="3" t="str">
        <f t="shared" si="1"/>
        <v>Áno</v>
      </c>
      <c r="E51" s="3" t="s">
        <v>48</v>
      </c>
      <c r="F51" s="3" t="s">
        <v>49</v>
      </c>
      <c r="G51" s="2" t="str">
        <f t="shared" si="2"/>
        <v>Stredné zmluvy</v>
      </c>
      <c r="H51" s="5" t="s">
        <v>153</v>
      </c>
      <c r="I51" s="2" t="s">
        <v>154</v>
      </c>
      <c r="J51" s="2" t="s">
        <v>155</v>
      </c>
      <c r="K51" s="5">
        <v>31326650</v>
      </c>
      <c r="L51" s="2" t="s">
        <v>156</v>
      </c>
      <c r="M51" s="2" t="s">
        <v>157</v>
      </c>
      <c r="N51" s="6">
        <v>43889</v>
      </c>
      <c r="O51" s="4">
        <v>5494675.2000000002</v>
      </c>
      <c r="P51" s="2">
        <v>114725</v>
      </c>
      <c r="Q51" s="2" t="s">
        <v>158</v>
      </c>
      <c r="R51" s="2" t="s">
        <v>159</v>
      </c>
      <c r="S51" s="2" t="s">
        <v>162</v>
      </c>
      <c r="T51" s="2" t="s">
        <v>164</v>
      </c>
      <c r="W51" s="4">
        <v>520</v>
      </c>
      <c r="X51" s="4">
        <v>624</v>
      </c>
      <c r="Y51" s="4">
        <f t="shared" ref="Y51" si="53">INDEX(InternalRates,MATCH($S51,InternalRates01,FALSE),2)</f>
        <v>231.85833333333335</v>
      </c>
      <c r="Z51" s="3" t="str">
        <f t="shared" si="5"/>
        <v>Nie</v>
      </c>
      <c r="AA51" s="3" t="str">
        <f t="shared" si="6"/>
        <v>SLA</v>
      </c>
      <c r="AB51" s="4">
        <v>85</v>
      </c>
      <c r="AD51" s="3" t="s">
        <v>48</v>
      </c>
      <c r="AE51" s="6">
        <v>44418</v>
      </c>
      <c r="AF51" s="3" t="s">
        <v>59</v>
      </c>
      <c r="AG51" s="3" t="s">
        <v>48</v>
      </c>
      <c r="AH51" s="3">
        <f>YEAR(SrcDB[[#This Row],[Datum_zverejnenia]])</f>
        <v>2020</v>
      </c>
      <c r="AI51" s="3" cm="1">
        <f t="array" ref="AI51">COUNT(_xlfn.UNIQUE(_xlfn._xlws.FILTER(SrcDB[ID],SrcDB[Objednavatel_ICO]=$H51)))</f>
        <v>4</v>
      </c>
      <c r="AJ51" s="3" cm="1">
        <f t="array" ref="AJ51">COUNT(_xlfn.UNIQUE(_xlfn._xlws.FILTER(SrcDB[ID],SrcDB[Dodavatel_ICO]=$K51)))</f>
        <v>8</v>
      </c>
      <c r="AK51" s="3">
        <f t="shared" si="8"/>
        <v>0</v>
      </c>
      <c r="AL51" s="3">
        <f t="shared" si="9"/>
        <v>0</v>
      </c>
      <c r="AM51" s="17" t="str">
        <f>IF(SrcDB[[#This Row],[Pocet zmluv objednavatela]]&gt;3,SrcDB[[#This Row],[Objednavatel]],"Ostatné")</f>
        <v>DataCentrum</v>
      </c>
      <c r="AN51" s="17" t="str">
        <f>IF(SrcDB[[#This Row],[Pocet zmluv dodavatela]]&gt;3,SrcDB[[#This Row],[Dodavatel]],"Ostatné")</f>
        <v>TEMPEST a.s.</v>
      </c>
    </row>
    <row r="52" spans="1:40" x14ac:dyDescent="0.3">
      <c r="A52" s="2" t="s">
        <v>152</v>
      </c>
      <c r="B52" s="2">
        <v>4472902</v>
      </c>
      <c r="C52" s="3" t="str">
        <f t="shared" si="0"/>
        <v>Nie</v>
      </c>
      <c r="D52" s="3" t="str">
        <f t="shared" si="1"/>
        <v>Áno</v>
      </c>
      <c r="E52" s="3" t="s">
        <v>48</v>
      </c>
      <c r="F52" s="3" t="s">
        <v>49</v>
      </c>
      <c r="G52" s="2" t="str">
        <f t="shared" si="2"/>
        <v>Stredné zmluvy</v>
      </c>
      <c r="H52" s="5" t="s">
        <v>153</v>
      </c>
      <c r="I52" s="2" t="s">
        <v>154</v>
      </c>
      <c r="J52" s="2" t="s">
        <v>155</v>
      </c>
      <c r="K52" s="5">
        <v>31326650</v>
      </c>
      <c r="L52" s="2" t="s">
        <v>156</v>
      </c>
      <c r="M52" s="2" t="s">
        <v>157</v>
      </c>
      <c r="N52" s="6">
        <v>43889</v>
      </c>
      <c r="O52" s="4">
        <v>5494675.2000000002</v>
      </c>
      <c r="P52" s="2">
        <v>114725</v>
      </c>
      <c r="Q52" s="2" t="s">
        <v>158</v>
      </c>
      <c r="R52" s="2" t="s">
        <v>159</v>
      </c>
      <c r="S52" s="2" t="s">
        <v>162</v>
      </c>
      <c r="T52" s="2" t="s">
        <v>165</v>
      </c>
      <c r="W52" s="4">
        <v>520</v>
      </c>
      <c r="X52" s="4">
        <v>624</v>
      </c>
      <c r="Y52" s="4">
        <f t="shared" ref="Y52" si="54">INDEX(InternalRates,MATCH($S52,InternalRates01,FALSE),2)</f>
        <v>231.85833333333335</v>
      </c>
      <c r="Z52" s="3" t="str">
        <f t="shared" si="5"/>
        <v>Nie</v>
      </c>
      <c r="AA52" s="3" t="str">
        <f t="shared" si="6"/>
        <v>SLA</v>
      </c>
      <c r="AB52" s="4">
        <v>40</v>
      </c>
      <c r="AD52" s="3" t="s">
        <v>48</v>
      </c>
      <c r="AE52" s="6">
        <v>44418</v>
      </c>
      <c r="AF52" s="3" t="s">
        <v>59</v>
      </c>
      <c r="AG52" s="3" t="s">
        <v>48</v>
      </c>
      <c r="AH52" s="3">
        <f>YEAR(SrcDB[[#This Row],[Datum_zverejnenia]])</f>
        <v>2020</v>
      </c>
      <c r="AI52" s="3" cm="1">
        <f t="array" ref="AI52">COUNT(_xlfn.UNIQUE(_xlfn._xlws.FILTER(SrcDB[ID],SrcDB[Objednavatel_ICO]=$H52)))</f>
        <v>4</v>
      </c>
      <c r="AJ52" s="3" cm="1">
        <f t="array" ref="AJ52">COUNT(_xlfn.UNIQUE(_xlfn._xlws.FILTER(SrcDB[ID],SrcDB[Dodavatel_ICO]=$K52)))</f>
        <v>8</v>
      </c>
      <c r="AK52" s="3">
        <f t="shared" si="8"/>
        <v>0</v>
      </c>
      <c r="AL52" s="3">
        <f t="shared" si="9"/>
        <v>0</v>
      </c>
      <c r="AM52" s="17" t="str">
        <f>IF(SrcDB[[#This Row],[Pocet zmluv objednavatela]]&gt;3,SrcDB[[#This Row],[Objednavatel]],"Ostatné")</f>
        <v>DataCentrum</v>
      </c>
      <c r="AN52" s="17" t="str">
        <f>IF(SrcDB[[#This Row],[Pocet zmluv dodavatela]]&gt;3,SrcDB[[#This Row],[Dodavatel]],"Ostatné")</f>
        <v>TEMPEST a.s.</v>
      </c>
    </row>
    <row r="53" spans="1:40" x14ac:dyDescent="0.3">
      <c r="A53" s="2" t="s">
        <v>152</v>
      </c>
      <c r="B53" s="2">
        <v>4472902</v>
      </c>
      <c r="C53" s="3" t="str">
        <f t="shared" si="0"/>
        <v>Nie</v>
      </c>
      <c r="D53" s="3" t="str">
        <f t="shared" si="1"/>
        <v>Áno</v>
      </c>
      <c r="E53" s="3" t="s">
        <v>48</v>
      </c>
      <c r="F53" s="3" t="s">
        <v>49</v>
      </c>
      <c r="G53" s="2" t="str">
        <f t="shared" si="2"/>
        <v>Stredné zmluvy</v>
      </c>
      <c r="H53" s="5" t="s">
        <v>153</v>
      </c>
      <c r="I53" s="2" t="s">
        <v>154</v>
      </c>
      <c r="J53" s="2" t="s">
        <v>155</v>
      </c>
      <c r="K53" s="5">
        <v>31326650</v>
      </c>
      <c r="L53" s="2" t="s">
        <v>156</v>
      </c>
      <c r="M53" s="2" t="s">
        <v>157</v>
      </c>
      <c r="N53" s="6">
        <v>43889</v>
      </c>
      <c r="O53" s="4">
        <v>5494675.2000000002</v>
      </c>
      <c r="P53" s="2">
        <v>114725</v>
      </c>
      <c r="Q53" s="2" t="s">
        <v>158</v>
      </c>
      <c r="R53" s="2" t="s">
        <v>159</v>
      </c>
      <c r="S53" s="2" t="s">
        <v>162</v>
      </c>
      <c r="T53" s="2" t="s">
        <v>166</v>
      </c>
      <c r="W53" s="4">
        <v>520</v>
      </c>
      <c r="X53" s="4">
        <v>624</v>
      </c>
      <c r="Y53" s="4">
        <f t="shared" ref="Y53" si="55">INDEX(InternalRates,MATCH($S53,InternalRates01,FALSE),2)</f>
        <v>231.85833333333335</v>
      </c>
      <c r="Z53" s="3" t="str">
        <f t="shared" si="5"/>
        <v>Nie</v>
      </c>
      <c r="AA53" s="3" t="str">
        <f t="shared" si="6"/>
        <v>SLA</v>
      </c>
      <c r="AB53" s="4">
        <v>22.5</v>
      </c>
      <c r="AD53" s="3" t="s">
        <v>48</v>
      </c>
      <c r="AE53" s="6">
        <v>44418</v>
      </c>
      <c r="AF53" s="3" t="s">
        <v>59</v>
      </c>
      <c r="AG53" s="3" t="s">
        <v>48</v>
      </c>
      <c r="AH53" s="3">
        <f>YEAR(SrcDB[[#This Row],[Datum_zverejnenia]])</f>
        <v>2020</v>
      </c>
      <c r="AI53" s="3" cm="1">
        <f t="array" ref="AI53">COUNT(_xlfn.UNIQUE(_xlfn._xlws.FILTER(SrcDB[ID],SrcDB[Objednavatel_ICO]=$H53)))</f>
        <v>4</v>
      </c>
      <c r="AJ53" s="3" cm="1">
        <f t="array" ref="AJ53">COUNT(_xlfn.UNIQUE(_xlfn._xlws.FILTER(SrcDB[ID],SrcDB[Dodavatel_ICO]=$K53)))</f>
        <v>8</v>
      </c>
      <c r="AK53" s="3">
        <f t="shared" si="8"/>
        <v>0</v>
      </c>
      <c r="AL53" s="3">
        <f t="shared" si="9"/>
        <v>0</v>
      </c>
      <c r="AM53" s="17" t="str">
        <f>IF(SrcDB[[#This Row],[Pocet zmluv objednavatela]]&gt;3,SrcDB[[#This Row],[Objednavatel]],"Ostatné")</f>
        <v>DataCentrum</v>
      </c>
      <c r="AN53" s="17" t="str">
        <f>IF(SrcDB[[#This Row],[Pocet zmluv dodavatela]]&gt;3,SrcDB[[#This Row],[Dodavatel]],"Ostatné")</f>
        <v>TEMPEST a.s.</v>
      </c>
    </row>
    <row r="54" spans="1:40" x14ac:dyDescent="0.3">
      <c r="A54" s="2" t="s">
        <v>152</v>
      </c>
      <c r="B54" s="2">
        <v>4472902</v>
      </c>
      <c r="C54" s="3" t="str">
        <f t="shared" si="0"/>
        <v>Nie</v>
      </c>
      <c r="D54" s="3" t="str">
        <f t="shared" si="1"/>
        <v>Áno</v>
      </c>
      <c r="E54" s="3" t="s">
        <v>48</v>
      </c>
      <c r="F54" s="3" t="s">
        <v>49</v>
      </c>
      <c r="G54" s="2" t="str">
        <f t="shared" si="2"/>
        <v>Stredné zmluvy</v>
      </c>
      <c r="H54" s="5" t="s">
        <v>153</v>
      </c>
      <c r="I54" s="2" t="s">
        <v>154</v>
      </c>
      <c r="J54" s="2" t="s">
        <v>155</v>
      </c>
      <c r="K54" s="5">
        <v>31326650</v>
      </c>
      <c r="L54" s="2" t="s">
        <v>156</v>
      </c>
      <c r="M54" s="2" t="s">
        <v>157</v>
      </c>
      <c r="N54" s="6">
        <v>43889</v>
      </c>
      <c r="O54" s="4">
        <v>5494675.2000000002</v>
      </c>
      <c r="P54" s="2">
        <v>114725</v>
      </c>
      <c r="Q54" s="2" t="s">
        <v>158</v>
      </c>
      <c r="R54" s="2" t="s">
        <v>159</v>
      </c>
      <c r="S54" s="2" t="s">
        <v>162</v>
      </c>
      <c r="T54" s="2" t="s">
        <v>167</v>
      </c>
      <c r="W54" s="4">
        <v>520</v>
      </c>
      <c r="X54" s="4">
        <v>624</v>
      </c>
      <c r="Y54" s="4">
        <f t="shared" ref="Y54" si="56">INDEX(InternalRates,MATCH($S54,InternalRates01,FALSE),2)</f>
        <v>231.85833333333335</v>
      </c>
      <c r="Z54" s="3" t="str">
        <f t="shared" si="5"/>
        <v>Nie</v>
      </c>
      <c r="AA54" s="3" t="str">
        <f t="shared" si="6"/>
        <v>SLA</v>
      </c>
      <c r="AB54" s="4">
        <v>72</v>
      </c>
      <c r="AD54" s="3" t="s">
        <v>48</v>
      </c>
      <c r="AE54" s="6">
        <v>44418</v>
      </c>
      <c r="AF54" s="3" t="s">
        <v>59</v>
      </c>
      <c r="AG54" s="3" t="s">
        <v>48</v>
      </c>
      <c r="AH54" s="3">
        <f>YEAR(SrcDB[[#This Row],[Datum_zverejnenia]])</f>
        <v>2020</v>
      </c>
      <c r="AI54" s="3" cm="1">
        <f t="array" ref="AI54">COUNT(_xlfn.UNIQUE(_xlfn._xlws.FILTER(SrcDB[ID],SrcDB[Objednavatel_ICO]=$H54)))</f>
        <v>4</v>
      </c>
      <c r="AJ54" s="3" cm="1">
        <f t="array" ref="AJ54">COUNT(_xlfn.UNIQUE(_xlfn._xlws.FILTER(SrcDB[ID],SrcDB[Dodavatel_ICO]=$K54)))</f>
        <v>8</v>
      </c>
      <c r="AK54" s="3">
        <f t="shared" si="8"/>
        <v>0</v>
      </c>
      <c r="AL54" s="3">
        <f t="shared" si="9"/>
        <v>0</v>
      </c>
      <c r="AM54" s="17" t="str">
        <f>IF(SrcDB[[#This Row],[Pocet zmluv objednavatela]]&gt;3,SrcDB[[#This Row],[Objednavatel]],"Ostatné")</f>
        <v>DataCentrum</v>
      </c>
      <c r="AN54" s="17" t="str">
        <f>IF(SrcDB[[#This Row],[Pocet zmluv dodavatela]]&gt;3,SrcDB[[#This Row],[Dodavatel]],"Ostatné")</f>
        <v>TEMPEST a.s.</v>
      </c>
    </row>
    <row r="55" spans="1:40" x14ac:dyDescent="0.3">
      <c r="A55" s="2" t="s">
        <v>152</v>
      </c>
      <c r="B55" s="2">
        <v>4472902</v>
      </c>
      <c r="C55" s="3" t="str">
        <f t="shared" si="0"/>
        <v>Nie</v>
      </c>
      <c r="D55" s="3" t="str">
        <f t="shared" si="1"/>
        <v>Áno</v>
      </c>
      <c r="E55" s="3" t="s">
        <v>48</v>
      </c>
      <c r="F55" s="3" t="s">
        <v>49</v>
      </c>
      <c r="G55" s="2" t="str">
        <f t="shared" si="2"/>
        <v>Stredné zmluvy</v>
      </c>
      <c r="H55" s="5" t="s">
        <v>153</v>
      </c>
      <c r="I55" s="2" t="s">
        <v>154</v>
      </c>
      <c r="J55" s="2" t="s">
        <v>155</v>
      </c>
      <c r="K55" s="5">
        <v>31326650</v>
      </c>
      <c r="L55" s="2" t="s">
        <v>156</v>
      </c>
      <c r="M55" s="2" t="s">
        <v>157</v>
      </c>
      <c r="N55" s="6">
        <v>43889</v>
      </c>
      <c r="O55" s="4">
        <v>5494675.2000000002</v>
      </c>
      <c r="P55" s="2">
        <v>114725</v>
      </c>
      <c r="Q55" s="2" t="s">
        <v>158</v>
      </c>
      <c r="R55" s="2" t="s">
        <v>159</v>
      </c>
      <c r="S55" s="2" t="s">
        <v>162</v>
      </c>
      <c r="T55" s="2" t="s">
        <v>168</v>
      </c>
      <c r="W55" s="4">
        <v>576</v>
      </c>
      <c r="X55" s="4">
        <v>691.19999999999993</v>
      </c>
      <c r="Y55" s="4">
        <f t="shared" ref="Y55" si="57">INDEX(InternalRates,MATCH($S55,InternalRates01,FALSE),2)</f>
        <v>231.85833333333335</v>
      </c>
      <c r="Z55" s="3" t="str">
        <f t="shared" si="5"/>
        <v>Nie</v>
      </c>
      <c r="AA55" s="3" t="str">
        <f t="shared" si="6"/>
        <v>SLA</v>
      </c>
      <c r="AB55" s="4">
        <v>40</v>
      </c>
      <c r="AD55" s="3" t="s">
        <v>48</v>
      </c>
      <c r="AE55" s="6">
        <v>44418</v>
      </c>
      <c r="AF55" s="3" t="s">
        <v>59</v>
      </c>
      <c r="AG55" s="3" t="s">
        <v>48</v>
      </c>
      <c r="AH55" s="3">
        <f>YEAR(SrcDB[[#This Row],[Datum_zverejnenia]])</f>
        <v>2020</v>
      </c>
      <c r="AI55" s="3" cm="1">
        <f t="array" ref="AI55">COUNT(_xlfn.UNIQUE(_xlfn._xlws.FILTER(SrcDB[ID],SrcDB[Objednavatel_ICO]=$H55)))</f>
        <v>4</v>
      </c>
      <c r="AJ55" s="3" cm="1">
        <f t="array" ref="AJ55">COUNT(_xlfn.UNIQUE(_xlfn._xlws.FILTER(SrcDB[ID],SrcDB[Dodavatel_ICO]=$K55)))</f>
        <v>8</v>
      </c>
      <c r="AK55" s="3">
        <f t="shared" si="8"/>
        <v>0</v>
      </c>
      <c r="AL55" s="3">
        <f t="shared" si="9"/>
        <v>0</v>
      </c>
      <c r="AM55" s="17" t="str">
        <f>IF(SrcDB[[#This Row],[Pocet zmluv objednavatela]]&gt;3,SrcDB[[#This Row],[Objednavatel]],"Ostatné")</f>
        <v>DataCentrum</v>
      </c>
      <c r="AN55" s="17" t="str">
        <f>IF(SrcDB[[#This Row],[Pocet zmluv dodavatela]]&gt;3,SrcDB[[#This Row],[Dodavatel]],"Ostatné")</f>
        <v>TEMPEST a.s.</v>
      </c>
    </row>
    <row r="56" spans="1:40" x14ac:dyDescent="0.3">
      <c r="A56" s="2" t="s">
        <v>152</v>
      </c>
      <c r="B56" s="2">
        <v>4472902</v>
      </c>
      <c r="C56" s="3" t="str">
        <f t="shared" si="0"/>
        <v>Nie</v>
      </c>
      <c r="D56" s="3" t="str">
        <f t="shared" si="1"/>
        <v>Áno</v>
      </c>
      <c r="E56" s="3" t="s">
        <v>48</v>
      </c>
      <c r="F56" s="3" t="s">
        <v>49</v>
      </c>
      <c r="G56" s="2" t="str">
        <f t="shared" si="2"/>
        <v>Stredné zmluvy</v>
      </c>
      <c r="H56" s="5" t="s">
        <v>153</v>
      </c>
      <c r="I56" s="2" t="s">
        <v>154</v>
      </c>
      <c r="J56" s="2" t="s">
        <v>155</v>
      </c>
      <c r="K56" s="5">
        <v>31326650</v>
      </c>
      <c r="L56" s="2" t="s">
        <v>156</v>
      </c>
      <c r="M56" s="2" t="s">
        <v>157</v>
      </c>
      <c r="N56" s="6">
        <v>43889</v>
      </c>
      <c r="O56" s="4">
        <v>5494675.2000000002</v>
      </c>
      <c r="P56" s="2">
        <v>114725</v>
      </c>
      <c r="Q56" s="2" t="s">
        <v>158</v>
      </c>
      <c r="R56" s="2" t="s">
        <v>159</v>
      </c>
      <c r="S56" s="2" t="s">
        <v>162</v>
      </c>
      <c r="T56" s="2" t="s">
        <v>169</v>
      </c>
      <c r="W56" s="4">
        <v>520</v>
      </c>
      <c r="X56" s="4">
        <v>624</v>
      </c>
      <c r="Y56" s="4">
        <f t="shared" ref="Y56" si="58">INDEX(InternalRates,MATCH($S56,InternalRates01,FALSE),2)</f>
        <v>231.85833333333335</v>
      </c>
      <c r="Z56" s="3" t="str">
        <f t="shared" si="5"/>
        <v>Nie</v>
      </c>
      <c r="AA56" s="3" t="str">
        <f t="shared" si="6"/>
        <v>SLA</v>
      </c>
      <c r="AB56" s="4">
        <v>72</v>
      </c>
      <c r="AD56" s="3" t="s">
        <v>48</v>
      </c>
      <c r="AE56" s="6">
        <v>44418</v>
      </c>
      <c r="AF56" s="3" t="s">
        <v>59</v>
      </c>
      <c r="AG56" s="3" t="s">
        <v>48</v>
      </c>
      <c r="AH56" s="3">
        <f>YEAR(SrcDB[[#This Row],[Datum_zverejnenia]])</f>
        <v>2020</v>
      </c>
      <c r="AI56" s="3" cm="1">
        <f t="array" ref="AI56">COUNT(_xlfn.UNIQUE(_xlfn._xlws.FILTER(SrcDB[ID],SrcDB[Objednavatel_ICO]=$H56)))</f>
        <v>4</v>
      </c>
      <c r="AJ56" s="3" cm="1">
        <f t="array" ref="AJ56">COUNT(_xlfn.UNIQUE(_xlfn._xlws.FILTER(SrcDB[ID],SrcDB[Dodavatel_ICO]=$K56)))</f>
        <v>8</v>
      </c>
      <c r="AK56" s="3">
        <f t="shared" si="8"/>
        <v>0</v>
      </c>
      <c r="AL56" s="3">
        <f t="shared" si="9"/>
        <v>0</v>
      </c>
      <c r="AM56" s="17" t="str">
        <f>IF(SrcDB[[#This Row],[Pocet zmluv objednavatela]]&gt;3,SrcDB[[#This Row],[Objednavatel]],"Ostatné")</f>
        <v>DataCentrum</v>
      </c>
      <c r="AN56" s="17" t="str">
        <f>IF(SrcDB[[#This Row],[Pocet zmluv dodavatela]]&gt;3,SrcDB[[#This Row],[Dodavatel]],"Ostatné")</f>
        <v>TEMPEST a.s.</v>
      </c>
    </row>
    <row r="57" spans="1:40" x14ac:dyDescent="0.3">
      <c r="A57" s="2" t="s">
        <v>152</v>
      </c>
      <c r="B57" s="2">
        <v>4472902</v>
      </c>
      <c r="C57" s="3" t="str">
        <f t="shared" si="0"/>
        <v>Nie</v>
      </c>
      <c r="D57" s="3" t="str">
        <f t="shared" si="1"/>
        <v>Áno</v>
      </c>
      <c r="E57" s="3" t="s">
        <v>48</v>
      </c>
      <c r="F57" s="3" t="s">
        <v>49</v>
      </c>
      <c r="G57" s="2" t="str">
        <f t="shared" si="2"/>
        <v>Stredné zmluvy</v>
      </c>
      <c r="H57" s="5" t="s">
        <v>153</v>
      </c>
      <c r="I57" s="2" t="s">
        <v>154</v>
      </c>
      <c r="J57" s="2" t="s">
        <v>155</v>
      </c>
      <c r="K57" s="5">
        <v>31326650</v>
      </c>
      <c r="L57" s="2" t="s">
        <v>156</v>
      </c>
      <c r="M57" s="2" t="s">
        <v>157</v>
      </c>
      <c r="N57" s="6">
        <v>43889</v>
      </c>
      <c r="O57" s="4">
        <v>5494675.2000000002</v>
      </c>
      <c r="P57" s="2">
        <v>114725</v>
      </c>
      <c r="Q57" s="2" t="s">
        <v>158</v>
      </c>
      <c r="R57" s="2" t="s">
        <v>159</v>
      </c>
      <c r="S57" s="2" t="s">
        <v>162</v>
      </c>
      <c r="T57" s="2" t="s">
        <v>170</v>
      </c>
      <c r="W57" s="4">
        <v>576</v>
      </c>
      <c r="X57" s="4">
        <v>691.19999999999993</v>
      </c>
      <c r="Y57" s="4">
        <f t="shared" ref="Y57" si="59">INDEX(InternalRates,MATCH($S57,InternalRates01,FALSE),2)</f>
        <v>231.85833333333335</v>
      </c>
      <c r="Z57" s="3" t="str">
        <f t="shared" si="5"/>
        <v>Nie</v>
      </c>
      <c r="AA57" s="3" t="str">
        <f t="shared" si="6"/>
        <v>SLA</v>
      </c>
      <c r="AB57" s="4">
        <v>40</v>
      </c>
      <c r="AD57" s="3" t="s">
        <v>48</v>
      </c>
      <c r="AE57" s="6">
        <v>44418</v>
      </c>
      <c r="AF57" s="3" t="s">
        <v>59</v>
      </c>
      <c r="AG57" s="3" t="s">
        <v>48</v>
      </c>
      <c r="AH57" s="3">
        <f>YEAR(SrcDB[[#This Row],[Datum_zverejnenia]])</f>
        <v>2020</v>
      </c>
      <c r="AI57" s="3" cm="1">
        <f t="array" ref="AI57">COUNT(_xlfn.UNIQUE(_xlfn._xlws.FILTER(SrcDB[ID],SrcDB[Objednavatel_ICO]=$H57)))</f>
        <v>4</v>
      </c>
      <c r="AJ57" s="3" cm="1">
        <f t="array" ref="AJ57">COUNT(_xlfn.UNIQUE(_xlfn._xlws.FILTER(SrcDB[ID],SrcDB[Dodavatel_ICO]=$K57)))</f>
        <v>8</v>
      </c>
      <c r="AK57" s="3">
        <f t="shared" si="8"/>
        <v>0</v>
      </c>
      <c r="AL57" s="3">
        <f t="shared" si="9"/>
        <v>0</v>
      </c>
      <c r="AM57" s="17" t="str">
        <f>IF(SrcDB[[#This Row],[Pocet zmluv objednavatela]]&gt;3,SrcDB[[#This Row],[Objednavatel]],"Ostatné")</f>
        <v>DataCentrum</v>
      </c>
      <c r="AN57" s="17" t="str">
        <f>IF(SrcDB[[#This Row],[Pocet zmluv dodavatela]]&gt;3,SrcDB[[#This Row],[Dodavatel]],"Ostatné")</f>
        <v>TEMPEST a.s.</v>
      </c>
    </row>
    <row r="58" spans="1:40" x14ac:dyDescent="0.3">
      <c r="A58" s="2" t="s">
        <v>152</v>
      </c>
      <c r="B58" s="2">
        <v>4472902</v>
      </c>
      <c r="C58" s="3" t="str">
        <f t="shared" si="0"/>
        <v>Nie</v>
      </c>
      <c r="D58" s="3" t="str">
        <f t="shared" si="1"/>
        <v>Áno</v>
      </c>
      <c r="E58" s="3" t="s">
        <v>48</v>
      </c>
      <c r="F58" s="3" t="s">
        <v>49</v>
      </c>
      <c r="G58" s="2" t="str">
        <f t="shared" si="2"/>
        <v>Stredné zmluvy</v>
      </c>
      <c r="H58" s="5" t="s">
        <v>153</v>
      </c>
      <c r="I58" s="2" t="s">
        <v>154</v>
      </c>
      <c r="J58" s="2" t="s">
        <v>155</v>
      </c>
      <c r="K58" s="5">
        <v>31326650</v>
      </c>
      <c r="L58" s="2" t="s">
        <v>156</v>
      </c>
      <c r="M58" s="2" t="s">
        <v>157</v>
      </c>
      <c r="N58" s="6">
        <v>43889</v>
      </c>
      <c r="O58" s="4">
        <v>5494675.2000000002</v>
      </c>
      <c r="P58" s="2">
        <v>114725</v>
      </c>
      <c r="Q58" s="2" t="s">
        <v>158</v>
      </c>
      <c r="R58" s="2" t="s">
        <v>159</v>
      </c>
      <c r="S58" s="2" t="s">
        <v>162</v>
      </c>
      <c r="T58" s="2" t="s">
        <v>171</v>
      </c>
      <c r="W58" s="4">
        <v>576</v>
      </c>
      <c r="X58" s="4">
        <v>691.19999999999993</v>
      </c>
      <c r="Y58" s="4">
        <f t="shared" ref="Y58" si="60">INDEX(InternalRates,MATCH($S58,InternalRates01,FALSE),2)</f>
        <v>231.85833333333335</v>
      </c>
      <c r="Z58" s="3" t="str">
        <f t="shared" si="5"/>
        <v>Nie</v>
      </c>
      <c r="AA58" s="3" t="str">
        <f t="shared" si="6"/>
        <v>SLA</v>
      </c>
      <c r="AB58" s="4">
        <v>40</v>
      </c>
      <c r="AD58" s="3" t="s">
        <v>48</v>
      </c>
      <c r="AE58" s="6">
        <v>44418</v>
      </c>
      <c r="AF58" s="3" t="s">
        <v>59</v>
      </c>
      <c r="AG58" s="3" t="s">
        <v>48</v>
      </c>
      <c r="AH58" s="3">
        <f>YEAR(SrcDB[[#This Row],[Datum_zverejnenia]])</f>
        <v>2020</v>
      </c>
      <c r="AI58" s="3" cm="1">
        <f t="array" ref="AI58">COUNT(_xlfn.UNIQUE(_xlfn._xlws.FILTER(SrcDB[ID],SrcDB[Objednavatel_ICO]=$H58)))</f>
        <v>4</v>
      </c>
      <c r="AJ58" s="3" cm="1">
        <f t="array" ref="AJ58">COUNT(_xlfn.UNIQUE(_xlfn._xlws.FILTER(SrcDB[ID],SrcDB[Dodavatel_ICO]=$K58)))</f>
        <v>8</v>
      </c>
      <c r="AK58" s="3">
        <f t="shared" si="8"/>
        <v>0</v>
      </c>
      <c r="AL58" s="3">
        <f t="shared" si="9"/>
        <v>0</v>
      </c>
      <c r="AM58" s="17" t="str">
        <f>IF(SrcDB[[#This Row],[Pocet zmluv objednavatela]]&gt;3,SrcDB[[#This Row],[Objednavatel]],"Ostatné")</f>
        <v>DataCentrum</v>
      </c>
      <c r="AN58" s="17" t="str">
        <f>IF(SrcDB[[#This Row],[Pocet zmluv dodavatela]]&gt;3,SrcDB[[#This Row],[Dodavatel]],"Ostatné")</f>
        <v>TEMPEST a.s.</v>
      </c>
    </row>
    <row r="59" spans="1:40" x14ac:dyDescent="0.3">
      <c r="A59" s="2" t="s">
        <v>152</v>
      </c>
      <c r="B59" s="2">
        <v>4472902</v>
      </c>
      <c r="C59" s="3" t="str">
        <f t="shared" si="0"/>
        <v>Nie</v>
      </c>
      <c r="D59" s="3" t="str">
        <f t="shared" si="1"/>
        <v>Áno</v>
      </c>
      <c r="E59" s="3" t="s">
        <v>48</v>
      </c>
      <c r="F59" s="3" t="s">
        <v>49</v>
      </c>
      <c r="G59" s="2" t="str">
        <f t="shared" si="2"/>
        <v>Stredné zmluvy</v>
      </c>
      <c r="H59" s="5" t="s">
        <v>153</v>
      </c>
      <c r="I59" s="2" t="s">
        <v>154</v>
      </c>
      <c r="J59" s="2" t="s">
        <v>155</v>
      </c>
      <c r="K59" s="5">
        <v>31326650</v>
      </c>
      <c r="L59" s="2" t="s">
        <v>156</v>
      </c>
      <c r="M59" s="2" t="s">
        <v>157</v>
      </c>
      <c r="N59" s="6">
        <v>43889</v>
      </c>
      <c r="O59" s="4">
        <v>5494675.2000000002</v>
      </c>
      <c r="P59" s="2">
        <v>114725</v>
      </c>
      <c r="Q59" s="2" t="s">
        <v>158</v>
      </c>
      <c r="R59" s="2" t="s">
        <v>159</v>
      </c>
      <c r="S59" s="2" t="s">
        <v>162</v>
      </c>
      <c r="T59" s="2" t="s">
        <v>172</v>
      </c>
      <c r="W59" s="4">
        <v>576</v>
      </c>
      <c r="X59" s="4">
        <v>691.19999999999993</v>
      </c>
      <c r="Y59" s="4">
        <f t="shared" ref="Y59" si="61">INDEX(InternalRates,MATCH($S59,InternalRates01,FALSE),2)</f>
        <v>231.85833333333335</v>
      </c>
      <c r="Z59" s="3" t="str">
        <f t="shared" si="5"/>
        <v>Nie</v>
      </c>
      <c r="AA59" s="3" t="str">
        <f t="shared" si="6"/>
        <v>SLA</v>
      </c>
      <c r="AB59" s="4">
        <v>72</v>
      </c>
      <c r="AD59" s="3" t="s">
        <v>48</v>
      </c>
      <c r="AE59" s="6">
        <v>44418</v>
      </c>
      <c r="AF59" s="3" t="s">
        <v>59</v>
      </c>
      <c r="AG59" s="3" t="s">
        <v>48</v>
      </c>
      <c r="AH59" s="3">
        <f>YEAR(SrcDB[[#This Row],[Datum_zverejnenia]])</f>
        <v>2020</v>
      </c>
      <c r="AI59" s="3" cm="1">
        <f t="array" ref="AI59">COUNT(_xlfn.UNIQUE(_xlfn._xlws.FILTER(SrcDB[ID],SrcDB[Objednavatel_ICO]=$H59)))</f>
        <v>4</v>
      </c>
      <c r="AJ59" s="3" cm="1">
        <f t="array" ref="AJ59">COUNT(_xlfn.UNIQUE(_xlfn._xlws.FILTER(SrcDB[ID],SrcDB[Dodavatel_ICO]=$K59)))</f>
        <v>8</v>
      </c>
      <c r="AK59" s="3">
        <f t="shared" si="8"/>
        <v>0</v>
      </c>
      <c r="AL59" s="3">
        <f t="shared" si="9"/>
        <v>0</v>
      </c>
      <c r="AM59" s="17" t="str">
        <f>IF(SrcDB[[#This Row],[Pocet zmluv objednavatela]]&gt;3,SrcDB[[#This Row],[Objednavatel]],"Ostatné")</f>
        <v>DataCentrum</v>
      </c>
      <c r="AN59" s="17" t="str">
        <f>IF(SrcDB[[#This Row],[Pocet zmluv dodavatela]]&gt;3,SrcDB[[#This Row],[Dodavatel]],"Ostatné")</f>
        <v>TEMPEST a.s.</v>
      </c>
    </row>
    <row r="60" spans="1:40" x14ac:dyDescent="0.3">
      <c r="A60" s="2" t="s">
        <v>152</v>
      </c>
      <c r="B60" s="2">
        <v>4472902</v>
      </c>
      <c r="C60" s="3" t="str">
        <f t="shared" si="0"/>
        <v>Nie</v>
      </c>
      <c r="D60" s="3" t="str">
        <f t="shared" si="1"/>
        <v>Áno</v>
      </c>
      <c r="E60" s="3" t="s">
        <v>48</v>
      </c>
      <c r="F60" s="3" t="s">
        <v>49</v>
      </c>
      <c r="G60" s="2" t="str">
        <f t="shared" si="2"/>
        <v>Stredné zmluvy</v>
      </c>
      <c r="H60" s="5" t="s">
        <v>153</v>
      </c>
      <c r="I60" s="2" t="s">
        <v>154</v>
      </c>
      <c r="J60" s="2" t="s">
        <v>155</v>
      </c>
      <c r="K60" s="5">
        <v>31326650</v>
      </c>
      <c r="L60" s="2" t="s">
        <v>156</v>
      </c>
      <c r="M60" s="2" t="s">
        <v>157</v>
      </c>
      <c r="N60" s="6">
        <v>43889</v>
      </c>
      <c r="O60" s="4">
        <v>5494675.2000000002</v>
      </c>
      <c r="P60" s="2">
        <v>114725</v>
      </c>
      <c r="Q60" s="2" t="s">
        <v>158</v>
      </c>
      <c r="R60" s="2" t="s">
        <v>159</v>
      </c>
      <c r="S60" s="2" t="s">
        <v>71</v>
      </c>
      <c r="T60" s="2" t="s">
        <v>173</v>
      </c>
      <c r="W60" s="4">
        <v>576</v>
      </c>
      <c r="X60" s="4">
        <v>691.19999999999993</v>
      </c>
      <c r="Y60" s="4">
        <f t="shared" ref="Y60" si="62">INDEX(InternalRates,MATCH($S60,InternalRates01,FALSE),2)</f>
        <v>354.0333333333333</v>
      </c>
      <c r="Z60" s="3" t="str">
        <f t="shared" si="5"/>
        <v>Nie</v>
      </c>
      <c r="AA60" s="3" t="str">
        <f t="shared" si="6"/>
        <v>SLA</v>
      </c>
      <c r="AB60" s="4">
        <v>70</v>
      </c>
      <c r="AD60" s="3" t="s">
        <v>48</v>
      </c>
      <c r="AE60" s="6">
        <v>44418</v>
      </c>
      <c r="AF60" s="3" t="s">
        <v>59</v>
      </c>
      <c r="AG60" s="3" t="s">
        <v>48</v>
      </c>
      <c r="AH60" s="3">
        <f>YEAR(SrcDB[[#This Row],[Datum_zverejnenia]])</f>
        <v>2020</v>
      </c>
      <c r="AI60" s="3" cm="1">
        <f t="array" ref="AI60">COUNT(_xlfn.UNIQUE(_xlfn._xlws.FILTER(SrcDB[ID],SrcDB[Objednavatel_ICO]=$H60)))</f>
        <v>4</v>
      </c>
      <c r="AJ60" s="3" cm="1">
        <f t="array" ref="AJ60">COUNT(_xlfn.UNIQUE(_xlfn._xlws.FILTER(SrcDB[ID],SrcDB[Dodavatel_ICO]=$K60)))</f>
        <v>8</v>
      </c>
      <c r="AK60" s="3">
        <f t="shared" si="8"/>
        <v>0</v>
      </c>
      <c r="AL60" s="3">
        <f t="shared" si="9"/>
        <v>0</v>
      </c>
      <c r="AM60" s="17" t="str">
        <f>IF(SrcDB[[#This Row],[Pocet zmluv objednavatela]]&gt;3,SrcDB[[#This Row],[Objednavatel]],"Ostatné")</f>
        <v>DataCentrum</v>
      </c>
      <c r="AN60" s="17" t="str">
        <f>IF(SrcDB[[#This Row],[Pocet zmluv dodavatela]]&gt;3,SrcDB[[#This Row],[Dodavatel]],"Ostatné")</f>
        <v>TEMPEST a.s.</v>
      </c>
    </row>
    <row r="61" spans="1:40" x14ac:dyDescent="0.3">
      <c r="A61" s="2" t="s">
        <v>176</v>
      </c>
      <c r="B61" s="2">
        <v>4476685</v>
      </c>
      <c r="C61" s="3" t="str">
        <f t="shared" si="0"/>
        <v>Áno</v>
      </c>
      <c r="D61" s="3" t="str">
        <f t="shared" si="1"/>
        <v>Nie</v>
      </c>
      <c r="E61" s="3" t="s">
        <v>49</v>
      </c>
      <c r="F61" s="3" t="s">
        <v>48</v>
      </c>
      <c r="G61" s="2" t="str">
        <f t="shared" si="2"/>
        <v>Stredné zmluvy</v>
      </c>
      <c r="H61" s="5">
        <v>35829141</v>
      </c>
      <c r="I61" s="2" t="s">
        <v>177</v>
      </c>
      <c r="J61" s="2" t="s">
        <v>178</v>
      </c>
      <c r="K61" s="5">
        <v>35955678</v>
      </c>
      <c r="L61" s="2" t="s">
        <v>179</v>
      </c>
      <c r="M61" s="2" t="s">
        <v>180</v>
      </c>
      <c r="N61" s="6">
        <v>43893.645567129628</v>
      </c>
      <c r="O61" s="4">
        <v>2481468</v>
      </c>
      <c r="P61" s="2">
        <v>358672</v>
      </c>
      <c r="Q61" s="2" t="s">
        <v>181</v>
      </c>
      <c r="R61" s="2" t="s">
        <v>182</v>
      </c>
      <c r="S61" s="2" t="s">
        <v>183</v>
      </c>
      <c r="T61" s="2" t="s">
        <v>183</v>
      </c>
      <c r="W61" s="4">
        <v>640</v>
      </c>
      <c r="X61" s="4">
        <v>768</v>
      </c>
      <c r="Y61" s="4">
        <f t="shared" ref="Y61" si="63">INDEX(InternalRates,MATCH($S61,InternalRates01,FALSE),2)</f>
        <v>278.98333333333335</v>
      </c>
      <c r="Z61" s="3" t="str">
        <f t="shared" si="5"/>
        <v>Nie</v>
      </c>
      <c r="AA61" s="3" t="str">
        <f t="shared" si="6"/>
        <v>ZoD</v>
      </c>
      <c r="AB61" s="4">
        <v>60</v>
      </c>
      <c r="AD61" s="3" t="s">
        <v>48</v>
      </c>
      <c r="AE61" s="6">
        <v>44418</v>
      </c>
      <c r="AF61" s="3" t="s">
        <v>59</v>
      </c>
      <c r="AG61" s="3" t="s">
        <v>60</v>
      </c>
      <c r="AH61" s="3">
        <f>YEAR(SrcDB[[#This Row],[Datum_zverejnenia]])</f>
        <v>2020</v>
      </c>
      <c r="AI61" s="3" cm="1">
        <f t="array" ref="AI61">COUNT(_xlfn.UNIQUE(_xlfn._xlws.FILTER(SrcDB[ID],SrcDB[Objednavatel_ICO]=$H61)))</f>
        <v>8</v>
      </c>
      <c r="AJ61" s="3" cm="1">
        <f t="array" ref="AJ61">COUNT(_xlfn.UNIQUE(_xlfn._xlws.FILTER(SrcDB[ID],SrcDB[Dodavatel_ICO]=$K61)))</f>
        <v>14</v>
      </c>
      <c r="AK61" s="3" t="e">
        <f>IF(#REF!&lt;&gt;$H61,1,IF(#REF!&lt;&gt;$B61,1,0))</f>
        <v>#REF!</v>
      </c>
      <c r="AL61" s="3" t="e">
        <f>IF(#REF!&lt;&gt;$K61,1,IF(#REF!&lt;&gt;$B61,1,0))</f>
        <v>#REF!</v>
      </c>
      <c r="AM61" s="17" t="str">
        <f>IF(SrcDB[[#This Row],[Pocet zmluv objednavatela]]&gt;3,SrcDB[[#This Row],[Objednavatel]],"Ostatné")</f>
        <v>Slovenská elektrizačná prenosová sústava, a.s.</v>
      </c>
      <c r="AN61" s="17" t="str">
        <f>IF(SrcDB[[#This Row],[Pocet zmluv dodavatela]]&gt;3,SrcDB[[#This Row],[Dodavatel]],"Ostatné")</f>
        <v>SOITRON, s.r.o.</v>
      </c>
    </row>
    <row r="62" spans="1:40" x14ac:dyDescent="0.3">
      <c r="A62" s="2" t="s">
        <v>176</v>
      </c>
      <c r="B62" s="2">
        <v>4476685</v>
      </c>
      <c r="C62" s="3" t="str">
        <f t="shared" si="0"/>
        <v>Áno</v>
      </c>
      <c r="D62" s="3" t="str">
        <f t="shared" si="1"/>
        <v>Nie</v>
      </c>
      <c r="E62" s="3" t="s">
        <v>49</v>
      </c>
      <c r="F62" s="3" t="s">
        <v>48</v>
      </c>
      <c r="G62" s="2" t="str">
        <f t="shared" si="2"/>
        <v>Stredné zmluvy</v>
      </c>
      <c r="H62" s="5">
        <v>35829141</v>
      </c>
      <c r="I62" s="2" t="s">
        <v>177</v>
      </c>
      <c r="J62" s="2" t="s">
        <v>178</v>
      </c>
      <c r="K62" s="5">
        <v>35955678</v>
      </c>
      <c r="L62" s="2" t="s">
        <v>179</v>
      </c>
      <c r="M62" s="2" t="s">
        <v>180</v>
      </c>
      <c r="N62" s="6">
        <v>43893.645567129628</v>
      </c>
      <c r="O62" s="4">
        <v>2481468</v>
      </c>
      <c r="P62" s="2">
        <v>358672</v>
      </c>
      <c r="Q62" s="2" t="s">
        <v>181</v>
      </c>
      <c r="R62" s="2" t="s">
        <v>182</v>
      </c>
      <c r="S62" s="2" t="s">
        <v>183</v>
      </c>
      <c r="T62" s="2" t="s">
        <v>183</v>
      </c>
      <c r="W62" s="4">
        <v>720</v>
      </c>
      <c r="X62" s="4">
        <v>864</v>
      </c>
      <c r="Y62" s="4">
        <f t="shared" ref="Y62" si="64">INDEX(InternalRates,MATCH($S62,InternalRates01,FALSE),2)</f>
        <v>278.98333333333335</v>
      </c>
      <c r="Z62" s="3" t="str">
        <f t="shared" si="5"/>
        <v>Nie</v>
      </c>
      <c r="AA62" s="3" t="str">
        <f t="shared" si="6"/>
        <v>ZoD</v>
      </c>
      <c r="AB62" s="4">
        <v>115</v>
      </c>
      <c r="AD62" s="3" t="s">
        <v>48</v>
      </c>
      <c r="AE62" s="6">
        <v>44418</v>
      </c>
      <c r="AF62" s="3" t="s">
        <v>59</v>
      </c>
      <c r="AG62" s="3" t="s">
        <v>60</v>
      </c>
      <c r="AH62" s="3">
        <f>YEAR(SrcDB[[#This Row],[Datum_zverejnenia]])</f>
        <v>2020</v>
      </c>
      <c r="AI62" s="3" cm="1">
        <f t="array" ref="AI62">COUNT(_xlfn.UNIQUE(_xlfn._xlws.FILTER(SrcDB[ID],SrcDB[Objednavatel_ICO]=$H62)))</f>
        <v>8</v>
      </c>
      <c r="AJ62" s="3" cm="1">
        <f t="array" ref="AJ62">COUNT(_xlfn.UNIQUE(_xlfn._xlws.FILTER(SrcDB[ID],SrcDB[Dodavatel_ICO]=$K62)))</f>
        <v>14</v>
      </c>
      <c r="AK62" s="3">
        <f t="shared" si="8"/>
        <v>0</v>
      </c>
      <c r="AL62" s="3">
        <f t="shared" si="9"/>
        <v>0</v>
      </c>
      <c r="AM62" s="17" t="str">
        <f>IF(SrcDB[[#This Row],[Pocet zmluv objednavatela]]&gt;3,SrcDB[[#This Row],[Objednavatel]],"Ostatné")</f>
        <v>Slovenská elektrizačná prenosová sústava, a.s.</v>
      </c>
      <c r="AN62" s="17" t="str">
        <f>IF(SrcDB[[#This Row],[Pocet zmluv dodavatela]]&gt;3,SrcDB[[#This Row],[Dodavatel]],"Ostatné")</f>
        <v>SOITRON, s.r.o.</v>
      </c>
    </row>
    <row r="63" spans="1:40" x14ac:dyDescent="0.3">
      <c r="A63" s="2" t="s">
        <v>176</v>
      </c>
      <c r="B63" s="2">
        <v>4476685</v>
      </c>
      <c r="C63" s="3" t="str">
        <f t="shared" si="0"/>
        <v>Áno</v>
      </c>
      <c r="D63" s="3" t="str">
        <f t="shared" si="1"/>
        <v>Nie</v>
      </c>
      <c r="E63" s="3" t="s">
        <v>49</v>
      </c>
      <c r="F63" s="3" t="s">
        <v>48</v>
      </c>
      <c r="G63" s="2" t="str">
        <f t="shared" si="2"/>
        <v>Stredné zmluvy</v>
      </c>
      <c r="H63" s="5">
        <v>35829141</v>
      </c>
      <c r="I63" s="2" t="s">
        <v>177</v>
      </c>
      <c r="J63" s="2" t="s">
        <v>178</v>
      </c>
      <c r="K63" s="5">
        <v>35955678</v>
      </c>
      <c r="L63" s="2" t="s">
        <v>179</v>
      </c>
      <c r="M63" s="2" t="s">
        <v>180</v>
      </c>
      <c r="N63" s="6">
        <v>43893</v>
      </c>
      <c r="O63" s="4">
        <v>2481468</v>
      </c>
      <c r="P63" s="2">
        <v>358672</v>
      </c>
      <c r="Q63" s="2" t="s">
        <v>181</v>
      </c>
      <c r="R63" s="2" t="s">
        <v>182</v>
      </c>
      <c r="S63" s="2" t="s">
        <v>183</v>
      </c>
      <c r="T63" s="2" t="s">
        <v>183</v>
      </c>
      <c r="W63" s="4">
        <v>720</v>
      </c>
      <c r="X63" s="4">
        <v>864</v>
      </c>
      <c r="Y63" s="4">
        <f t="shared" ref="Y63" si="65">INDEX(InternalRates,MATCH($S63,InternalRates01,FALSE),2)</f>
        <v>278.98333333333335</v>
      </c>
      <c r="Z63" s="3" t="str">
        <f t="shared" si="5"/>
        <v>Nie</v>
      </c>
      <c r="AA63" s="3" t="str">
        <f t="shared" si="6"/>
        <v>ZoD</v>
      </c>
      <c r="AB63" s="4">
        <v>25</v>
      </c>
      <c r="AD63" s="3" t="s">
        <v>48</v>
      </c>
      <c r="AE63" s="6">
        <v>44418</v>
      </c>
      <c r="AF63" s="3" t="s">
        <v>59</v>
      </c>
      <c r="AG63" s="3" t="s">
        <v>60</v>
      </c>
      <c r="AH63" s="3">
        <f>YEAR(SrcDB[[#This Row],[Datum_zverejnenia]])</f>
        <v>2020</v>
      </c>
      <c r="AI63" s="3" cm="1">
        <f t="array" ref="AI63">COUNT(_xlfn.UNIQUE(_xlfn._xlws.FILTER(SrcDB[ID],SrcDB[Objednavatel_ICO]=$H63)))</f>
        <v>8</v>
      </c>
      <c r="AJ63" s="3" cm="1">
        <f t="array" ref="AJ63">COUNT(_xlfn.UNIQUE(_xlfn._xlws.FILTER(SrcDB[ID],SrcDB[Dodavatel_ICO]=$K63)))</f>
        <v>14</v>
      </c>
      <c r="AK63" s="3">
        <f t="shared" si="8"/>
        <v>0</v>
      </c>
      <c r="AL63" s="3">
        <f t="shared" si="9"/>
        <v>0</v>
      </c>
      <c r="AM63" s="17" t="str">
        <f>IF(SrcDB[[#This Row],[Pocet zmluv objednavatela]]&gt;3,SrcDB[[#This Row],[Objednavatel]],"Ostatné")</f>
        <v>Slovenská elektrizačná prenosová sústava, a.s.</v>
      </c>
      <c r="AN63" s="17" t="str">
        <f>IF(SrcDB[[#This Row],[Pocet zmluv dodavatela]]&gt;3,SrcDB[[#This Row],[Dodavatel]],"Ostatné")</f>
        <v>SOITRON, s.r.o.</v>
      </c>
    </row>
    <row r="64" spans="1:40" x14ac:dyDescent="0.3">
      <c r="A64" s="2" t="s">
        <v>176</v>
      </c>
      <c r="B64" s="2">
        <v>4476685</v>
      </c>
      <c r="C64" s="3" t="str">
        <f t="shared" si="0"/>
        <v>Áno</v>
      </c>
      <c r="D64" s="3" t="str">
        <f t="shared" si="1"/>
        <v>Nie</v>
      </c>
      <c r="E64" s="3" t="s">
        <v>49</v>
      </c>
      <c r="F64" s="3" t="s">
        <v>48</v>
      </c>
      <c r="G64" s="2" t="str">
        <f t="shared" si="2"/>
        <v>Stredné zmluvy</v>
      </c>
      <c r="H64" s="5">
        <v>35829141</v>
      </c>
      <c r="I64" s="2" t="s">
        <v>177</v>
      </c>
      <c r="J64" s="2" t="s">
        <v>178</v>
      </c>
      <c r="K64" s="5">
        <v>35955678</v>
      </c>
      <c r="L64" s="2" t="s">
        <v>179</v>
      </c>
      <c r="M64" s="2" t="s">
        <v>180</v>
      </c>
      <c r="N64" s="6">
        <v>43893</v>
      </c>
      <c r="O64" s="4">
        <v>2481468</v>
      </c>
      <c r="P64" s="2">
        <v>358672</v>
      </c>
      <c r="Q64" s="2" t="s">
        <v>181</v>
      </c>
      <c r="R64" s="2" t="s">
        <v>182</v>
      </c>
      <c r="S64" s="2" t="s">
        <v>183</v>
      </c>
      <c r="T64" s="2" t="s">
        <v>183</v>
      </c>
      <c r="W64" s="4">
        <v>720</v>
      </c>
      <c r="X64" s="4">
        <v>864</v>
      </c>
      <c r="Y64" s="4">
        <f t="shared" ref="Y64" si="66">INDEX(InternalRates,MATCH($S64,InternalRates01,FALSE),2)</f>
        <v>278.98333333333335</v>
      </c>
      <c r="Z64" s="3" t="str">
        <f t="shared" si="5"/>
        <v>Nie</v>
      </c>
      <c r="AA64" s="3" t="str">
        <f t="shared" si="6"/>
        <v>ZoD</v>
      </c>
      <c r="AB64" s="4">
        <v>45</v>
      </c>
      <c r="AD64" s="3" t="s">
        <v>48</v>
      </c>
      <c r="AE64" s="6">
        <v>44418</v>
      </c>
      <c r="AF64" s="3" t="s">
        <v>59</v>
      </c>
      <c r="AG64" s="3" t="s">
        <v>60</v>
      </c>
      <c r="AH64" s="3">
        <f>YEAR(SrcDB[[#This Row],[Datum_zverejnenia]])</f>
        <v>2020</v>
      </c>
      <c r="AI64" s="3" cm="1">
        <f t="array" ref="AI64">COUNT(_xlfn.UNIQUE(_xlfn._xlws.FILTER(SrcDB[ID],SrcDB[Objednavatel_ICO]=$H64)))</f>
        <v>8</v>
      </c>
      <c r="AJ64" s="3" cm="1">
        <f t="array" ref="AJ64">COUNT(_xlfn.UNIQUE(_xlfn._xlws.FILTER(SrcDB[ID],SrcDB[Dodavatel_ICO]=$K64)))</f>
        <v>14</v>
      </c>
      <c r="AK64" s="3">
        <f t="shared" si="8"/>
        <v>0</v>
      </c>
      <c r="AL64" s="3">
        <f t="shared" si="9"/>
        <v>0</v>
      </c>
      <c r="AM64" s="17" t="str">
        <f>IF(SrcDB[[#This Row],[Pocet zmluv objednavatela]]&gt;3,SrcDB[[#This Row],[Objednavatel]],"Ostatné")</f>
        <v>Slovenská elektrizačná prenosová sústava, a.s.</v>
      </c>
      <c r="AN64" s="17" t="str">
        <f>IF(SrcDB[[#This Row],[Pocet zmluv dodavatela]]&gt;3,SrcDB[[#This Row],[Dodavatel]],"Ostatné")</f>
        <v>SOITRON, s.r.o.</v>
      </c>
    </row>
    <row r="65" spans="1:40" x14ac:dyDescent="0.3">
      <c r="A65" s="2" t="s">
        <v>176</v>
      </c>
      <c r="B65" s="2">
        <v>4476685</v>
      </c>
      <c r="C65" s="3" t="str">
        <f t="shared" si="0"/>
        <v>Áno</v>
      </c>
      <c r="D65" s="3" t="str">
        <f t="shared" si="1"/>
        <v>Nie</v>
      </c>
      <c r="E65" s="3" t="s">
        <v>49</v>
      </c>
      <c r="F65" s="3" t="s">
        <v>48</v>
      </c>
      <c r="G65" s="2" t="str">
        <f t="shared" si="2"/>
        <v>Stredné zmluvy</v>
      </c>
      <c r="H65" s="5">
        <v>35829141</v>
      </c>
      <c r="I65" s="2" t="s">
        <v>177</v>
      </c>
      <c r="J65" s="2" t="s">
        <v>178</v>
      </c>
      <c r="K65" s="5">
        <v>35955678</v>
      </c>
      <c r="L65" s="2" t="s">
        <v>179</v>
      </c>
      <c r="M65" s="2" t="s">
        <v>180</v>
      </c>
      <c r="N65" s="6">
        <v>43893</v>
      </c>
      <c r="O65" s="4">
        <v>2481468</v>
      </c>
      <c r="P65" s="2">
        <v>358672</v>
      </c>
      <c r="Q65" s="2" t="s">
        <v>181</v>
      </c>
      <c r="R65" s="2" t="s">
        <v>182</v>
      </c>
      <c r="S65" s="2" t="s">
        <v>183</v>
      </c>
      <c r="T65" s="2" t="s">
        <v>183</v>
      </c>
      <c r="W65" s="4">
        <v>720</v>
      </c>
      <c r="X65" s="4">
        <v>864</v>
      </c>
      <c r="Y65" s="4">
        <f t="shared" ref="Y65" si="67">INDEX(InternalRates,MATCH($S65,InternalRates01,FALSE),2)</f>
        <v>278.98333333333335</v>
      </c>
      <c r="Z65" s="3" t="str">
        <f t="shared" si="5"/>
        <v>Nie</v>
      </c>
      <c r="AA65" s="3" t="str">
        <f t="shared" si="6"/>
        <v>ZoD</v>
      </c>
      <c r="AB65" s="4">
        <v>40</v>
      </c>
      <c r="AD65" s="3" t="s">
        <v>48</v>
      </c>
      <c r="AE65" s="6">
        <v>44418</v>
      </c>
      <c r="AF65" s="3" t="s">
        <v>59</v>
      </c>
      <c r="AG65" s="3" t="s">
        <v>60</v>
      </c>
      <c r="AH65" s="3">
        <f>YEAR(SrcDB[[#This Row],[Datum_zverejnenia]])</f>
        <v>2020</v>
      </c>
      <c r="AI65" s="3" cm="1">
        <f t="array" ref="AI65">COUNT(_xlfn.UNIQUE(_xlfn._xlws.FILTER(SrcDB[ID],SrcDB[Objednavatel_ICO]=$H65)))</f>
        <v>8</v>
      </c>
      <c r="AJ65" s="3" cm="1">
        <f t="array" ref="AJ65">COUNT(_xlfn.UNIQUE(_xlfn._xlws.FILTER(SrcDB[ID],SrcDB[Dodavatel_ICO]=$K65)))</f>
        <v>14</v>
      </c>
      <c r="AK65" s="3">
        <f t="shared" si="8"/>
        <v>0</v>
      </c>
      <c r="AL65" s="3">
        <f t="shared" si="9"/>
        <v>0</v>
      </c>
      <c r="AM65" s="17" t="str">
        <f>IF(SrcDB[[#This Row],[Pocet zmluv objednavatela]]&gt;3,SrcDB[[#This Row],[Objednavatel]],"Ostatné")</f>
        <v>Slovenská elektrizačná prenosová sústava, a.s.</v>
      </c>
      <c r="AN65" s="17" t="str">
        <f>IF(SrcDB[[#This Row],[Pocet zmluv dodavatela]]&gt;3,SrcDB[[#This Row],[Dodavatel]],"Ostatné")</f>
        <v>SOITRON, s.r.o.</v>
      </c>
    </row>
    <row r="66" spans="1:40" x14ac:dyDescent="0.3">
      <c r="A66" s="2" t="s">
        <v>184</v>
      </c>
      <c r="B66" s="2">
        <v>4478514</v>
      </c>
      <c r="C66" s="3" t="str">
        <f t="shared" ref="C66:C129" si="68">IF(OR(NOT(ISERROR(FIND("O DIEL",UPPER($A66)))),NOT(ISERROR(FIND("O IMPLEM",UPPER($A66)))))=TRUE,"Áno",IF(OR(NOT(ISERROR(FIND("PODPOR",UPPER($A66)))),NOT(ISERROR(FIND("SLA",UPPER($A66)))),NOT(ISERROR(FIND("SERVIS",UPPER($A66)))))=TRUE,"Nie","Nejasné"))</f>
        <v>Áno</v>
      </c>
      <c r="D66" s="3" t="str">
        <f t="shared" ref="D66:D129" si="69">IF(OR(NOT(ISERROR(FIND("PODPOR",UPPER($A66)))),NOT(ISERROR(FIND("SLA",UPPER($A66)))),NOT(ISERROR(FIND("SERVIS",UPPER($A66)))))=TRUE,"Áno",IF(OR(NOT(ISERROR(FIND("O DIEL",UPPER($A66)))),NOT(ISERROR(FIND("O IMPLEM",UPPER($A66)))))=TRUE,"Nie","Nejasné"))</f>
        <v>Nie</v>
      </c>
      <c r="E66" s="3" t="s">
        <v>49</v>
      </c>
      <c r="F66" s="3" t="s">
        <v>48</v>
      </c>
      <c r="G66" s="2" t="str">
        <f t="shared" ref="G66:G129" si="70">IF($O66&gt;=8000000,"Veľké zmluvy",IF($O66&gt;=1000000,"Stredné zmluvy","Malé zmluvy"))</f>
        <v>Stredné zmluvy</v>
      </c>
      <c r="H66" s="5">
        <v>42156424</v>
      </c>
      <c r="I66" s="2" t="s">
        <v>185</v>
      </c>
      <c r="J66" s="2" t="s">
        <v>186</v>
      </c>
      <c r="K66" s="5">
        <v>35795174</v>
      </c>
      <c r="L66" s="2" t="s">
        <v>187</v>
      </c>
      <c r="M66" s="2" t="s">
        <v>188</v>
      </c>
      <c r="N66" s="6">
        <v>43894.516006944446</v>
      </c>
      <c r="O66" s="4">
        <v>3159000</v>
      </c>
      <c r="P66" s="2">
        <v>114688</v>
      </c>
      <c r="Q66" s="2" t="s">
        <v>189</v>
      </c>
      <c r="R66" s="2" t="s">
        <v>190</v>
      </c>
      <c r="S66" s="2" t="s">
        <v>69</v>
      </c>
      <c r="T66" s="2" t="s">
        <v>70</v>
      </c>
      <c r="W66" s="4">
        <v>420</v>
      </c>
      <c r="X66" s="4">
        <v>504</v>
      </c>
      <c r="Y66" s="4">
        <f t="shared" ref="Y66" si="71">INDEX(InternalRates,MATCH($S66,InternalRates01,FALSE),2)</f>
        <v>278.98333333333335</v>
      </c>
      <c r="Z66" s="3" t="str">
        <f t="shared" si="5"/>
        <v>Nie</v>
      </c>
      <c r="AA66" s="3" t="str">
        <f t="shared" si="6"/>
        <v>ZoD</v>
      </c>
      <c r="AB66" s="4">
        <v>208</v>
      </c>
      <c r="AD66" s="3" t="s">
        <v>48</v>
      </c>
      <c r="AE66" s="6">
        <v>44418</v>
      </c>
      <c r="AF66" s="3" t="s">
        <v>59</v>
      </c>
      <c r="AG66" s="3" t="s">
        <v>49</v>
      </c>
      <c r="AH66" s="3">
        <f>YEAR(SrcDB[[#This Row],[Datum_zverejnenia]])</f>
        <v>2020</v>
      </c>
      <c r="AI66" s="3" cm="1">
        <f t="array" ref="AI66">COUNT(_xlfn.UNIQUE(_xlfn._xlws.FILTER(SrcDB[ID],SrcDB[Objednavatel_ICO]=$H66)))</f>
        <v>2</v>
      </c>
      <c r="AJ66" s="3" cm="1">
        <f t="array" ref="AJ66">COUNT(_xlfn.UNIQUE(_xlfn._xlws.FILTER(SrcDB[ID],SrcDB[Dodavatel_ICO]=$K66)))</f>
        <v>1</v>
      </c>
      <c r="AK66" s="3">
        <f t="shared" si="8"/>
        <v>1</v>
      </c>
      <c r="AL66" s="3">
        <f t="shared" si="9"/>
        <v>1</v>
      </c>
      <c r="AM66" s="17" t="str">
        <f>IF(SrcDB[[#This Row],[Pocet zmluv objednavatela]]&gt;3,SrcDB[[#This Row],[Objednavatel]],"Ostatné")</f>
        <v>Ostatné</v>
      </c>
      <c r="AN66" s="17" t="str">
        <f>IF(SrcDB[[#This Row],[Pocet zmluv dodavatela]]&gt;3,SrcDB[[#This Row],[Dodavatel]],"Ostatné")</f>
        <v>Ostatné</v>
      </c>
    </row>
    <row r="67" spans="1:40" x14ac:dyDescent="0.3">
      <c r="A67" s="2" t="s">
        <v>184</v>
      </c>
      <c r="B67" s="2">
        <v>4478514</v>
      </c>
      <c r="C67" s="3" t="str">
        <f t="shared" si="68"/>
        <v>Áno</v>
      </c>
      <c r="D67" s="3" t="str">
        <f t="shared" si="69"/>
        <v>Nie</v>
      </c>
      <c r="E67" s="3" t="s">
        <v>49</v>
      </c>
      <c r="F67" s="3" t="s">
        <v>48</v>
      </c>
      <c r="G67" s="2" t="str">
        <f t="shared" si="70"/>
        <v>Stredné zmluvy</v>
      </c>
      <c r="H67" s="5">
        <v>42156424</v>
      </c>
      <c r="I67" s="2" t="s">
        <v>185</v>
      </c>
      <c r="J67" s="2" t="s">
        <v>186</v>
      </c>
      <c r="K67" s="5">
        <v>35795174</v>
      </c>
      <c r="L67" s="2" t="s">
        <v>187</v>
      </c>
      <c r="M67" s="2" t="s">
        <v>188</v>
      </c>
      <c r="N67" s="6">
        <v>43894.516006944446</v>
      </c>
      <c r="O67" s="4">
        <v>3159000</v>
      </c>
      <c r="P67" s="2">
        <v>114688</v>
      </c>
      <c r="Q67" s="2" t="s">
        <v>189</v>
      </c>
      <c r="R67" s="2" t="s">
        <v>190</v>
      </c>
      <c r="S67" s="2" t="s">
        <v>73</v>
      </c>
      <c r="T67" s="2" t="s">
        <v>191</v>
      </c>
      <c r="W67" s="4">
        <v>400</v>
      </c>
      <c r="X67" s="4">
        <v>480</v>
      </c>
      <c r="Y67" s="4">
        <f t="shared" ref="Y67" si="72">INDEX(InternalRates,MATCH($S67,InternalRates01,FALSE),2)</f>
        <v>278.98333333333335</v>
      </c>
      <c r="Z67" s="3" t="str">
        <f t="shared" ref="Z67:Z130" si="73">IF(W67&gt;0,IF(Y67&gt;W67,"Áno","Nie"),"Nie")</f>
        <v>Nie</v>
      </c>
      <c r="AA67" s="3" t="str">
        <f t="shared" ref="AA67:AA130" si="74">IF(E67="Nie","SLA",IF(F67="Nie","ZoD","SLA+ZoD"))</f>
        <v>ZoD</v>
      </c>
      <c r="AB67" s="4">
        <v>400</v>
      </c>
      <c r="AD67" s="3" t="s">
        <v>48</v>
      </c>
      <c r="AE67" s="6">
        <v>44418</v>
      </c>
      <c r="AF67" s="3" t="s">
        <v>59</v>
      </c>
      <c r="AG67" s="3" t="s">
        <v>49</v>
      </c>
      <c r="AH67" s="3">
        <f>YEAR(SrcDB[[#This Row],[Datum_zverejnenia]])</f>
        <v>2020</v>
      </c>
      <c r="AI67" s="3" cm="1">
        <f t="array" ref="AI67">COUNT(_xlfn.UNIQUE(_xlfn._xlws.FILTER(SrcDB[ID],SrcDB[Objednavatel_ICO]=$H67)))</f>
        <v>2</v>
      </c>
      <c r="AJ67" s="3" cm="1">
        <f t="array" ref="AJ67">COUNT(_xlfn.UNIQUE(_xlfn._xlws.FILTER(SrcDB[ID],SrcDB[Dodavatel_ICO]=$K67)))</f>
        <v>1</v>
      </c>
      <c r="AK67" s="3">
        <f t="shared" si="8"/>
        <v>0</v>
      </c>
      <c r="AL67" s="3">
        <f t="shared" si="9"/>
        <v>0</v>
      </c>
      <c r="AM67" s="17" t="str">
        <f>IF(SrcDB[[#This Row],[Pocet zmluv objednavatela]]&gt;3,SrcDB[[#This Row],[Objednavatel]],"Ostatné")</f>
        <v>Ostatné</v>
      </c>
      <c r="AN67" s="17" t="str">
        <f>IF(SrcDB[[#This Row],[Pocet zmluv dodavatela]]&gt;3,SrcDB[[#This Row],[Dodavatel]],"Ostatné")</f>
        <v>Ostatné</v>
      </c>
    </row>
    <row r="68" spans="1:40" x14ac:dyDescent="0.3">
      <c r="A68" s="2" t="s">
        <v>184</v>
      </c>
      <c r="B68" s="2">
        <v>4478514</v>
      </c>
      <c r="C68" s="3" t="str">
        <f t="shared" si="68"/>
        <v>Áno</v>
      </c>
      <c r="D68" s="3" t="str">
        <f t="shared" si="69"/>
        <v>Nie</v>
      </c>
      <c r="E68" s="3" t="s">
        <v>49</v>
      </c>
      <c r="F68" s="3" t="s">
        <v>48</v>
      </c>
      <c r="G68" s="2" t="str">
        <f t="shared" si="70"/>
        <v>Stredné zmluvy</v>
      </c>
      <c r="H68" s="5">
        <v>42156424</v>
      </c>
      <c r="I68" s="2" t="s">
        <v>185</v>
      </c>
      <c r="J68" s="2" t="s">
        <v>186</v>
      </c>
      <c r="K68" s="5">
        <v>35795174</v>
      </c>
      <c r="L68" s="2" t="s">
        <v>187</v>
      </c>
      <c r="M68" s="2" t="s">
        <v>188</v>
      </c>
      <c r="N68" s="6">
        <v>43894</v>
      </c>
      <c r="O68" s="4">
        <v>3159000</v>
      </c>
      <c r="P68" s="2">
        <v>114688</v>
      </c>
      <c r="Q68" s="2" t="s">
        <v>189</v>
      </c>
      <c r="R68" s="2" t="s">
        <v>190</v>
      </c>
      <c r="S68" s="2" t="s">
        <v>73</v>
      </c>
      <c r="T68" s="2" t="s">
        <v>192</v>
      </c>
      <c r="W68" s="4">
        <v>400</v>
      </c>
      <c r="X68" s="4">
        <v>480</v>
      </c>
      <c r="Y68" s="4">
        <f t="shared" ref="Y68" si="75">INDEX(InternalRates,MATCH($S68,InternalRates01,FALSE),2)</f>
        <v>278.98333333333335</v>
      </c>
      <c r="Z68" s="3" t="str">
        <f t="shared" si="73"/>
        <v>Nie</v>
      </c>
      <c r="AA68" s="3" t="str">
        <f t="shared" si="74"/>
        <v>ZoD</v>
      </c>
      <c r="AB68" s="4">
        <v>1209</v>
      </c>
      <c r="AD68" s="3" t="s">
        <v>48</v>
      </c>
      <c r="AE68" s="6">
        <v>44418</v>
      </c>
      <c r="AF68" s="3" t="s">
        <v>59</v>
      </c>
      <c r="AG68" s="3" t="s">
        <v>49</v>
      </c>
      <c r="AH68" s="3">
        <f>YEAR(SrcDB[[#This Row],[Datum_zverejnenia]])</f>
        <v>2020</v>
      </c>
      <c r="AI68" s="3" cm="1">
        <f t="array" ref="AI68">COUNT(_xlfn.UNIQUE(_xlfn._xlws.FILTER(SrcDB[ID],SrcDB[Objednavatel_ICO]=$H68)))</f>
        <v>2</v>
      </c>
      <c r="AJ68" s="3" cm="1">
        <f t="array" ref="AJ68">COUNT(_xlfn.UNIQUE(_xlfn._xlws.FILTER(SrcDB[ID],SrcDB[Dodavatel_ICO]=$K68)))</f>
        <v>1</v>
      </c>
      <c r="AK68" s="3">
        <f t="shared" ref="AK68:AK131" si="76">IF($H67&lt;&gt;$H68,1,IF($B67&lt;&gt;$B68,1,0))</f>
        <v>0</v>
      </c>
      <c r="AL68" s="3">
        <f t="shared" ref="AL68:AL131" si="77">IF($K67&lt;&gt;$K68,1,IF($B67&lt;&gt;$B68,1,0))</f>
        <v>0</v>
      </c>
      <c r="AM68" s="17" t="str">
        <f>IF(SrcDB[[#This Row],[Pocet zmluv objednavatela]]&gt;3,SrcDB[[#This Row],[Objednavatel]],"Ostatné")</f>
        <v>Ostatné</v>
      </c>
      <c r="AN68" s="17" t="str">
        <f>IF(SrcDB[[#This Row],[Pocet zmluv dodavatela]]&gt;3,SrcDB[[#This Row],[Dodavatel]],"Ostatné")</f>
        <v>Ostatné</v>
      </c>
    </row>
    <row r="69" spans="1:40" x14ac:dyDescent="0.3">
      <c r="A69" s="2" t="s">
        <v>184</v>
      </c>
      <c r="B69" s="2">
        <v>4478514</v>
      </c>
      <c r="C69" s="3" t="str">
        <f t="shared" si="68"/>
        <v>Áno</v>
      </c>
      <c r="D69" s="3" t="str">
        <f t="shared" si="69"/>
        <v>Nie</v>
      </c>
      <c r="E69" s="3" t="s">
        <v>49</v>
      </c>
      <c r="F69" s="3" t="s">
        <v>48</v>
      </c>
      <c r="G69" s="2" t="str">
        <f t="shared" si="70"/>
        <v>Stredné zmluvy</v>
      </c>
      <c r="H69" s="5">
        <v>42156424</v>
      </c>
      <c r="I69" s="2" t="s">
        <v>185</v>
      </c>
      <c r="J69" s="2" t="s">
        <v>186</v>
      </c>
      <c r="K69" s="5">
        <v>35795174</v>
      </c>
      <c r="L69" s="2" t="s">
        <v>187</v>
      </c>
      <c r="M69" s="2" t="s">
        <v>188</v>
      </c>
      <c r="N69" s="6">
        <v>43894</v>
      </c>
      <c r="O69" s="4">
        <v>3159000</v>
      </c>
      <c r="P69" s="2">
        <v>114688</v>
      </c>
      <c r="Q69" s="2" t="s">
        <v>189</v>
      </c>
      <c r="R69" s="2" t="s">
        <v>190</v>
      </c>
      <c r="S69" s="2" t="s">
        <v>77</v>
      </c>
      <c r="T69" s="2" t="s">
        <v>193</v>
      </c>
      <c r="W69" s="4">
        <v>360</v>
      </c>
      <c r="X69" s="4">
        <v>432</v>
      </c>
      <c r="Y69" s="4">
        <f t="shared" ref="Y69" si="78">INDEX(InternalRates,MATCH($S69,InternalRates01,FALSE),2)</f>
        <v>278.98333333333335</v>
      </c>
      <c r="Z69" s="3" t="str">
        <f t="shared" si="73"/>
        <v>Nie</v>
      </c>
      <c r="AA69" s="3" t="str">
        <f t="shared" si="74"/>
        <v>ZoD</v>
      </c>
      <c r="AB69" s="4">
        <v>300</v>
      </c>
      <c r="AD69" s="3" t="s">
        <v>48</v>
      </c>
      <c r="AE69" s="6">
        <v>44418</v>
      </c>
      <c r="AF69" s="3" t="s">
        <v>59</v>
      </c>
      <c r="AG69" s="3" t="s">
        <v>49</v>
      </c>
      <c r="AH69" s="3">
        <f>YEAR(SrcDB[[#This Row],[Datum_zverejnenia]])</f>
        <v>2020</v>
      </c>
      <c r="AI69" s="3" cm="1">
        <f t="array" ref="AI69">COUNT(_xlfn.UNIQUE(_xlfn._xlws.FILTER(SrcDB[ID],SrcDB[Objednavatel_ICO]=$H69)))</f>
        <v>2</v>
      </c>
      <c r="AJ69" s="3" cm="1">
        <f t="array" ref="AJ69">COUNT(_xlfn.UNIQUE(_xlfn._xlws.FILTER(SrcDB[ID],SrcDB[Dodavatel_ICO]=$K69)))</f>
        <v>1</v>
      </c>
      <c r="AK69" s="3">
        <f t="shared" si="76"/>
        <v>0</v>
      </c>
      <c r="AL69" s="3">
        <f t="shared" si="77"/>
        <v>0</v>
      </c>
      <c r="AM69" s="17" t="str">
        <f>IF(SrcDB[[#This Row],[Pocet zmluv objednavatela]]&gt;3,SrcDB[[#This Row],[Objednavatel]],"Ostatné")</f>
        <v>Ostatné</v>
      </c>
      <c r="AN69" s="17" t="str">
        <f>IF(SrcDB[[#This Row],[Pocet zmluv dodavatela]]&gt;3,SrcDB[[#This Row],[Dodavatel]],"Ostatné")</f>
        <v>Ostatné</v>
      </c>
    </row>
    <row r="70" spans="1:40" x14ac:dyDescent="0.3">
      <c r="A70" s="2" t="s">
        <v>184</v>
      </c>
      <c r="B70" s="2">
        <v>4478514</v>
      </c>
      <c r="C70" s="3" t="str">
        <f t="shared" si="68"/>
        <v>Áno</v>
      </c>
      <c r="D70" s="3" t="str">
        <f t="shared" si="69"/>
        <v>Nie</v>
      </c>
      <c r="E70" s="3" t="s">
        <v>49</v>
      </c>
      <c r="F70" s="3" t="s">
        <v>48</v>
      </c>
      <c r="G70" s="2" t="str">
        <f t="shared" si="70"/>
        <v>Stredné zmluvy</v>
      </c>
      <c r="H70" s="5">
        <v>42156424</v>
      </c>
      <c r="I70" s="2" t="s">
        <v>185</v>
      </c>
      <c r="J70" s="2" t="s">
        <v>186</v>
      </c>
      <c r="K70" s="5">
        <v>35795174</v>
      </c>
      <c r="L70" s="2" t="s">
        <v>187</v>
      </c>
      <c r="M70" s="2" t="s">
        <v>188</v>
      </c>
      <c r="N70" s="6">
        <v>43894</v>
      </c>
      <c r="O70" s="4">
        <v>3159000</v>
      </c>
      <c r="P70" s="2">
        <v>114688</v>
      </c>
      <c r="Q70" s="2" t="s">
        <v>189</v>
      </c>
      <c r="R70" s="2" t="s">
        <v>190</v>
      </c>
      <c r="S70" s="2" t="s">
        <v>77</v>
      </c>
      <c r="T70" s="2" t="s">
        <v>194</v>
      </c>
      <c r="W70" s="4">
        <v>360</v>
      </c>
      <c r="X70" s="4">
        <v>432</v>
      </c>
      <c r="Y70" s="4">
        <f t="shared" ref="Y70" si="79">INDEX(InternalRates,MATCH($S70,InternalRates01,FALSE),2)</f>
        <v>278.98333333333335</v>
      </c>
      <c r="Z70" s="3" t="str">
        <f t="shared" si="73"/>
        <v>Nie</v>
      </c>
      <c r="AA70" s="3" t="str">
        <f t="shared" si="74"/>
        <v>ZoD</v>
      </c>
      <c r="AB70" s="4">
        <v>1620</v>
      </c>
      <c r="AD70" s="3" t="s">
        <v>48</v>
      </c>
      <c r="AE70" s="6">
        <v>44418</v>
      </c>
      <c r="AF70" s="3" t="s">
        <v>59</v>
      </c>
      <c r="AG70" s="3" t="s">
        <v>49</v>
      </c>
      <c r="AH70" s="3">
        <f>YEAR(SrcDB[[#This Row],[Datum_zverejnenia]])</f>
        <v>2020</v>
      </c>
      <c r="AI70" s="3" cm="1">
        <f t="array" ref="AI70">COUNT(_xlfn.UNIQUE(_xlfn._xlws.FILTER(SrcDB[ID],SrcDB[Objednavatel_ICO]=$H70)))</f>
        <v>2</v>
      </c>
      <c r="AJ70" s="3" cm="1">
        <f t="array" ref="AJ70">COUNT(_xlfn.UNIQUE(_xlfn._xlws.FILTER(SrcDB[ID],SrcDB[Dodavatel_ICO]=$K70)))</f>
        <v>1</v>
      </c>
      <c r="AK70" s="3">
        <f t="shared" si="76"/>
        <v>0</v>
      </c>
      <c r="AL70" s="3">
        <f t="shared" si="77"/>
        <v>0</v>
      </c>
      <c r="AM70" s="17" t="str">
        <f>IF(SrcDB[[#This Row],[Pocet zmluv objednavatela]]&gt;3,SrcDB[[#This Row],[Objednavatel]],"Ostatné")</f>
        <v>Ostatné</v>
      </c>
      <c r="AN70" s="17" t="str">
        <f>IF(SrcDB[[#This Row],[Pocet zmluv dodavatela]]&gt;3,SrcDB[[#This Row],[Dodavatel]],"Ostatné")</f>
        <v>Ostatné</v>
      </c>
    </row>
    <row r="71" spans="1:40" x14ac:dyDescent="0.3">
      <c r="A71" s="2" t="s">
        <v>184</v>
      </c>
      <c r="B71" s="2">
        <v>4478514</v>
      </c>
      <c r="C71" s="3" t="str">
        <f t="shared" si="68"/>
        <v>Áno</v>
      </c>
      <c r="D71" s="3" t="str">
        <f t="shared" si="69"/>
        <v>Nie</v>
      </c>
      <c r="E71" s="3" t="s">
        <v>49</v>
      </c>
      <c r="F71" s="3" t="s">
        <v>48</v>
      </c>
      <c r="G71" s="2" t="str">
        <f t="shared" si="70"/>
        <v>Stredné zmluvy</v>
      </c>
      <c r="H71" s="5">
        <v>42156424</v>
      </c>
      <c r="I71" s="2" t="s">
        <v>185</v>
      </c>
      <c r="J71" s="2" t="s">
        <v>186</v>
      </c>
      <c r="K71" s="5">
        <v>35795174</v>
      </c>
      <c r="L71" s="2" t="s">
        <v>187</v>
      </c>
      <c r="M71" s="2" t="s">
        <v>188</v>
      </c>
      <c r="N71" s="6">
        <v>43894</v>
      </c>
      <c r="O71" s="4">
        <v>3159000</v>
      </c>
      <c r="P71" s="2">
        <v>114688</v>
      </c>
      <c r="Q71" s="2" t="s">
        <v>189</v>
      </c>
      <c r="R71" s="2" t="s">
        <v>190</v>
      </c>
      <c r="S71" s="2" t="s">
        <v>79</v>
      </c>
      <c r="T71" s="2" t="s">
        <v>195</v>
      </c>
      <c r="W71" s="4">
        <v>320</v>
      </c>
      <c r="X71" s="4">
        <v>384</v>
      </c>
      <c r="Y71" s="4">
        <f t="shared" ref="Y71" si="80">INDEX(InternalRates,MATCH($S71,InternalRates01,FALSE),2)</f>
        <v>278.98333333333335</v>
      </c>
      <c r="Z71" s="3" t="str">
        <f t="shared" si="73"/>
        <v>Nie</v>
      </c>
      <c r="AA71" s="3" t="str">
        <f t="shared" si="74"/>
        <v>ZoD</v>
      </c>
      <c r="AB71" s="4">
        <v>160</v>
      </c>
      <c r="AD71" s="3" t="s">
        <v>48</v>
      </c>
      <c r="AE71" s="6">
        <v>44418</v>
      </c>
      <c r="AF71" s="3" t="s">
        <v>59</v>
      </c>
      <c r="AG71" s="3" t="s">
        <v>49</v>
      </c>
      <c r="AH71" s="3">
        <f>YEAR(SrcDB[[#This Row],[Datum_zverejnenia]])</f>
        <v>2020</v>
      </c>
      <c r="AI71" s="3" cm="1">
        <f t="array" ref="AI71">COUNT(_xlfn.UNIQUE(_xlfn._xlws.FILTER(SrcDB[ID],SrcDB[Objednavatel_ICO]=$H71)))</f>
        <v>2</v>
      </c>
      <c r="AJ71" s="3" cm="1">
        <f t="array" ref="AJ71">COUNT(_xlfn.UNIQUE(_xlfn._xlws.FILTER(SrcDB[ID],SrcDB[Dodavatel_ICO]=$K71)))</f>
        <v>1</v>
      </c>
      <c r="AK71" s="3">
        <f t="shared" si="76"/>
        <v>0</v>
      </c>
      <c r="AL71" s="3">
        <f t="shared" si="77"/>
        <v>0</v>
      </c>
      <c r="AM71" s="17" t="str">
        <f>IF(SrcDB[[#This Row],[Pocet zmluv objednavatela]]&gt;3,SrcDB[[#This Row],[Objednavatel]],"Ostatné")</f>
        <v>Ostatné</v>
      </c>
      <c r="AN71" s="17" t="str">
        <f>IF(SrcDB[[#This Row],[Pocet zmluv dodavatela]]&gt;3,SrcDB[[#This Row],[Dodavatel]],"Ostatné")</f>
        <v>Ostatné</v>
      </c>
    </row>
    <row r="72" spans="1:40" x14ac:dyDescent="0.3">
      <c r="A72" s="2" t="s">
        <v>184</v>
      </c>
      <c r="B72" s="2">
        <v>4478514</v>
      </c>
      <c r="C72" s="3" t="str">
        <f t="shared" si="68"/>
        <v>Áno</v>
      </c>
      <c r="D72" s="3" t="str">
        <f t="shared" si="69"/>
        <v>Nie</v>
      </c>
      <c r="E72" s="3" t="s">
        <v>49</v>
      </c>
      <c r="F72" s="3" t="s">
        <v>48</v>
      </c>
      <c r="G72" s="2" t="str">
        <f t="shared" si="70"/>
        <v>Stredné zmluvy</v>
      </c>
      <c r="H72" s="5">
        <v>42156424</v>
      </c>
      <c r="I72" s="2" t="s">
        <v>185</v>
      </c>
      <c r="J72" s="2" t="s">
        <v>186</v>
      </c>
      <c r="K72" s="5">
        <v>35795174</v>
      </c>
      <c r="L72" s="2" t="s">
        <v>187</v>
      </c>
      <c r="M72" s="2" t="s">
        <v>188</v>
      </c>
      <c r="N72" s="6">
        <v>43894</v>
      </c>
      <c r="O72" s="4">
        <v>3159000</v>
      </c>
      <c r="P72" s="2">
        <v>114688</v>
      </c>
      <c r="Q72" s="2" t="s">
        <v>189</v>
      </c>
      <c r="R72" s="2" t="s">
        <v>190</v>
      </c>
      <c r="S72" s="2" t="s">
        <v>79</v>
      </c>
      <c r="T72" s="2" t="s">
        <v>79</v>
      </c>
      <c r="W72" s="4">
        <v>320</v>
      </c>
      <c r="X72" s="4">
        <v>384</v>
      </c>
      <c r="Y72" s="4">
        <f t="shared" ref="Y72" si="81">INDEX(InternalRates,MATCH($S72,InternalRates01,FALSE),2)</f>
        <v>278.98333333333335</v>
      </c>
      <c r="Z72" s="3" t="str">
        <f t="shared" si="73"/>
        <v>Nie</v>
      </c>
      <c r="AA72" s="3" t="str">
        <f t="shared" si="74"/>
        <v>ZoD</v>
      </c>
      <c r="AB72" s="4">
        <v>417</v>
      </c>
      <c r="AD72" s="3" t="s">
        <v>48</v>
      </c>
      <c r="AE72" s="6">
        <v>44418</v>
      </c>
      <c r="AF72" s="3" t="s">
        <v>59</v>
      </c>
      <c r="AG72" s="3" t="s">
        <v>49</v>
      </c>
      <c r="AH72" s="3">
        <f>YEAR(SrcDB[[#This Row],[Datum_zverejnenia]])</f>
        <v>2020</v>
      </c>
      <c r="AI72" s="3" cm="1">
        <f t="array" ref="AI72">COUNT(_xlfn.UNIQUE(_xlfn._xlws.FILTER(SrcDB[ID],SrcDB[Objednavatel_ICO]=$H72)))</f>
        <v>2</v>
      </c>
      <c r="AJ72" s="3" cm="1">
        <f t="array" ref="AJ72">COUNT(_xlfn.UNIQUE(_xlfn._xlws.FILTER(SrcDB[ID],SrcDB[Dodavatel_ICO]=$K72)))</f>
        <v>1</v>
      </c>
      <c r="AK72" s="3">
        <f t="shared" si="76"/>
        <v>0</v>
      </c>
      <c r="AL72" s="3">
        <f t="shared" si="77"/>
        <v>0</v>
      </c>
      <c r="AM72" s="17" t="str">
        <f>IF(SrcDB[[#This Row],[Pocet zmluv objednavatela]]&gt;3,SrcDB[[#This Row],[Objednavatel]],"Ostatné")</f>
        <v>Ostatné</v>
      </c>
      <c r="AN72" s="17" t="str">
        <f>IF(SrcDB[[#This Row],[Pocet zmluv dodavatela]]&gt;3,SrcDB[[#This Row],[Dodavatel]],"Ostatné")</f>
        <v>Ostatné</v>
      </c>
    </row>
    <row r="73" spans="1:40" x14ac:dyDescent="0.3">
      <c r="A73" s="2" t="s">
        <v>184</v>
      </c>
      <c r="B73" s="2">
        <v>4478514</v>
      </c>
      <c r="C73" s="3" t="str">
        <f t="shared" si="68"/>
        <v>Áno</v>
      </c>
      <c r="D73" s="3" t="str">
        <f t="shared" si="69"/>
        <v>Nie</v>
      </c>
      <c r="E73" s="3" t="s">
        <v>49</v>
      </c>
      <c r="F73" s="3" t="s">
        <v>48</v>
      </c>
      <c r="G73" s="2" t="str">
        <f t="shared" si="70"/>
        <v>Stredné zmluvy</v>
      </c>
      <c r="H73" s="5">
        <v>42156424</v>
      </c>
      <c r="I73" s="2" t="s">
        <v>185</v>
      </c>
      <c r="J73" s="2" t="s">
        <v>186</v>
      </c>
      <c r="K73" s="5">
        <v>35795174</v>
      </c>
      <c r="L73" s="2" t="s">
        <v>187</v>
      </c>
      <c r="M73" s="2" t="s">
        <v>188</v>
      </c>
      <c r="N73" s="6">
        <v>43894</v>
      </c>
      <c r="O73" s="4">
        <v>3159000</v>
      </c>
      <c r="P73" s="2">
        <v>114688</v>
      </c>
      <c r="Q73" s="2" t="s">
        <v>189</v>
      </c>
      <c r="R73" s="2" t="s">
        <v>190</v>
      </c>
      <c r="S73" s="2" t="s">
        <v>71</v>
      </c>
      <c r="T73" s="2" t="s">
        <v>196</v>
      </c>
      <c r="W73" s="4">
        <v>440</v>
      </c>
      <c r="X73" s="4">
        <v>528</v>
      </c>
      <c r="Y73" s="4">
        <f t="shared" ref="Y73" si="82">INDEX(InternalRates,MATCH($S73,InternalRates01,FALSE),2)</f>
        <v>354.0333333333333</v>
      </c>
      <c r="Z73" s="3" t="str">
        <f t="shared" si="73"/>
        <v>Nie</v>
      </c>
      <c r="AA73" s="3" t="str">
        <f t="shared" si="74"/>
        <v>ZoD</v>
      </c>
      <c r="AB73" s="4">
        <v>447</v>
      </c>
      <c r="AD73" s="3" t="s">
        <v>48</v>
      </c>
      <c r="AE73" s="6">
        <v>44418</v>
      </c>
      <c r="AF73" s="3" t="s">
        <v>59</v>
      </c>
      <c r="AG73" s="3" t="s">
        <v>49</v>
      </c>
      <c r="AH73" s="3">
        <f>YEAR(SrcDB[[#This Row],[Datum_zverejnenia]])</f>
        <v>2020</v>
      </c>
      <c r="AI73" s="3" cm="1">
        <f t="array" ref="AI73">COUNT(_xlfn.UNIQUE(_xlfn._xlws.FILTER(SrcDB[ID],SrcDB[Objednavatel_ICO]=$H73)))</f>
        <v>2</v>
      </c>
      <c r="AJ73" s="3" cm="1">
        <f t="array" ref="AJ73">COUNT(_xlfn.UNIQUE(_xlfn._xlws.FILTER(SrcDB[ID],SrcDB[Dodavatel_ICO]=$K73)))</f>
        <v>1</v>
      </c>
      <c r="AK73" s="3">
        <f t="shared" si="76"/>
        <v>0</v>
      </c>
      <c r="AL73" s="3">
        <f t="shared" si="77"/>
        <v>0</v>
      </c>
      <c r="AM73" s="17" t="str">
        <f>IF(SrcDB[[#This Row],[Pocet zmluv objednavatela]]&gt;3,SrcDB[[#This Row],[Objednavatel]],"Ostatné")</f>
        <v>Ostatné</v>
      </c>
      <c r="AN73" s="17" t="str">
        <f>IF(SrcDB[[#This Row],[Pocet zmluv dodavatela]]&gt;3,SrcDB[[#This Row],[Dodavatel]],"Ostatné")</f>
        <v>Ostatné</v>
      </c>
    </row>
    <row r="74" spans="1:40" x14ac:dyDescent="0.3">
      <c r="A74" s="2" t="s">
        <v>184</v>
      </c>
      <c r="B74" s="2">
        <v>4478514</v>
      </c>
      <c r="C74" s="3" t="str">
        <f t="shared" si="68"/>
        <v>Áno</v>
      </c>
      <c r="D74" s="3" t="str">
        <f t="shared" si="69"/>
        <v>Nie</v>
      </c>
      <c r="E74" s="3" t="s">
        <v>49</v>
      </c>
      <c r="F74" s="3" t="s">
        <v>48</v>
      </c>
      <c r="G74" s="2" t="str">
        <f t="shared" si="70"/>
        <v>Stredné zmluvy</v>
      </c>
      <c r="H74" s="5">
        <v>42156424</v>
      </c>
      <c r="I74" s="2" t="s">
        <v>185</v>
      </c>
      <c r="J74" s="2" t="s">
        <v>186</v>
      </c>
      <c r="K74" s="5">
        <v>35795174</v>
      </c>
      <c r="L74" s="2" t="s">
        <v>187</v>
      </c>
      <c r="M74" s="2" t="s">
        <v>188</v>
      </c>
      <c r="N74" s="6">
        <v>43894</v>
      </c>
      <c r="O74" s="4">
        <v>3159000</v>
      </c>
      <c r="P74" s="2">
        <v>114688</v>
      </c>
      <c r="Q74" s="2" t="s">
        <v>189</v>
      </c>
      <c r="R74" s="2" t="s">
        <v>190</v>
      </c>
      <c r="S74" s="2" t="s">
        <v>56</v>
      </c>
      <c r="T74" s="2" t="s">
        <v>197</v>
      </c>
      <c r="U74" s="2" t="s">
        <v>76</v>
      </c>
      <c r="W74" s="4">
        <v>440</v>
      </c>
      <c r="X74" s="4">
        <v>528</v>
      </c>
      <c r="Y74" s="4">
        <f t="shared" ref="Y74" si="83">INDEX(InternalRates,MATCH($S74,InternalRates01,FALSE),2)</f>
        <v>278.98333333333335</v>
      </c>
      <c r="Z74" s="3" t="str">
        <f t="shared" si="73"/>
        <v>Nie</v>
      </c>
      <c r="AA74" s="3" t="str">
        <f t="shared" si="74"/>
        <v>ZoD</v>
      </c>
      <c r="AB74" s="4">
        <v>61</v>
      </c>
      <c r="AD74" s="3" t="s">
        <v>48</v>
      </c>
      <c r="AE74" s="6">
        <v>44418</v>
      </c>
      <c r="AF74" s="3" t="s">
        <v>59</v>
      </c>
      <c r="AG74" s="3" t="s">
        <v>49</v>
      </c>
      <c r="AH74" s="3">
        <f>YEAR(SrcDB[[#This Row],[Datum_zverejnenia]])</f>
        <v>2020</v>
      </c>
      <c r="AI74" s="3" cm="1">
        <f t="array" ref="AI74">COUNT(_xlfn.UNIQUE(_xlfn._xlws.FILTER(SrcDB[ID],SrcDB[Objednavatel_ICO]=$H74)))</f>
        <v>2</v>
      </c>
      <c r="AJ74" s="3" cm="1">
        <f t="array" ref="AJ74">COUNT(_xlfn.UNIQUE(_xlfn._xlws.FILTER(SrcDB[ID],SrcDB[Dodavatel_ICO]=$K74)))</f>
        <v>1</v>
      </c>
      <c r="AK74" s="3">
        <f t="shared" si="76"/>
        <v>0</v>
      </c>
      <c r="AL74" s="3">
        <f t="shared" si="77"/>
        <v>0</v>
      </c>
      <c r="AM74" s="17" t="str">
        <f>IF(SrcDB[[#This Row],[Pocet zmluv objednavatela]]&gt;3,SrcDB[[#This Row],[Objednavatel]],"Ostatné")</f>
        <v>Ostatné</v>
      </c>
      <c r="AN74" s="17" t="str">
        <f>IF(SrcDB[[#This Row],[Pocet zmluv dodavatela]]&gt;3,SrcDB[[#This Row],[Dodavatel]],"Ostatné")</f>
        <v>Ostatné</v>
      </c>
    </row>
    <row r="75" spans="1:40" x14ac:dyDescent="0.3">
      <c r="A75" s="2" t="s">
        <v>184</v>
      </c>
      <c r="B75" s="2">
        <v>4478514</v>
      </c>
      <c r="C75" s="3" t="str">
        <f t="shared" si="68"/>
        <v>Áno</v>
      </c>
      <c r="D75" s="3" t="str">
        <f t="shared" si="69"/>
        <v>Nie</v>
      </c>
      <c r="E75" s="3" t="s">
        <v>49</v>
      </c>
      <c r="F75" s="3" t="s">
        <v>48</v>
      </c>
      <c r="G75" s="2" t="str">
        <f t="shared" si="70"/>
        <v>Stredné zmluvy</v>
      </c>
      <c r="H75" s="5">
        <v>42156424</v>
      </c>
      <c r="I75" s="2" t="s">
        <v>185</v>
      </c>
      <c r="J75" s="2" t="s">
        <v>186</v>
      </c>
      <c r="K75" s="5">
        <v>35795174</v>
      </c>
      <c r="L75" s="2" t="s">
        <v>187</v>
      </c>
      <c r="M75" s="2" t="s">
        <v>188</v>
      </c>
      <c r="N75" s="6">
        <v>43894</v>
      </c>
      <c r="O75" s="4">
        <v>3159000</v>
      </c>
      <c r="P75" s="2">
        <v>114688</v>
      </c>
      <c r="Q75" s="2" t="s">
        <v>189</v>
      </c>
      <c r="R75" s="2" t="s">
        <v>190</v>
      </c>
      <c r="S75" s="2" t="s">
        <v>56</v>
      </c>
      <c r="T75" s="2" t="s">
        <v>198</v>
      </c>
      <c r="U75" s="2" t="s">
        <v>95</v>
      </c>
      <c r="W75" s="4">
        <v>480</v>
      </c>
      <c r="X75" s="4">
        <v>576</v>
      </c>
      <c r="Y75" s="4">
        <f t="shared" ref="Y75" si="84">INDEX(InternalRates,MATCH($S75,InternalRates01,FALSE),2)</f>
        <v>278.98333333333335</v>
      </c>
      <c r="Z75" s="3" t="str">
        <f t="shared" si="73"/>
        <v>Nie</v>
      </c>
      <c r="AA75" s="3" t="str">
        <f t="shared" si="74"/>
        <v>ZoD</v>
      </c>
      <c r="AB75" s="4">
        <v>452</v>
      </c>
      <c r="AD75" s="3" t="s">
        <v>48</v>
      </c>
      <c r="AE75" s="6">
        <v>44418</v>
      </c>
      <c r="AF75" s="3" t="s">
        <v>59</v>
      </c>
      <c r="AG75" s="3" t="s">
        <v>49</v>
      </c>
      <c r="AH75" s="3">
        <f>YEAR(SrcDB[[#This Row],[Datum_zverejnenia]])</f>
        <v>2020</v>
      </c>
      <c r="AI75" s="3" cm="1">
        <f t="array" ref="AI75">COUNT(_xlfn.UNIQUE(_xlfn._xlws.FILTER(SrcDB[ID],SrcDB[Objednavatel_ICO]=$H75)))</f>
        <v>2</v>
      </c>
      <c r="AJ75" s="3" cm="1">
        <f t="array" ref="AJ75">COUNT(_xlfn.UNIQUE(_xlfn._xlws.FILTER(SrcDB[ID],SrcDB[Dodavatel_ICO]=$K75)))</f>
        <v>1</v>
      </c>
      <c r="AK75" s="3">
        <f t="shared" si="76"/>
        <v>0</v>
      </c>
      <c r="AL75" s="3">
        <f t="shared" si="77"/>
        <v>0</v>
      </c>
      <c r="AM75" s="17" t="str">
        <f>IF(SrcDB[[#This Row],[Pocet zmluv objednavatela]]&gt;3,SrcDB[[#This Row],[Objednavatel]],"Ostatné")</f>
        <v>Ostatné</v>
      </c>
      <c r="AN75" s="17" t="str">
        <f>IF(SrcDB[[#This Row],[Pocet zmluv dodavatela]]&gt;3,SrcDB[[#This Row],[Dodavatel]],"Ostatné")</f>
        <v>Ostatné</v>
      </c>
    </row>
    <row r="76" spans="1:40" x14ac:dyDescent="0.3">
      <c r="A76" s="2" t="s">
        <v>199</v>
      </c>
      <c r="B76" s="2">
        <v>4479479</v>
      </c>
      <c r="C76" s="3" t="str">
        <f t="shared" si="68"/>
        <v>Nie</v>
      </c>
      <c r="D76" s="3" t="str">
        <f t="shared" si="69"/>
        <v>Áno</v>
      </c>
      <c r="E76" s="3" t="s">
        <v>48</v>
      </c>
      <c r="F76" s="3" t="s">
        <v>49</v>
      </c>
      <c r="G76" s="2" t="str">
        <f t="shared" si="70"/>
        <v>Malé zmluvy</v>
      </c>
      <c r="H76" s="5">
        <v>50349287</v>
      </c>
      <c r="I76" s="2" t="s">
        <v>200</v>
      </c>
      <c r="J76" s="2" t="s">
        <v>201</v>
      </c>
      <c r="K76" s="5">
        <v>35918501</v>
      </c>
      <c r="L76" s="2" t="s">
        <v>202</v>
      </c>
      <c r="M76" s="2" t="s">
        <v>203</v>
      </c>
      <c r="N76" s="6">
        <v>43894.577986111108</v>
      </c>
      <c r="O76" s="4">
        <v>710040</v>
      </c>
      <c r="P76" s="2">
        <v>2473554</v>
      </c>
      <c r="Q76" s="2" t="s">
        <v>204</v>
      </c>
      <c r="R76" s="2" t="s">
        <v>205</v>
      </c>
      <c r="S76" s="2" t="s">
        <v>69</v>
      </c>
      <c r="T76" s="2" t="s">
        <v>70</v>
      </c>
      <c r="W76" s="4">
        <v>490</v>
      </c>
      <c r="X76" s="4">
        <v>588</v>
      </c>
      <c r="Y76" s="4">
        <f t="shared" ref="Y76" si="85">INDEX(InternalRates,MATCH($S76,InternalRates01,FALSE),2)</f>
        <v>278.98333333333335</v>
      </c>
      <c r="Z76" s="3" t="str">
        <f t="shared" si="73"/>
        <v>Nie</v>
      </c>
      <c r="AA76" s="3" t="str">
        <f t="shared" si="74"/>
        <v>SLA</v>
      </c>
      <c r="AB76" s="4">
        <v>130</v>
      </c>
      <c r="AD76" s="3" t="s">
        <v>48</v>
      </c>
      <c r="AE76" s="6">
        <v>44424</v>
      </c>
      <c r="AF76" s="3" t="s">
        <v>59</v>
      </c>
      <c r="AG76" s="3" t="s">
        <v>60</v>
      </c>
      <c r="AH76" s="3">
        <f>YEAR(SrcDB[[#This Row],[Datum_zverejnenia]])</f>
        <v>2020</v>
      </c>
      <c r="AI76" s="3" cm="1">
        <f t="array" ref="AI76">COUNT(_xlfn.UNIQUE(_xlfn._xlws.FILTER(SrcDB[ID],SrcDB[Objednavatel_ICO]=$H76)))</f>
        <v>7</v>
      </c>
      <c r="AJ76" s="3" cm="1">
        <f t="array" ref="AJ76">COUNT(_xlfn.UNIQUE(_xlfn._xlws.FILTER(SrcDB[ID],SrcDB[Dodavatel_ICO]=$K76)))</f>
        <v>2</v>
      </c>
      <c r="AK76" s="3">
        <f t="shared" si="76"/>
        <v>1</v>
      </c>
      <c r="AL76" s="3">
        <f t="shared" si="77"/>
        <v>1</v>
      </c>
      <c r="AM76" s="17" t="str">
        <f>IF(SrcDB[[#This Row],[Pocet zmluv objednavatela]]&gt;3,SrcDB[[#This Row],[Objednavatel]],"Ostatné")</f>
        <v>Ministerstvo investícií, regionálneho rozvoja a informatizácie Slovenskej republiky</v>
      </c>
      <c r="AN76" s="17" t="str">
        <f>IF(SrcDB[[#This Row],[Pocet zmluv dodavatela]]&gt;3,SrcDB[[#This Row],[Dodavatel]],"Ostatné")</f>
        <v>Ostatné</v>
      </c>
    </row>
    <row r="77" spans="1:40" x14ac:dyDescent="0.3">
      <c r="A77" s="2" t="s">
        <v>199</v>
      </c>
      <c r="B77" s="2">
        <v>4479479</v>
      </c>
      <c r="C77" s="3" t="str">
        <f t="shared" si="68"/>
        <v>Nie</v>
      </c>
      <c r="D77" s="3" t="str">
        <f t="shared" si="69"/>
        <v>Áno</v>
      </c>
      <c r="E77" s="3" t="s">
        <v>48</v>
      </c>
      <c r="F77" s="3" t="s">
        <v>49</v>
      </c>
      <c r="G77" s="2" t="str">
        <f t="shared" si="70"/>
        <v>Malé zmluvy</v>
      </c>
      <c r="H77" s="5">
        <v>50349287</v>
      </c>
      <c r="I77" s="2" t="s">
        <v>200</v>
      </c>
      <c r="J77" s="2" t="s">
        <v>201</v>
      </c>
      <c r="K77" s="5">
        <v>35918501</v>
      </c>
      <c r="L77" s="2" t="s">
        <v>202</v>
      </c>
      <c r="M77" s="2" t="s">
        <v>203</v>
      </c>
      <c r="N77" s="6">
        <v>43894.577986111108</v>
      </c>
      <c r="O77" s="4">
        <v>710040</v>
      </c>
      <c r="P77" s="2">
        <v>2473554</v>
      </c>
      <c r="Q77" s="2" t="s">
        <v>204</v>
      </c>
      <c r="R77" s="2" t="s">
        <v>205</v>
      </c>
      <c r="S77" s="2" t="s">
        <v>73</v>
      </c>
      <c r="T77" s="2" t="s">
        <v>206</v>
      </c>
      <c r="W77" s="4">
        <v>490</v>
      </c>
      <c r="X77" s="4">
        <v>588</v>
      </c>
      <c r="Y77" s="4">
        <f t="shared" ref="Y77" si="86">INDEX(InternalRates,MATCH($S77,InternalRates01,FALSE),2)</f>
        <v>278.98333333333335</v>
      </c>
      <c r="Z77" s="3" t="str">
        <f t="shared" si="73"/>
        <v>Nie</v>
      </c>
      <c r="AA77" s="3" t="str">
        <f t="shared" si="74"/>
        <v>SLA</v>
      </c>
      <c r="AB77" s="4">
        <v>200</v>
      </c>
      <c r="AD77" s="3" t="s">
        <v>48</v>
      </c>
      <c r="AE77" s="6">
        <v>44424</v>
      </c>
      <c r="AF77" s="3" t="s">
        <v>59</v>
      </c>
      <c r="AG77" s="3" t="s">
        <v>60</v>
      </c>
      <c r="AH77" s="3">
        <f>YEAR(SrcDB[[#This Row],[Datum_zverejnenia]])</f>
        <v>2020</v>
      </c>
      <c r="AI77" s="3" cm="1">
        <f t="array" ref="AI77">COUNT(_xlfn.UNIQUE(_xlfn._xlws.FILTER(SrcDB[ID],SrcDB[Objednavatel_ICO]=$H77)))</f>
        <v>7</v>
      </c>
      <c r="AJ77" s="3" cm="1">
        <f t="array" ref="AJ77">COUNT(_xlfn.UNIQUE(_xlfn._xlws.FILTER(SrcDB[ID],SrcDB[Dodavatel_ICO]=$K77)))</f>
        <v>2</v>
      </c>
      <c r="AK77" s="3">
        <f t="shared" si="76"/>
        <v>0</v>
      </c>
      <c r="AL77" s="3">
        <f t="shared" si="77"/>
        <v>0</v>
      </c>
      <c r="AM77" s="17" t="str">
        <f>IF(SrcDB[[#This Row],[Pocet zmluv objednavatela]]&gt;3,SrcDB[[#This Row],[Objednavatel]],"Ostatné")</f>
        <v>Ministerstvo investícií, regionálneho rozvoja a informatizácie Slovenskej republiky</v>
      </c>
      <c r="AN77" s="17" t="str">
        <f>IF(SrcDB[[#This Row],[Pocet zmluv dodavatela]]&gt;3,SrcDB[[#This Row],[Dodavatel]],"Ostatné")</f>
        <v>Ostatné</v>
      </c>
    </row>
    <row r="78" spans="1:40" x14ac:dyDescent="0.3">
      <c r="A78" s="2" t="s">
        <v>199</v>
      </c>
      <c r="B78" s="2">
        <v>4479479</v>
      </c>
      <c r="C78" s="3" t="str">
        <f t="shared" si="68"/>
        <v>Nie</v>
      </c>
      <c r="D78" s="3" t="str">
        <f t="shared" si="69"/>
        <v>Áno</v>
      </c>
      <c r="E78" s="3" t="s">
        <v>48</v>
      </c>
      <c r="F78" s="3" t="s">
        <v>49</v>
      </c>
      <c r="G78" s="2" t="str">
        <f t="shared" si="70"/>
        <v>Malé zmluvy</v>
      </c>
      <c r="H78" s="5">
        <v>50349287</v>
      </c>
      <c r="I78" s="2" t="s">
        <v>200</v>
      </c>
      <c r="J78" s="2" t="s">
        <v>201</v>
      </c>
      <c r="K78" s="5">
        <v>35918501</v>
      </c>
      <c r="L78" s="2" t="s">
        <v>202</v>
      </c>
      <c r="M78" s="2" t="s">
        <v>203</v>
      </c>
      <c r="N78" s="6">
        <v>43894</v>
      </c>
      <c r="O78" s="4">
        <v>710040</v>
      </c>
      <c r="P78" s="2">
        <v>2473554</v>
      </c>
      <c r="Q78" s="2" t="s">
        <v>204</v>
      </c>
      <c r="R78" s="2" t="s">
        <v>205</v>
      </c>
      <c r="S78" s="2" t="s">
        <v>56</v>
      </c>
      <c r="T78" s="2" t="s">
        <v>207</v>
      </c>
      <c r="U78" s="2" t="s">
        <v>208</v>
      </c>
      <c r="W78" s="4">
        <v>464.96</v>
      </c>
      <c r="X78" s="4">
        <v>557.952</v>
      </c>
      <c r="Y78" s="4">
        <f t="shared" ref="Y78" si="87">INDEX(InternalRates,MATCH($S78,InternalRates01,FALSE),2)</f>
        <v>278.98333333333335</v>
      </c>
      <c r="Z78" s="3" t="str">
        <f t="shared" si="73"/>
        <v>Nie</v>
      </c>
      <c r="AA78" s="3" t="str">
        <f t="shared" si="74"/>
        <v>SLA</v>
      </c>
      <c r="AB78" s="4">
        <v>120</v>
      </c>
      <c r="AD78" s="3" t="s">
        <v>48</v>
      </c>
      <c r="AE78" s="6">
        <v>44424</v>
      </c>
      <c r="AF78" s="3" t="s">
        <v>59</v>
      </c>
      <c r="AG78" s="3" t="s">
        <v>60</v>
      </c>
      <c r="AH78" s="3">
        <f>YEAR(SrcDB[[#This Row],[Datum_zverejnenia]])</f>
        <v>2020</v>
      </c>
      <c r="AI78" s="3" cm="1">
        <f t="array" ref="AI78">COUNT(_xlfn.UNIQUE(_xlfn._xlws.FILTER(SrcDB[ID],SrcDB[Objednavatel_ICO]=$H78)))</f>
        <v>7</v>
      </c>
      <c r="AJ78" s="3" cm="1">
        <f t="array" ref="AJ78">COUNT(_xlfn.UNIQUE(_xlfn._xlws.FILTER(SrcDB[ID],SrcDB[Dodavatel_ICO]=$K78)))</f>
        <v>2</v>
      </c>
      <c r="AK78" s="3">
        <f t="shared" si="76"/>
        <v>0</v>
      </c>
      <c r="AL78" s="3">
        <f t="shared" si="77"/>
        <v>0</v>
      </c>
      <c r="AM78" s="17" t="str">
        <f>IF(SrcDB[[#This Row],[Pocet zmluv objednavatela]]&gt;3,SrcDB[[#This Row],[Objednavatel]],"Ostatné")</f>
        <v>Ministerstvo investícií, regionálneho rozvoja a informatizácie Slovenskej republiky</v>
      </c>
      <c r="AN78" s="17" t="str">
        <f>IF(SrcDB[[#This Row],[Pocet zmluv dodavatela]]&gt;3,SrcDB[[#This Row],[Dodavatel]],"Ostatné")</f>
        <v>Ostatné</v>
      </c>
    </row>
    <row r="79" spans="1:40" x14ac:dyDescent="0.3">
      <c r="A79" s="2" t="s">
        <v>199</v>
      </c>
      <c r="B79" s="2">
        <v>4479479</v>
      </c>
      <c r="C79" s="3" t="str">
        <f t="shared" si="68"/>
        <v>Nie</v>
      </c>
      <c r="D79" s="3" t="str">
        <f t="shared" si="69"/>
        <v>Áno</v>
      </c>
      <c r="E79" s="3" t="s">
        <v>48</v>
      </c>
      <c r="F79" s="3" t="s">
        <v>49</v>
      </c>
      <c r="G79" s="2" t="str">
        <f t="shared" si="70"/>
        <v>Malé zmluvy</v>
      </c>
      <c r="H79" s="5">
        <v>50349287</v>
      </c>
      <c r="I79" s="2" t="s">
        <v>200</v>
      </c>
      <c r="J79" s="2" t="s">
        <v>201</v>
      </c>
      <c r="K79" s="5">
        <v>35918501</v>
      </c>
      <c r="L79" s="2" t="s">
        <v>202</v>
      </c>
      <c r="M79" s="2" t="s">
        <v>203</v>
      </c>
      <c r="N79" s="6">
        <v>43894</v>
      </c>
      <c r="O79" s="4">
        <v>710040</v>
      </c>
      <c r="P79" s="2">
        <v>2473554</v>
      </c>
      <c r="Q79" s="2" t="s">
        <v>204</v>
      </c>
      <c r="R79" s="2" t="s">
        <v>205</v>
      </c>
      <c r="S79" s="2" t="s">
        <v>77</v>
      </c>
      <c r="T79" s="2" t="s">
        <v>209</v>
      </c>
      <c r="W79" s="4">
        <v>490</v>
      </c>
      <c r="X79" s="4">
        <v>588</v>
      </c>
      <c r="Y79" s="4">
        <f t="shared" ref="Y79" si="88">INDEX(InternalRates,MATCH($S79,InternalRates01,FALSE),2)</f>
        <v>278.98333333333335</v>
      </c>
      <c r="Z79" s="3" t="str">
        <f t="shared" si="73"/>
        <v>Nie</v>
      </c>
      <c r="AA79" s="3" t="str">
        <f t="shared" si="74"/>
        <v>SLA</v>
      </c>
      <c r="AB79" s="4">
        <v>250</v>
      </c>
      <c r="AD79" s="3" t="s">
        <v>48</v>
      </c>
      <c r="AE79" s="6">
        <v>44424</v>
      </c>
      <c r="AF79" s="3" t="s">
        <v>59</v>
      </c>
      <c r="AG79" s="3" t="s">
        <v>60</v>
      </c>
      <c r="AH79" s="3">
        <f>YEAR(SrcDB[[#This Row],[Datum_zverejnenia]])</f>
        <v>2020</v>
      </c>
      <c r="AI79" s="3" cm="1">
        <f t="array" ref="AI79">COUNT(_xlfn.UNIQUE(_xlfn._xlws.FILTER(SrcDB[ID],SrcDB[Objednavatel_ICO]=$H79)))</f>
        <v>7</v>
      </c>
      <c r="AJ79" s="3" cm="1">
        <f t="array" ref="AJ79">COUNT(_xlfn.UNIQUE(_xlfn._xlws.FILTER(SrcDB[ID],SrcDB[Dodavatel_ICO]=$K79)))</f>
        <v>2</v>
      </c>
      <c r="AK79" s="3">
        <f t="shared" si="76"/>
        <v>0</v>
      </c>
      <c r="AL79" s="3">
        <f t="shared" si="77"/>
        <v>0</v>
      </c>
      <c r="AM79" s="17" t="str">
        <f>IF(SrcDB[[#This Row],[Pocet zmluv objednavatela]]&gt;3,SrcDB[[#This Row],[Objednavatel]],"Ostatné")</f>
        <v>Ministerstvo investícií, regionálneho rozvoja a informatizácie Slovenskej republiky</v>
      </c>
      <c r="AN79" s="17" t="str">
        <f>IF(SrcDB[[#This Row],[Pocet zmluv dodavatela]]&gt;3,SrcDB[[#This Row],[Dodavatel]],"Ostatné")</f>
        <v>Ostatné</v>
      </c>
    </row>
    <row r="80" spans="1:40" x14ac:dyDescent="0.3">
      <c r="A80" s="2" t="s">
        <v>199</v>
      </c>
      <c r="B80" s="2">
        <v>4479479</v>
      </c>
      <c r="C80" s="3" t="str">
        <f t="shared" si="68"/>
        <v>Nie</v>
      </c>
      <c r="D80" s="3" t="str">
        <f t="shared" si="69"/>
        <v>Áno</v>
      </c>
      <c r="E80" s="3" t="s">
        <v>48</v>
      </c>
      <c r="F80" s="3" t="s">
        <v>49</v>
      </c>
      <c r="G80" s="2" t="str">
        <f t="shared" si="70"/>
        <v>Malé zmluvy</v>
      </c>
      <c r="H80" s="5">
        <v>50349287</v>
      </c>
      <c r="I80" s="2" t="s">
        <v>200</v>
      </c>
      <c r="J80" s="2" t="s">
        <v>201</v>
      </c>
      <c r="K80" s="5">
        <v>35918501</v>
      </c>
      <c r="L80" s="2" t="s">
        <v>202</v>
      </c>
      <c r="M80" s="2" t="s">
        <v>203</v>
      </c>
      <c r="N80" s="6">
        <v>43894</v>
      </c>
      <c r="O80" s="4">
        <v>710040</v>
      </c>
      <c r="P80" s="2">
        <v>2473554</v>
      </c>
      <c r="Q80" s="2" t="s">
        <v>204</v>
      </c>
      <c r="R80" s="2" t="s">
        <v>205</v>
      </c>
      <c r="S80" s="2" t="s">
        <v>98</v>
      </c>
      <c r="T80" s="2" t="s">
        <v>98</v>
      </c>
      <c r="W80" s="4">
        <v>464.96</v>
      </c>
      <c r="X80" s="4">
        <v>557.952</v>
      </c>
      <c r="Y80" s="4">
        <f t="shared" ref="Y80" si="89">INDEX(InternalRates,MATCH($S80,InternalRates01,FALSE),2)</f>
        <v>278.98333333333335</v>
      </c>
      <c r="Z80" s="3" t="str">
        <f t="shared" si="73"/>
        <v>Nie</v>
      </c>
      <c r="AA80" s="3" t="str">
        <f t="shared" si="74"/>
        <v>SLA</v>
      </c>
      <c r="AB80" s="4">
        <v>100</v>
      </c>
      <c r="AD80" s="3" t="s">
        <v>48</v>
      </c>
      <c r="AE80" s="6">
        <v>44424</v>
      </c>
      <c r="AF80" s="3" t="s">
        <v>59</v>
      </c>
      <c r="AG80" s="3" t="s">
        <v>60</v>
      </c>
      <c r="AH80" s="3">
        <f>YEAR(SrcDB[[#This Row],[Datum_zverejnenia]])</f>
        <v>2020</v>
      </c>
      <c r="AI80" s="3" cm="1">
        <f t="array" ref="AI80">COUNT(_xlfn.UNIQUE(_xlfn._xlws.FILTER(SrcDB[ID],SrcDB[Objednavatel_ICO]=$H80)))</f>
        <v>7</v>
      </c>
      <c r="AJ80" s="3" cm="1">
        <f t="array" ref="AJ80">COUNT(_xlfn.UNIQUE(_xlfn._xlws.FILTER(SrcDB[ID],SrcDB[Dodavatel_ICO]=$K80)))</f>
        <v>2</v>
      </c>
      <c r="AK80" s="3">
        <f t="shared" si="76"/>
        <v>0</v>
      </c>
      <c r="AL80" s="3">
        <f t="shared" si="77"/>
        <v>0</v>
      </c>
      <c r="AM80" s="17" t="str">
        <f>IF(SrcDB[[#This Row],[Pocet zmluv objednavatela]]&gt;3,SrcDB[[#This Row],[Objednavatel]],"Ostatné")</f>
        <v>Ministerstvo investícií, regionálneho rozvoja a informatizácie Slovenskej republiky</v>
      </c>
      <c r="AN80" s="17" t="str">
        <f>IF(SrcDB[[#This Row],[Pocet zmluv dodavatela]]&gt;3,SrcDB[[#This Row],[Dodavatel]],"Ostatné")</f>
        <v>Ostatné</v>
      </c>
    </row>
    <row r="81" spans="1:40" x14ac:dyDescent="0.3">
      <c r="A81" s="2" t="s">
        <v>199</v>
      </c>
      <c r="B81" s="2">
        <v>4479479</v>
      </c>
      <c r="C81" s="3" t="str">
        <f t="shared" si="68"/>
        <v>Nie</v>
      </c>
      <c r="D81" s="3" t="str">
        <f t="shared" si="69"/>
        <v>Áno</v>
      </c>
      <c r="E81" s="3" t="s">
        <v>48</v>
      </c>
      <c r="F81" s="3" t="s">
        <v>49</v>
      </c>
      <c r="G81" s="2" t="str">
        <f t="shared" si="70"/>
        <v>Malé zmluvy</v>
      </c>
      <c r="H81" s="5">
        <v>50349287</v>
      </c>
      <c r="I81" s="2" t="s">
        <v>200</v>
      </c>
      <c r="J81" s="2" t="s">
        <v>201</v>
      </c>
      <c r="K81" s="5">
        <v>35918501</v>
      </c>
      <c r="L81" s="2" t="s">
        <v>202</v>
      </c>
      <c r="M81" s="2" t="s">
        <v>203</v>
      </c>
      <c r="N81" s="6">
        <v>43894</v>
      </c>
      <c r="O81" s="4">
        <v>710040</v>
      </c>
      <c r="P81" s="2">
        <v>2473554</v>
      </c>
      <c r="Q81" s="2" t="s">
        <v>204</v>
      </c>
      <c r="R81" s="2" t="s">
        <v>205</v>
      </c>
      <c r="S81" s="2" t="s">
        <v>79</v>
      </c>
      <c r="T81" s="2" t="s">
        <v>79</v>
      </c>
      <c r="W81" s="4">
        <v>464.96</v>
      </c>
      <c r="X81" s="4">
        <v>557.952</v>
      </c>
      <c r="Y81" s="4">
        <f t="shared" ref="Y81" si="90">INDEX(InternalRates,MATCH($S81,InternalRates01,FALSE),2)</f>
        <v>278.98333333333335</v>
      </c>
      <c r="Z81" s="3" t="str">
        <f t="shared" si="73"/>
        <v>Nie</v>
      </c>
      <c r="AA81" s="3" t="str">
        <f t="shared" si="74"/>
        <v>SLA</v>
      </c>
      <c r="AB81" s="4">
        <v>100</v>
      </c>
      <c r="AD81" s="3" t="s">
        <v>48</v>
      </c>
      <c r="AE81" s="6">
        <v>44424</v>
      </c>
      <c r="AF81" s="3" t="s">
        <v>59</v>
      </c>
      <c r="AG81" s="3" t="s">
        <v>60</v>
      </c>
      <c r="AH81" s="3">
        <f>YEAR(SrcDB[[#This Row],[Datum_zverejnenia]])</f>
        <v>2020</v>
      </c>
      <c r="AI81" s="3" cm="1">
        <f t="array" ref="AI81">COUNT(_xlfn.UNIQUE(_xlfn._xlws.FILTER(SrcDB[ID],SrcDB[Objednavatel_ICO]=$H81)))</f>
        <v>7</v>
      </c>
      <c r="AJ81" s="3" cm="1">
        <f t="array" ref="AJ81">COUNT(_xlfn.UNIQUE(_xlfn._xlws.FILTER(SrcDB[ID],SrcDB[Dodavatel_ICO]=$K81)))</f>
        <v>2</v>
      </c>
      <c r="AK81" s="3">
        <f t="shared" si="76"/>
        <v>0</v>
      </c>
      <c r="AL81" s="3">
        <f t="shared" si="77"/>
        <v>0</v>
      </c>
      <c r="AM81" s="17" t="str">
        <f>IF(SrcDB[[#This Row],[Pocet zmluv objednavatela]]&gt;3,SrcDB[[#This Row],[Objednavatel]],"Ostatné")</f>
        <v>Ministerstvo investícií, regionálneho rozvoja a informatizácie Slovenskej republiky</v>
      </c>
      <c r="AN81" s="17" t="str">
        <f>IF(SrcDB[[#This Row],[Pocet zmluv dodavatela]]&gt;3,SrcDB[[#This Row],[Dodavatel]],"Ostatné")</f>
        <v>Ostatné</v>
      </c>
    </row>
    <row r="82" spans="1:40" x14ac:dyDescent="0.3">
      <c r="A82" s="2" t="s">
        <v>210</v>
      </c>
      <c r="B82" s="2">
        <v>4484855</v>
      </c>
      <c r="C82" s="3" t="str">
        <f t="shared" si="68"/>
        <v>Nie</v>
      </c>
      <c r="D82" s="3" t="str">
        <f t="shared" si="69"/>
        <v>Áno</v>
      </c>
      <c r="E82" s="3" t="s">
        <v>48</v>
      </c>
      <c r="F82" s="3" t="s">
        <v>49</v>
      </c>
      <c r="G82" s="2" t="str">
        <f t="shared" si="70"/>
        <v>Stredné zmluvy</v>
      </c>
      <c r="H82" s="5">
        <v>35829141</v>
      </c>
      <c r="I82" s="2" t="s">
        <v>177</v>
      </c>
      <c r="J82" s="2" t="s">
        <v>178</v>
      </c>
      <c r="K82" s="5">
        <v>35975946</v>
      </c>
      <c r="L82" s="2" t="s">
        <v>211</v>
      </c>
      <c r="M82" s="2" t="s">
        <v>212</v>
      </c>
      <c r="N82" s="6">
        <v>43900.417372685188</v>
      </c>
      <c r="O82" s="4">
        <v>1302240</v>
      </c>
      <c r="P82" s="2">
        <v>358672</v>
      </c>
      <c r="Q82" s="2" t="s">
        <v>213</v>
      </c>
      <c r="R82" s="2" t="s">
        <v>214</v>
      </c>
      <c r="S82" s="2" t="s">
        <v>56</v>
      </c>
      <c r="T82" s="2" t="s">
        <v>215</v>
      </c>
      <c r="U82" s="2" t="s">
        <v>95</v>
      </c>
      <c r="W82" s="4">
        <v>960</v>
      </c>
      <c r="X82" s="4">
        <v>1152</v>
      </c>
      <c r="Y82" s="4">
        <f t="shared" ref="Y82" si="91">INDEX(InternalRates,MATCH($S82,InternalRates01,FALSE),2)</f>
        <v>278.98333333333335</v>
      </c>
      <c r="Z82" s="3" t="str">
        <f t="shared" si="73"/>
        <v>Nie</v>
      </c>
      <c r="AA82" s="3" t="str">
        <f t="shared" si="74"/>
        <v>SLA</v>
      </c>
      <c r="AB82" s="4">
        <v>144</v>
      </c>
      <c r="AD82" s="3" t="s">
        <v>216</v>
      </c>
      <c r="AE82" s="6">
        <v>44418</v>
      </c>
      <c r="AF82" s="3" t="s">
        <v>59</v>
      </c>
      <c r="AG82" s="3" t="s">
        <v>60</v>
      </c>
      <c r="AH82" s="3">
        <f>YEAR(SrcDB[[#This Row],[Datum_zverejnenia]])</f>
        <v>2020</v>
      </c>
      <c r="AI82" s="3" cm="1">
        <f t="array" ref="AI82">COUNT(_xlfn.UNIQUE(_xlfn._xlws.FILTER(SrcDB[ID],SrcDB[Objednavatel_ICO]=$H82)))</f>
        <v>8</v>
      </c>
      <c r="AJ82" s="3" cm="1">
        <f t="array" ref="AJ82">COUNT(_xlfn.UNIQUE(_xlfn._xlws.FILTER(SrcDB[ID],SrcDB[Dodavatel_ICO]=$K82)))</f>
        <v>4</v>
      </c>
      <c r="AK82" s="3">
        <f t="shared" si="76"/>
        <v>1</v>
      </c>
      <c r="AL82" s="3">
        <f t="shared" si="77"/>
        <v>1</v>
      </c>
      <c r="AM82" s="17" t="str">
        <f>IF(SrcDB[[#This Row],[Pocet zmluv objednavatela]]&gt;3,SrcDB[[#This Row],[Objednavatel]],"Ostatné")</f>
        <v>Slovenská elektrizačná prenosová sústava, a.s.</v>
      </c>
      <c r="AN82" s="17" t="str">
        <f>IF(SrcDB[[#This Row],[Pocet zmluv dodavatela]]&gt;3,SrcDB[[#This Row],[Dodavatel]],"Ostatné")</f>
        <v>Disig, a.s.</v>
      </c>
    </row>
    <row r="83" spans="1:40" x14ac:dyDescent="0.3">
      <c r="A83" s="2" t="s">
        <v>176</v>
      </c>
      <c r="B83" s="2">
        <v>4496978</v>
      </c>
      <c r="C83" s="3" t="str">
        <f t="shared" si="68"/>
        <v>Áno</v>
      </c>
      <c r="D83" s="3" t="str">
        <f t="shared" si="69"/>
        <v>Nie</v>
      </c>
      <c r="E83" s="3" t="s">
        <v>49</v>
      </c>
      <c r="F83" s="3" t="s">
        <v>48</v>
      </c>
      <c r="G83" s="2" t="str">
        <f t="shared" si="70"/>
        <v>Malé zmluvy</v>
      </c>
      <c r="H83" s="5">
        <v>35829141</v>
      </c>
      <c r="I83" s="2" t="s">
        <v>177</v>
      </c>
      <c r="J83" s="2" t="s">
        <v>178</v>
      </c>
      <c r="K83" s="5">
        <v>35975946</v>
      </c>
      <c r="L83" s="2" t="s">
        <v>211</v>
      </c>
      <c r="M83" s="2" t="s">
        <v>212</v>
      </c>
      <c r="N83" s="6">
        <v>43907.700613425928</v>
      </c>
      <c r="O83" s="4">
        <v>564792</v>
      </c>
      <c r="P83" s="2">
        <v>358672</v>
      </c>
      <c r="Q83" s="2" t="s">
        <v>217</v>
      </c>
      <c r="R83" s="2" t="s">
        <v>218</v>
      </c>
      <c r="S83" s="2" t="s">
        <v>183</v>
      </c>
      <c r="T83" s="2" t="s">
        <v>183</v>
      </c>
      <c r="W83" s="4">
        <v>960</v>
      </c>
      <c r="X83" s="4">
        <v>1152</v>
      </c>
      <c r="Y83" s="4">
        <f t="shared" ref="Y83" si="92">INDEX(InternalRates,MATCH($S83,InternalRates01,FALSE),2)</f>
        <v>278.98333333333335</v>
      </c>
      <c r="Z83" s="3" t="str">
        <f t="shared" si="73"/>
        <v>Nie</v>
      </c>
      <c r="AA83" s="3" t="str">
        <f t="shared" si="74"/>
        <v>ZoD</v>
      </c>
      <c r="AB83" s="4">
        <v>6</v>
      </c>
      <c r="AD83" s="3" t="s">
        <v>48</v>
      </c>
      <c r="AE83" s="6">
        <v>44424</v>
      </c>
      <c r="AF83" s="3" t="s">
        <v>59</v>
      </c>
      <c r="AG83" s="3" t="s">
        <v>60</v>
      </c>
      <c r="AH83" s="3">
        <f>YEAR(SrcDB[[#This Row],[Datum_zverejnenia]])</f>
        <v>2020</v>
      </c>
      <c r="AI83" s="3" cm="1">
        <f t="array" ref="AI83">COUNT(_xlfn.UNIQUE(_xlfn._xlws.FILTER(SrcDB[ID],SrcDB[Objednavatel_ICO]=$H83)))</f>
        <v>8</v>
      </c>
      <c r="AJ83" s="3" cm="1">
        <f t="array" ref="AJ83">COUNT(_xlfn.UNIQUE(_xlfn._xlws.FILTER(SrcDB[ID],SrcDB[Dodavatel_ICO]=$K83)))</f>
        <v>4</v>
      </c>
      <c r="AK83" s="3">
        <f t="shared" si="76"/>
        <v>1</v>
      </c>
      <c r="AL83" s="3">
        <f t="shared" si="77"/>
        <v>1</v>
      </c>
      <c r="AM83" s="17" t="str">
        <f>IF(SrcDB[[#This Row],[Pocet zmluv objednavatela]]&gt;3,SrcDB[[#This Row],[Objednavatel]],"Ostatné")</f>
        <v>Slovenská elektrizačná prenosová sústava, a.s.</v>
      </c>
      <c r="AN83" s="17" t="str">
        <f>IF(SrcDB[[#This Row],[Pocet zmluv dodavatela]]&gt;3,SrcDB[[#This Row],[Dodavatel]],"Ostatné")</f>
        <v>Disig, a.s.</v>
      </c>
    </row>
    <row r="84" spans="1:40" x14ac:dyDescent="0.3">
      <c r="A84" s="2" t="s">
        <v>219</v>
      </c>
      <c r="B84" s="2">
        <v>4522661</v>
      </c>
      <c r="C84" s="3" t="str">
        <f t="shared" si="68"/>
        <v>Nie</v>
      </c>
      <c r="D84" s="3" t="str">
        <f t="shared" si="69"/>
        <v>Áno</v>
      </c>
      <c r="E84" s="3" t="s">
        <v>48</v>
      </c>
      <c r="F84" s="3" t="s">
        <v>49</v>
      </c>
      <c r="G84" s="2" t="str">
        <f t="shared" si="70"/>
        <v>Stredné zmluvy</v>
      </c>
      <c r="H84" s="5">
        <v>31364501</v>
      </c>
      <c r="I84" s="2" t="s">
        <v>220</v>
      </c>
      <c r="J84" s="2" t="s">
        <v>221</v>
      </c>
      <c r="K84" s="5">
        <v>36174777</v>
      </c>
      <c r="L84" s="2" t="s">
        <v>222</v>
      </c>
      <c r="M84" s="2" t="s">
        <v>223</v>
      </c>
      <c r="N84" s="6">
        <v>43924.513252314813</v>
      </c>
      <c r="O84" s="4">
        <v>7600272</v>
      </c>
      <c r="P84" s="2">
        <v>114573</v>
      </c>
      <c r="Q84" s="2" t="s">
        <v>224</v>
      </c>
      <c r="R84" s="2" t="s">
        <v>225</v>
      </c>
      <c r="S84" s="2" t="s">
        <v>77</v>
      </c>
      <c r="T84" s="2" t="s">
        <v>226</v>
      </c>
      <c r="W84" s="4">
        <v>680</v>
      </c>
      <c r="X84" s="4">
        <v>816</v>
      </c>
      <c r="Y84" s="4">
        <f t="shared" ref="Y84" si="93">INDEX(InternalRates,MATCH($S84,InternalRates01,FALSE),2)</f>
        <v>278.98333333333335</v>
      </c>
      <c r="Z84" s="3" t="str">
        <f t="shared" si="73"/>
        <v>Nie</v>
      </c>
      <c r="AA84" s="3" t="str">
        <f t="shared" si="74"/>
        <v>SLA</v>
      </c>
      <c r="AD84" s="3" t="s">
        <v>48</v>
      </c>
      <c r="AE84" s="6">
        <v>44417</v>
      </c>
      <c r="AF84" s="3" t="s">
        <v>59</v>
      </c>
      <c r="AG84" s="3" t="s">
        <v>48</v>
      </c>
      <c r="AH84" s="3">
        <f>YEAR(SrcDB[[#This Row],[Datum_zverejnenia]])</f>
        <v>2020</v>
      </c>
      <c r="AI84" s="3" cm="1">
        <f t="array" ref="AI84">COUNT(_xlfn.UNIQUE(_xlfn._xlws.FILTER(SrcDB[ID],SrcDB[Objednavatel_ICO]=$H84)))</f>
        <v>24</v>
      </c>
      <c r="AJ84" s="3" cm="1">
        <f t="array" ref="AJ84">COUNT(_xlfn.UNIQUE(_xlfn._xlws.FILTER(SrcDB[ID],SrcDB[Dodavatel_ICO]=$K84)))</f>
        <v>1</v>
      </c>
      <c r="AK84" s="3">
        <f t="shared" si="76"/>
        <v>1</v>
      </c>
      <c r="AL84" s="3">
        <f t="shared" si="77"/>
        <v>1</v>
      </c>
      <c r="AM84" s="17" t="str">
        <f>IF(SrcDB[[#This Row],[Pocet zmluv objednavatela]]&gt;3,SrcDB[[#This Row],[Objednavatel]],"Ostatné")</f>
        <v>Železnice Slovenskej republiky</v>
      </c>
      <c r="AN84" s="17" t="str">
        <f>IF(SrcDB[[#This Row],[Pocet zmluv dodavatela]]&gt;3,SrcDB[[#This Row],[Dodavatel]],"Ostatné")</f>
        <v>Ostatné</v>
      </c>
    </row>
    <row r="85" spans="1:40" x14ac:dyDescent="0.3">
      <c r="A85" s="2" t="s">
        <v>219</v>
      </c>
      <c r="B85" s="2">
        <v>4522661</v>
      </c>
      <c r="C85" s="3" t="str">
        <f t="shared" si="68"/>
        <v>Nie</v>
      </c>
      <c r="D85" s="3" t="str">
        <f t="shared" si="69"/>
        <v>Áno</v>
      </c>
      <c r="E85" s="3" t="s">
        <v>48</v>
      </c>
      <c r="F85" s="3" t="s">
        <v>49</v>
      </c>
      <c r="G85" s="2" t="str">
        <f t="shared" si="70"/>
        <v>Stredné zmluvy</v>
      </c>
      <c r="H85" s="5">
        <v>31364501</v>
      </c>
      <c r="I85" s="2" t="s">
        <v>220</v>
      </c>
      <c r="J85" s="2" t="s">
        <v>221</v>
      </c>
      <c r="K85" s="5">
        <v>36174777</v>
      </c>
      <c r="L85" s="2" t="s">
        <v>222</v>
      </c>
      <c r="M85" s="2" t="s">
        <v>223</v>
      </c>
      <c r="N85" s="6">
        <v>43924.513252314813</v>
      </c>
      <c r="O85" s="4">
        <v>7600272</v>
      </c>
      <c r="P85" s="2">
        <v>114573</v>
      </c>
      <c r="Q85" s="2" t="s">
        <v>224</v>
      </c>
      <c r="R85" s="2" t="s">
        <v>225</v>
      </c>
      <c r="S85" s="2" t="s">
        <v>73</v>
      </c>
      <c r="T85" s="2" t="s">
        <v>227</v>
      </c>
      <c r="W85" s="4">
        <v>800</v>
      </c>
      <c r="X85" s="4">
        <v>960</v>
      </c>
      <c r="Y85" s="4">
        <f t="shared" ref="Y85" si="94">INDEX(InternalRates,MATCH($S85,InternalRates01,FALSE),2)</f>
        <v>278.98333333333335</v>
      </c>
      <c r="Z85" s="3" t="str">
        <f t="shared" si="73"/>
        <v>Nie</v>
      </c>
      <c r="AA85" s="3" t="str">
        <f t="shared" si="74"/>
        <v>SLA</v>
      </c>
      <c r="AD85" s="3" t="s">
        <v>48</v>
      </c>
      <c r="AE85" s="6">
        <v>44417</v>
      </c>
      <c r="AF85" s="3" t="s">
        <v>59</v>
      </c>
      <c r="AG85" s="3" t="s">
        <v>48</v>
      </c>
      <c r="AH85" s="3">
        <f>YEAR(SrcDB[[#This Row],[Datum_zverejnenia]])</f>
        <v>2020</v>
      </c>
      <c r="AI85" s="3" cm="1">
        <f t="array" ref="AI85">COUNT(_xlfn.UNIQUE(_xlfn._xlws.FILTER(SrcDB[ID],SrcDB[Objednavatel_ICO]=$H85)))</f>
        <v>24</v>
      </c>
      <c r="AJ85" s="3" cm="1">
        <f t="array" ref="AJ85">COUNT(_xlfn.UNIQUE(_xlfn._xlws.FILTER(SrcDB[ID],SrcDB[Dodavatel_ICO]=$K85)))</f>
        <v>1</v>
      </c>
      <c r="AK85" s="3">
        <f t="shared" si="76"/>
        <v>0</v>
      </c>
      <c r="AL85" s="3">
        <f t="shared" si="77"/>
        <v>0</v>
      </c>
      <c r="AM85" s="17" t="str">
        <f>IF(SrcDB[[#This Row],[Pocet zmluv objednavatela]]&gt;3,SrcDB[[#This Row],[Objednavatel]],"Ostatné")</f>
        <v>Železnice Slovenskej republiky</v>
      </c>
      <c r="AN85" s="17" t="str">
        <f>IF(SrcDB[[#This Row],[Pocet zmluv dodavatela]]&gt;3,SrcDB[[#This Row],[Dodavatel]],"Ostatné")</f>
        <v>Ostatné</v>
      </c>
    </row>
    <row r="86" spans="1:40" x14ac:dyDescent="0.3">
      <c r="A86" s="2" t="s">
        <v>219</v>
      </c>
      <c r="B86" s="2">
        <v>4522661</v>
      </c>
      <c r="C86" s="3" t="str">
        <f t="shared" si="68"/>
        <v>Nie</v>
      </c>
      <c r="D86" s="3" t="str">
        <f t="shared" si="69"/>
        <v>Áno</v>
      </c>
      <c r="E86" s="3" t="s">
        <v>48</v>
      </c>
      <c r="F86" s="3" t="s">
        <v>49</v>
      </c>
      <c r="G86" s="2" t="str">
        <f t="shared" si="70"/>
        <v>Stredné zmluvy</v>
      </c>
      <c r="H86" s="5">
        <v>31364501</v>
      </c>
      <c r="I86" s="2" t="s">
        <v>220</v>
      </c>
      <c r="J86" s="2" t="s">
        <v>221</v>
      </c>
      <c r="K86" s="5">
        <v>36174777</v>
      </c>
      <c r="L86" s="2" t="s">
        <v>222</v>
      </c>
      <c r="M86" s="2" t="s">
        <v>223</v>
      </c>
      <c r="N86" s="6">
        <v>43924.513252314813</v>
      </c>
      <c r="O86" s="4">
        <v>7600272</v>
      </c>
      <c r="P86" s="2">
        <v>114573</v>
      </c>
      <c r="Q86" s="2" t="s">
        <v>224</v>
      </c>
      <c r="R86" s="2" t="s">
        <v>225</v>
      </c>
      <c r="S86" s="2" t="s">
        <v>98</v>
      </c>
      <c r="T86" s="2" t="s">
        <v>228</v>
      </c>
      <c r="W86" s="4">
        <v>680</v>
      </c>
      <c r="X86" s="4">
        <v>816</v>
      </c>
      <c r="Y86" s="4">
        <f t="shared" ref="Y86" si="95">INDEX(InternalRates,MATCH($S86,InternalRates01,FALSE),2)</f>
        <v>278.98333333333335</v>
      </c>
      <c r="Z86" s="3" t="str">
        <f t="shared" si="73"/>
        <v>Nie</v>
      </c>
      <c r="AA86" s="3" t="str">
        <f t="shared" si="74"/>
        <v>SLA</v>
      </c>
      <c r="AD86" s="3" t="s">
        <v>48</v>
      </c>
      <c r="AE86" s="6">
        <v>44417</v>
      </c>
      <c r="AF86" s="3" t="s">
        <v>59</v>
      </c>
      <c r="AG86" s="3" t="s">
        <v>48</v>
      </c>
      <c r="AH86" s="3">
        <f>YEAR(SrcDB[[#This Row],[Datum_zverejnenia]])</f>
        <v>2020</v>
      </c>
      <c r="AI86" s="3" cm="1">
        <f t="array" ref="AI86">COUNT(_xlfn.UNIQUE(_xlfn._xlws.FILTER(SrcDB[ID],SrcDB[Objednavatel_ICO]=$H86)))</f>
        <v>24</v>
      </c>
      <c r="AJ86" s="3" cm="1">
        <f t="array" ref="AJ86">COUNT(_xlfn.UNIQUE(_xlfn._xlws.FILTER(SrcDB[ID],SrcDB[Dodavatel_ICO]=$K86)))</f>
        <v>1</v>
      </c>
      <c r="AK86" s="3">
        <f t="shared" si="76"/>
        <v>0</v>
      </c>
      <c r="AL86" s="3">
        <f t="shared" si="77"/>
        <v>0</v>
      </c>
      <c r="AM86" s="17" t="str">
        <f>IF(SrcDB[[#This Row],[Pocet zmluv objednavatela]]&gt;3,SrcDB[[#This Row],[Objednavatel]],"Ostatné")</f>
        <v>Železnice Slovenskej republiky</v>
      </c>
      <c r="AN86" s="17" t="str">
        <f>IF(SrcDB[[#This Row],[Pocet zmluv dodavatela]]&gt;3,SrcDB[[#This Row],[Dodavatel]],"Ostatné")</f>
        <v>Ostatné</v>
      </c>
    </row>
    <row r="87" spans="1:40" x14ac:dyDescent="0.3">
      <c r="A87" s="2" t="s">
        <v>219</v>
      </c>
      <c r="B87" s="2">
        <v>4522661</v>
      </c>
      <c r="C87" s="3" t="str">
        <f t="shared" si="68"/>
        <v>Nie</v>
      </c>
      <c r="D87" s="3" t="str">
        <f t="shared" si="69"/>
        <v>Áno</v>
      </c>
      <c r="E87" s="3" t="s">
        <v>48</v>
      </c>
      <c r="F87" s="3" t="s">
        <v>49</v>
      </c>
      <c r="G87" s="2" t="str">
        <f t="shared" si="70"/>
        <v>Stredné zmluvy</v>
      </c>
      <c r="H87" s="5">
        <v>31364501</v>
      </c>
      <c r="I87" s="2" t="s">
        <v>220</v>
      </c>
      <c r="J87" s="2" t="s">
        <v>221</v>
      </c>
      <c r="K87" s="5">
        <v>36174777</v>
      </c>
      <c r="L87" s="2" t="s">
        <v>222</v>
      </c>
      <c r="M87" s="2" t="s">
        <v>223</v>
      </c>
      <c r="N87" s="6">
        <v>43924.513252314813</v>
      </c>
      <c r="O87" s="4">
        <v>7600272</v>
      </c>
      <c r="P87" s="2">
        <v>114573</v>
      </c>
      <c r="Q87" s="2" t="s">
        <v>224</v>
      </c>
      <c r="R87" s="2" t="s">
        <v>225</v>
      </c>
      <c r="S87" s="2" t="s">
        <v>69</v>
      </c>
      <c r="T87" s="2" t="s">
        <v>229</v>
      </c>
      <c r="W87" s="4">
        <v>800</v>
      </c>
      <c r="X87" s="4">
        <v>960</v>
      </c>
      <c r="Y87" s="4">
        <f t="shared" ref="Y87" si="96">INDEX(InternalRates,MATCH($S87,InternalRates01,FALSE),2)</f>
        <v>278.98333333333335</v>
      </c>
      <c r="Z87" s="3" t="str">
        <f t="shared" si="73"/>
        <v>Nie</v>
      </c>
      <c r="AA87" s="3" t="str">
        <f t="shared" si="74"/>
        <v>SLA</v>
      </c>
      <c r="AD87" s="3" t="s">
        <v>48</v>
      </c>
      <c r="AE87" s="6">
        <v>44417</v>
      </c>
      <c r="AF87" s="3" t="s">
        <v>59</v>
      </c>
      <c r="AG87" s="3" t="s">
        <v>48</v>
      </c>
      <c r="AH87" s="3">
        <f>YEAR(SrcDB[[#This Row],[Datum_zverejnenia]])</f>
        <v>2020</v>
      </c>
      <c r="AI87" s="3" cm="1">
        <f t="array" ref="AI87">COUNT(_xlfn.UNIQUE(_xlfn._xlws.FILTER(SrcDB[ID],SrcDB[Objednavatel_ICO]=$H87)))</f>
        <v>24</v>
      </c>
      <c r="AJ87" s="3" cm="1">
        <f t="array" ref="AJ87">COUNT(_xlfn.UNIQUE(_xlfn._xlws.FILTER(SrcDB[ID],SrcDB[Dodavatel_ICO]=$K87)))</f>
        <v>1</v>
      </c>
      <c r="AK87" s="3">
        <f t="shared" si="76"/>
        <v>0</v>
      </c>
      <c r="AL87" s="3">
        <f t="shared" si="77"/>
        <v>0</v>
      </c>
      <c r="AM87" s="17" t="str">
        <f>IF(SrcDB[[#This Row],[Pocet zmluv objednavatela]]&gt;3,SrcDB[[#This Row],[Objednavatel]],"Ostatné")</f>
        <v>Železnice Slovenskej republiky</v>
      </c>
      <c r="AN87" s="17" t="str">
        <f>IF(SrcDB[[#This Row],[Pocet zmluv dodavatela]]&gt;3,SrcDB[[#This Row],[Dodavatel]],"Ostatné")</f>
        <v>Ostatné</v>
      </c>
    </row>
    <row r="88" spans="1:40" x14ac:dyDescent="0.3">
      <c r="A88" s="2" t="s">
        <v>230</v>
      </c>
      <c r="B88" s="2">
        <v>4585884</v>
      </c>
      <c r="C88" s="3" t="str">
        <f t="shared" si="68"/>
        <v>Nie</v>
      </c>
      <c r="D88" s="3" t="str">
        <f t="shared" si="69"/>
        <v>Áno</v>
      </c>
      <c r="E88" s="3" t="s">
        <v>48</v>
      </c>
      <c r="F88" s="3" t="s">
        <v>49</v>
      </c>
      <c r="G88" s="2" t="str">
        <f t="shared" si="70"/>
        <v>Veľké zmluvy</v>
      </c>
      <c r="H88" s="5" t="s">
        <v>231</v>
      </c>
      <c r="I88" s="2" t="s">
        <v>232</v>
      </c>
      <c r="J88" s="2" t="s">
        <v>233</v>
      </c>
      <c r="K88" s="5">
        <v>45650276</v>
      </c>
      <c r="L88" s="2" t="s">
        <v>234</v>
      </c>
      <c r="M88" s="2" t="s">
        <v>235</v>
      </c>
      <c r="N88" s="6">
        <v>43950.588819444441</v>
      </c>
      <c r="O88" s="4">
        <v>10389120</v>
      </c>
      <c r="P88" s="2">
        <v>114497</v>
      </c>
      <c r="Q88" s="2" t="s">
        <v>236</v>
      </c>
      <c r="R88" s="2" t="s">
        <v>237</v>
      </c>
      <c r="S88" s="2" t="s">
        <v>160</v>
      </c>
      <c r="T88" s="2" t="s">
        <v>238</v>
      </c>
      <c r="W88" s="4">
        <v>704</v>
      </c>
      <c r="X88" s="4">
        <v>844.8</v>
      </c>
      <c r="Y88" s="4">
        <f t="shared" ref="Y88" si="97">INDEX(InternalRates,MATCH($S88,InternalRates01,FALSE),2)</f>
        <v>231.85833333333335</v>
      </c>
      <c r="Z88" s="3" t="str">
        <f t="shared" si="73"/>
        <v>Nie</v>
      </c>
      <c r="AA88" s="3" t="str">
        <f t="shared" si="74"/>
        <v>SLA</v>
      </c>
      <c r="AD88" s="3" t="s">
        <v>48</v>
      </c>
      <c r="AE88" s="6">
        <v>44417</v>
      </c>
      <c r="AF88" s="3" t="s">
        <v>59</v>
      </c>
      <c r="AG88" s="3" t="s">
        <v>49</v>
      </c>
      <c r="AH88" s="3">
        <f>YEAR(SrcDB[[#This Row],[Datum_zverejnenia]])</f>
        <v>2020</v>
      </c>
      <c r="AI88" s="3" cm="1">
        <f t="array" ref="AI88">COUNT(_xlfn.UNIQUE(_xlfn._xlws.FILTER(SrcDB[ID],SrcDB[Objednavatel_ICO]=$H88)))</f>
        <v>9</v>
      </c>
      <c r="AJ88" s="3" cm="1">
        <f t="array" ref="AJ88">COUNT(_xlfn.UNIQUE(_xlfn._xlws.FILTER(SrcDB[ID],SrcDB[Dodavatel_ICO]=$K88)))</f>
        <v>12</v>
      </c>
      <c r="AK88" s="3">
        <f t="shared" si="76"/>
        <v>1</v>
      </c>
      <c r="AL88" s="3">
        <f t="shared" si="77"/>
        <v>1</v>
      </c>
      <c r="AM88" s="17" t="str">
        <f>IF(SrcDB[[#This Row],[Pocet zmluv objednavatela]]&gt;3,SrcDB[[#This Row],[Objednavatel]],"Ostatné")</f>
        <v>Ministerstvo školstva, výskumu, vývoja a mládeže SR</v>
      </c>
      <c r="AN88" s="17" t="str">
        <f>IF(SrcDB[[#This Row],[Pocet zmluv dodavatela]]&gt;3,SrcDB[[#This Row],[Dodavatel]],"Ostatné")</f>
        <v>Atos IT Solutions and Services s.r.o. / Eviden Slovakia, s.r.o.</v>
      </c>
    </row>
    <row r="89" spans="1:40" x14ac:dyDescent="0.3">
      <c r="A89" s="2" t="s">
        <v>230</v>
      </c>
      <c r="B89" s="2">
        <v>4585884</v>
      </c>
      <c r="C89" s="3" t="str">
        <f t="shared" si="68"/>
        <v>Nie</v>
      </c>
      <c r="D89" s="3" t="str">
        <f t="shared" si="69"/>
        <v>Áno</v>
      </c>
      <c r="E89" s="3" t="s">
        <v>48</v>
      </c>
      <c r="F89" s="3" t="s">
        <v>49</v>
      </c>
      <c r="G89" s="2" t="str">
        <f t="shared" si="70"/>
        <v>Veľké zmluvy</v>
      </c>
      <c r="H89" s="5" t="s">
        <v>231</v>
      </c>
      <c r="I89" s="2" t="s">
        <v>232</v>
      </c>
      <c r="J89" s="2" t="s">
        <v>233</v>
      </c>
      <c r="K89" s="5">
        <v>45650276</v>
      </c>
      <c r="L89" s="2" t="s">
        <v>234</v>
      </c>
      <c r="M89" s="2" t="s">
        <v>235</v>
      </c>
      <c r="N89" s="6">
        <v>43950.588819444441</v>
      </c>
      <c r="O89" s="4">
        <v>10389120</v>
      </c>
      <c r="P89" s="2">
        <v>114497</v>
      </c>
      <c r="Q89" s="2" t="s">
        <v>236</v>
      </c>
      <c r="R89" s="2" t="s">
        <v>237</v>
      </c>
      <c r="S89" s="2" t="s">
        <v>77</v>
      </c>
      <c r="T89" s="2" t="s">
        <v>126</v>
      </c>
      <c r="W89" s="4">
        <v>707.2</v>
      </c>
      <c r="X89" s="4">
        <v>848.64</v>
      </c>
      <c r="Y89" s="4">
        <f t="shared" ref="Y89" si="98">INDEX(InternalRates,MATCH($S89,InternalRates01,FALSE),2)</f>
        <v>278.98333333333335</v>
      </c>
      <c r="Z89" s="3" t="str">
        <f t="shared" si="73"/>
        <v>Nie</v>
      </c>
      <c r="AA89" s="3" t="str">
        <f t="shared" si="74"/>
        <v>SLA</v>
      </c>
      <c r="AD89" s="3" t="s">
        <v>48</v>
      </c>
      <c r="AE89" s="6">
        <v>44417</v>
      </c>
      <c r="AF89" s="3" t="s">
        <v>59</v>
      </c>
      <c r="AG89" s="3" t="s">
        <v>49</v>
      </c>
      <c r="AH89" s="3">
        <f>YEAR(SrcDB[[#This Row],[Datum_zverejnenia]])</f>
        <v>2020</v>
      </c>
      <c r="AI89" s="3" cm="1">
        <f t="array" ref="AI89">COUNT(_xlfn.UNIQUE(_xlfn._xlws.FILTER(SrcDB[ID],SrcDB[Objednavatel_ICO]=$H89)))</f>
        <v>9</v>
      </c>
      <c r="AJ89" s="3" cm="1">
        <f t="array" ref="AJ89">COUNT(_xlfn.UNIQUE(_xlfn._xlws.FILTER(SrcDB[ID],SrcDB[Dodavatel_ICO]=$K89)))</f>
        <v>12</v>
      </c>
      <c r="AK89" s="3">
        <f t="shared" si="76"/>
        <v>0</v>
      </c>
      <c r="AL89" s="3">
        <f t="shared" si="77"/>
        <v>0</v>
      </c>
      <c r="AM89" s="17" t="str">
        <f>IF(SrcDB[[#This Row],[Pocet zmluv objednavatela]]&gt;3,SrcDB[[#This Row],[Objednavatel]],"Ostatné")</f>
        <v>Ministerstvo školstva, výskumu, vývoja a mládeže SR</v>
      </c>
      <c r="AN89" s="17" t="str">
        <f>IF(SrcDB[[#This Row],[Pocet zmluv dodavatela]]&gt;3,SrcDB[[#This Row],[Dodavatel]],"Ostatné")</f>
        <v>Atos IT Solutions and Services s.r.o. / Eviden Slovakia, s.r.o.</v>
      </c>
    </row>
    <row r="90" spans="1:40" x14ac:dyDescent="0.3">
      <c r="A90" s="2" t="s">
        <v>230</v>
      </c>
      <c r="B90" s="2">
        <v>4585884</v>
      </c>
      <c r="C90" s="3" t="str">
        <f t="shared" si="68"/>
        <v>Nie</v>
      </c>
      <c r="D90" s="3" t="str">
        <f t="shared" si="69"/>
        <v>Áno</v>
      </c>
      <c r="E90" s="3" t="s">
        <v>48</v>
      </c>
      <c r="F90" s="3" t="s">
        <v>49</v>
      </c>
      <c r="G90" s="2" t="str">
        <f t="shared" si="70"/>
        <v>Veľké zmluvy</v>
      </c>
      <c r="H90" s="5" t="s">
        <v>231</v>
      </c>
      <c r="I90" s="2" t="s">
        <v>232</v>
      </c>
      <c r="J90" s="2" t="s">
        <v>233</v>
      </c>
      <c r="K90" s="5">
        <v>45650276</v>
      </c>
      <c r="L90" s="2" t="s">
        <v>234</v>
      </c>
      <c r="M90" s="2" t="s">
        <v>235</v>
      </c>
      <c r="N90" s="6">
        <v>43950</v>
      </c>
      <c r="O90" s="4">
        <v>10389120</v>
      </c>
      <c r="P90" s="2">
        <v>114497</v>
      </c>
      <c r="Q90" s="2" t="s">
        <v>236</v>
      </c>
      <c r="R90" s="2" t="s">
        <v>237</v>
      </c>
      <c r="S90" s="2" t="s">
        <v>77</v>
      </c>
      <c r="T90" s="2" t="s">
        <v>127</v>
      </c>
      <c r="W90" s="4">
        <v>707.2</v>
      </c>
      <c r="X90" s="4">
        <v>848.64</v>
      </c>
      <c r="Y90" s="4">
        <f t="shared" ref="Y90" si="99">INDEX(InternalRates,MATCH($S90,InternalRates01,FALSE),2)</f>
        <v>278.98333333333335</v>
      </c>
      <c r="Z90" s="3" t="str">
        <f t="shared" si="73"/>
        <v>Nie</v>
      </c>
      <c r="AA90" s="3" t="str">
        <f t="shared" si="74"/>
        <v>SLA</v>
      </c>
      <c r="AD90" s="3" t="s">
        <v>48</v>
      </c>
      <c r="AE90" s="6">
        <v>44417</v>
      </c>
      <c r="AF90" s="3" t="s">
        <v>59</v>
      </c>
      <c r="AG90" s="3" t="s">
        <v>49</v>
      </c>
      <c r="AH90" s="3">
        <f>YEAR(SrcDB[[#This Row],[Datum_zverejnenia]])</f>
        <v>2020</v>
      </c>
      <c r="AI90" s="3" cm="1">
        <f t="array" ref="AI90">COUNT(_xlfn.UNIQUE(_xlfn._xlws.FILTER(SrcDB[ID],SrcDB[Objednavatel_ICO]=$H90)))</f>
        <v>9</v>
      </c>
      <c r="AJ90" s="3" cm="1">
        <f t="array" ref="AJ90">COUNT(_xlfn.UNIQUE(_xlfn._xlws.FILTER(SrcDB[ID],SrcDB[Dodavatel_ICO]=$K90)))</f>
        <v>12</v>
      </c>
      <c r="AK90" s="3">
        <f t="shared" si="76"/>
        <v>0</v>
      </c>
      <c r="AL90" s="3">
        <f t="shared" si="77"/>
        <v>0</v>
      </c>
      <c r="AM90" s="17" t="str">
        <f>IF(SrcDB[[#This Row],[Pocet zmluv objednavatela]]&gt;3,SrcDB[[#This Row],[Objednavatel]],"Ostatné")</f>
        <v>Ministerstvo školstva, výskumu, vývoja a mládeže SR</v>
      </c>
      <c r="AN90" s="17" t="str">
        <f>IF(SrcDB[[#This Row],[Pocet zmluv dodavatela]]&gt;3,SrcDB[[#This Row],[Dodavatel]],"Ostatné")</f>
        <v>Atos IT Solutions and Services s.r.o. / Eviden Slovakia, s.r.o.</v>
      </c>
    </row>
    <row r="91" spans="1:40" x14ac:dyDescent="0.3">
      <c r="A91" s="2" t="s">
        <v>230</v>
      </c>
      <c r="B91" s="2">
        <v>4585884</v>
      </c>
      <c r="C91" s="3" t="str">
        <f t="shared" si="68"/>
        <v>Nie</v>
      </c>
      <c r="D91" s="3" t="str">
        <f t="shared" si="69"/>
        <v>Áno</v>
      </c>
      <c r="E91" s="3" t="s">
        <v>48</v>
      </c>
      <c r="F91" s="3" t="s">
        <v>49</v>
      </c>
      <c r="G91" s="2" t="str">
        <f t="shared" si="70"/>
        <v>Veľké zmluvy</v>
      </c>
      <c r="H91" s="5" t="s">
        <v>231</v>
      </c>
      <c r="I91" s="2" t="s">
        <v>232</v>
      </c>
      <c r="J91" s="2" t="s">
        <v>233</v>
      </c>
      <c r="K91" s="5">
        <v>45650276</v>
      </c>
      <c r="L91" s="2" t="s">
        <v>234</v>
      </c>
      <c r="M91" s="2" t="s">
        <v>235</v>
      </c>
      <c r="N91" s="6">
        <v>43950</v>
      </c>
      <c r="O91" s="4">
        <v>10389120</v>
      </c>
      <c r="P91" s="2">
        <v>114497</v>
      </c>
      <c r="Q91" s="2" t="s">
        <v>236</v>
      </c>
      <c r="R91" s="2" t="s">
        <v>237</v>
      </c>
      <c r="S91" s="2" t="s">
        <v>79</v>
      </c>
      <c r="T91" s="2" t="s">
        <v>131</v>
      </c>
      <c r="W91" s="4">
        <v>707.2</v>
      </c>
      <c r="X91" s="4">
        <v>848.64</v>
      </c>
      <c r="Y91" s="4">
        <f t="shared" ref="Y91" si="100">INDEX(InternalRates,MATCH($S91,InternalRates01,FALSE),2)</f>
        <v>278.98333333333335</v>
      </c>
      <c r="Z91" s="3" t="str">
        <f t="shared" si="73"/>
        <v>Nie</v>
      </c>
      <c r="AA91" s="3" t="str">
        <f t="shared" si="74"/>
        <v>SLA</v>
      </c>
      <c r="AD91" s="3" t="s">
        <v>48</v>
      </c>
      <c r="AE91" s="6">
        <v>44417</v>
      </c>
      <c r="AF91" s="3" t="s">
        <v>59</v>
      </c>
      <c r="AG91" s="3" t="s">
        <v>49</v>
      </c>
      <c r="AH91" s="3">
        <f>YEAR(SrcDB[[#This Row],[Datum_zverejnenia]])</f>
        <v>2020</v>
      </c>
      <c r="AI91" s="3" cm="1">
        <f t="array" ref="AI91">COUNT(_xlfn.UNIQUE(_xlfn._xlws.FILTER(SrcDB[ID],SrcDB[Objednavatel_ICO]=$H91)))</f>
        <v>9</v>
      </c>
      <c r="AJ91" s="3" cm="1">
        <f t="array" ref="AJ91">COUNT(_xlfn.UNIQUE(_xlfn._xlws.FILTER(SrcDB[ID],SrcDB[Dodavatel_ICO]=$K91)))</f>
        <v>12</v>
      </c>
      <c r="AK91" s="3">
        <f t="shared" si="76"/>
        <v>0</v>
      </c>
      <c r="AL91" s="3">
        <f t="shared" si="77"/>
        <v>0</v>
      </c>
      <c r="AM91" s="17" t="str">
        <f>IF(SrcDB[[#This Row],[Pocet zmluv objednavatela]]&gt;3,SrcDB[[#This Row],[Objednavatel]],"Ostatné")</f>
        <v>Ministerstvo školstva, výskumu, vývoja a mládeže SR</v>
      </c>
      <c r="AN91" s="17" t="str">
        <f>IF(SrcDB[[#This Row],[Pocet zmluv dodavatela]]&gt;3,SrcDB[[#This Row],[Dodavatel]],"Ostatné")</f>
        <v>Atos IT Solutions and Services s.r.o. / Eviden Slovakia, s.r.o.</v>
      </c>
    </row>
    <row r="92" spans="1:40" x14ac:dyDescent="0.3">
      <c r="A92" s="2" t="s">
        <v>230</v>
      </c>
      <c r="B92" s="2">
        <v>4585884</v>
      </c>
      <c r="C92" s="3" t="str">
        <f t="shared" si="68"/>
        <v>Nie</v>
      </c>
      <c r="D92" s="3" t="str">
        <f t="shared" si="69"/>
        <v>Áno</v>
      </c>
      <c r="E92" s="3" t="s">
        <v>48</v>
      </c>
      <c r="F92" s="3" t="s">
        <v>49</v>
      </c>
      <c r="G92" s="2" t="str">
        <f t="shared" si="70"/>
        <v>Veľké zmluvy</v>
      </c>
      <c r="H92" s="5" t="s">
        <v>231</v>
      </c>
      <c r="I92" s="2" t="s">
        <v>232</v>
      </c>
      <c r="J92" s="2" t="s">
        <v>233</v>
      </c>
      <c r="K92" s="5">
        <v>45650276</v>
      </c>
      <c r="L92" s="2" t="s">
        <v>234</v>
      </c>
      <c r="M92" s="2" t="s">
        <v>235</v>
      </c>
      <c r="N92" s="6">
        <v>43950</v>
      </c>
      <c r="O92" s="4">
        <v>10389120</v>
      </c>
      <c r="P92" s="2">
        <v>114497</v>
      </c>
      <c r="Q92" s="2" t="s">
        <v>236</v>
      </c>
      <c r="R92" s="2" t="s">
        <v>237</v>
      </c>
      <c r="S92" s="2" t="s">
        <v>98</v>
      </c>
      <c r="T92" s="2" t="s">
        <v>239</v>
      </c>
      <c r="W92" s="4">
        <v>707.2</v>
      </c>
      <c r="X92" s="4">
        <v>848.64</v>
      </c>
      <c r="Y92" s="4">
        <f t="shared" ref="Y92" si="101">INDEX(InternalRates,MATCH($S92,InternalRates01,FALSE),2)</f>
        <v>278.98333333333335</v>
      </c>
      <c r="Z92" s="3" t="str">
        <f t="shared" si="73"/>
        <v>Nie</v>
      </c>
      <c r="AA92" s="3" t="str">
        <f t="shared" si="74"/>
        <v>SLA</v>
      </c>
      <c r="AD92" s="3" t="s">
        <v>48</v>
      </c>
      <c r="AE92" s="6">
        <v>44417</v>
      </c>
      <c r="AF92" s="3" t="s">
        <v>59</v>
      </c>
      <c r="AG92" s="3" t="s">
        <v>49</v>
      </c>
      <c r="AH92" s="3">
        <f>YEAR(SrcDB[[#This Row],[Datum_zverejnenia]])</f>
        <v>2020</v>
      </c>
      <c r="AI92" s="3" cm="1">
        <f t="array" ref="AI92">COUNT(_xlfn.UNIQUE(_xlfn._xlws.FILTER(SrcDB[ID],SrcDB[Objednavatel_ICO]=$H92)))</f>
        <v>9</v>
      </c>
      <c r="AJ92" s="3" cm="1">
        <f t="array" ref="AJ92">COUNT(_xlfn.UNIQUE(_xlfn._xlws.FILTER(SrcDB[ID],SrcDB[Dodavatel_ICO]=$K92)))</f>
        <v>12</v>
      </c>
      <c r="AK92" s="3">
        <f t="shared" si="76"/>
        <v>0</v>
      </c>
      <c r="AL92" s="3">
        <f t="shared" si="77"/>
        <v>0</v>
      </c>
      <c r="AM92" s="17" t="str">
        <f>IF(SrcDB[[#This Row],[Pocet zmluv objednavatela]]&gt;3,SrcDB[[#This Row],[Objednavatel]],"Ostatné")</f>
        <v>Ministerstvo školstva, výskumu, vývoja a mládeže SR</v>
      </c>
      <c r="AN92" s="17" t="str">
        <f>IF(SrcDB[[#This Row],[Pocet zmluv dodavatela]]&gt;3,SrcDB[[#This Row],[Dodavatel]],"Ostatné")</f>
        <v>Atos IT Solutions and Services s.r.o. / Eviden Slovakia, s.r.o.</v>
      </c>
    </row>
    <row r="93" spans="1:40" x14ac:dyDescent="0.3">
      <c r="A93" s="2" t="s">
        <v>230</v>
      </c>
      <c r="B93" s="2">
        <v>4585884</v>
      </c>
      <c r="C93" s="3" t="str">
        <f t="shared" si="68"/>
        <v>Nie</v>
      </c>
      <c r="D93" s="3" t="str">
        <f t="shared" si="69"/>
        <v>Áno</v>
      </c>
      <c r="E93" s="3" t="s">
        <v>48</v>
      </c>
      <c r="F93" s="3" t="s">
        <v>49</v>
      </c>
      <c r="G93" s="2" t="str">
        <f t="shared" si="70"/>
        <v>Veľké zmluvy</v>
      </c>
      <c r="H93" s="5" t="s">
        <v>231</v>
      </c>
      <c r="I93" s="2" t="s">
        <v>232</v>
      </c>
      <c r="J93" s="2" t="s">
        <v>233</v>
      </c>
      <c r="K93" s="5">
        <v>45650276</v>
      </c>
      <c r="L93" s="2" t="s">
        <v>234</v>
      </c>
      <c r="M93" s="2" t="s">
        <v>235</v>
      </c>
      <c r="N93" s="6">
        <v>43950</v>
      </c>
      <c r="O93" s="4">
        <v>10389120</v>
      </c>
      <c r="P93" s="2">
        <v>114497</v>
      </c>
      <c r="Q93" s="2" t="s">
        <v>236</v>
      </c>
      <c r="R93" s="2" t="s">
        <v>237</v>
      </c>
      <c r="S93" s="2" t="s">
        <v>69</v>
      </c>
      <c r="T93" s="2" t="s">
        <v>70</v>
      </c>
      <c r="W93" s="4">
        <v>707.2</v>
      </c>
      <c r="X93" s="4">
        <v>848.64</v>
      </c>
      <c r="Y93" s="4">
        <f t="shared" ref="Y93" si="102">INDEX(InternalRates,MATCH($S93,InternalRates01,FALSE),2)</f>
        <v>278.98333333333335</v>
      </c>
      <c r="Z93" s="3" t="str">
        <f t="shared" si="73"/>
        <v>Nie</v>
      </c>
      <c r="AA93" s="3" t="str">
        <f t="shared" si="74"/>
        <v>SLA</v>
      </c>
      <c r="AD93" s="3" t="s">
        <v>48</v>
      </c>
      <c r="AE93" s="6">
        <v>44417</v>
      </c>
      <c r="AF93" s="3" t="s">
        <v>59</v>
      </c>
      <c r="AG93" s="3" t="s">
        <v>49</v>
      </c>
      <c r="AH93" s="3">
        <f>YEAR(SrcDB[[#This Row],[Datum_zverejnenia]])</f>
        <v>2020</v>
      </c>
      <c r="AI93" s="3" cm="1">
        <f t="array" ref="AI93">COUNT(_xlfn.UNIQUE(_xlfn._xlws.FILTER(SrcDB[ID],SrcDB[Objednavatel_ICO]=$H93)))</f>
        <v>9</v>
      </c>
      <c r="AJ93" s="3" cm="1">
        <f t="array" ref="AJ93">COUNT(_xlfn.UNIQUE(_xlfn._xlws.FILTER(SrcDB[ID],SrcDB[Dodavatel_ICO]=$K93)))</f>
        <v>12</v>
      </c>
      <c r="AK93" s="3">
        <f t="shared" si="76"/>
        <v>0</v>
      </c>
      <c r="AL93" s="3">
        <f t="shared" si="77"/>
        <v>0</v>
      </c>
      <c r="AM93" s="17" t="str">
        <f>IF(SrcDB[[#This Row],[Pocet zmluv objednavatela]]&gt;3,SrcDB[[#This Row],[Objednavatel]],"Ostatné")</f>
        <v>Ministerstvo školstva, výskumu, vývoja a mládeže SR</v>
      </c>
      <c r="AN93" s="17" t="str">
        <f>IF(SrcDB[[#This Row],[Pocet zmluv dodavatela]]&gt;3,SrcDB[[#This Row],[Dodavatel]],"Ostatné")</f>
        <v>Atos IT Solutions and Services s.r.o. / Eviden Slovakia, s.r.o.</v>
      </c>
    </row>
    <row r="94" spans="1:40" x14ac:dyDescent="0.3">
      <c r="A94" s="2" t="s">
        <v>230</v>
      </c>
      <c r="B94" s="2">
        <v>4585884</v>
      </c>
      <c r="C94" s="3" t="str">
        <f t="shared" si="68"/>
        <v>Nie</v>
      </c>
      <c r="D94" s="3" t="str">
        <f t="shared" si="69"/>
        <v>Áno</v>
      </c>
      <c r="E94" s="3" t="s">
        <v>48</v>
      </c>
      <c r="F94" s="3" t="s">
        <v>49</v>
      </c>
      <c r="G94" s="2" t="str">
        <f t="shared" si="70"/>
        <v>Veľké zmluvy</v>
      </c>
      <c r="H94" s="5" t="s">
        <v>231</v>
      </c>
      <c r="I94" s="2" t="s">
        <v>232</v>
      </c>
      <c r="J94" s="2" t="s">
        <v>233</v>
      </c>
      <c r="K94" s="5">
        <v>45650276</v>
      </c>
      <c r="L94" s="2" t="s">
        <v>234</v>
      </c>
      <c r="M94" s="2" t="s">
        <v>235</v>
      </c>
      <c r="N94" s="6">
        <v>43950</v>
      </c>
      <c r="O94" s="4">
        <v>10389120</v>
      </c>
      <c r="P94" s="2">
        <v>114497</v>
      </c>
      <c r="Q94" s="2" t="s">
        <v>236</v>
      </c>
      <c r="R94" s="2" t="s">
        <v>237</v>
      </c>
      <c r="S94" s="2" t="s">
        <v>71</v>
      </c>
      <c r="T94" s="2" t="s">
        <v>146</v>
      </c>
      <c r="W94" s="4">
        <v>707.2</v>
      </c>
      <c r="X94" s="4">
        <v>848.64</v>
      </c>
      <c r="Y94" s="4">
        <f t="shared" ref="Y94" si="103">INDEX(InternalRates,MATCH($S94,InternalRates01,FALSE),2)</f>
        <v>354.0333333333333</v>
      </c>
      <c r="Z94" s="3" t="str">
        <f t="shared" si="73"/>
        <v>Nie</v>
      </c>
      <c r="AA94" s="3" t="str">
        <f t="shared" si="74"/>
        <v>SLA</v>
      </c>
      <c r="AD94" s="3" t="s">
        <v>48</v>
      </c>
      <c r="AE94" s="6">
        <v>44417</v>
      </c>
      <c r="AF94" s="3" t="s">
        <v>59</v>
      </c>
      <c r="AG94" s="3" t="s">
        <v>49</v>
      </c>
      <c r="AH94" s="3">
        <f>YEAR(SrcDB[[#This Row],[Datum_zverejnenia]])</f>
        <v>2020</v>
      </c>
      <c r="AI94" s="3" cm="1">
        <f t="array" ref="AI94">COUNT(_xlfn.UNIQUE(_xlfn._xlws.FILTER(SrcDB[ID],SrcDB[Objednavatel_ICO]=$H94)))</f>
        <v>9</v>
      </c>
      <c r="AJ94" s="3" cm="1">
        <f t="array" ref="AJ94">COUNT(_xlfn.UNIQUE(_xlfn._xlws.FILTER(SrcDB[ID],SrcDB[Dodavatel_ICO]=$K94)))</f>
        <v>12</v>
      </c>
      <c r="AK94" s="3">
        <f t="shared" si="76"/>
        <v>0</v>
      </c>
      <c r="AL94" s="3">
        <f t="shared" si="77"/>
        <v>0</v>
      </c>
      <c r="AM94" s="17" t="str">
        <f>IF(SrcDB[[#This Row],[Pocet zmluv objednavatela]]&gt;3,SrcDB[[#This Row],[Objednavatel]],"Ostatné")</f>
        <v>Ministerstvo školstva, výskumu, vývoja a mládeže SR</v>
      </c>
      <c r="AN94" s="17" t="str">
        <f>IF(SrcDB[[#This Row],[Pocet zmluv dodavatela]]&gt;3,SrcDB[[#This Row],[Dodavatel]],"Ostatné")</f>
        <v>Atos IT Solutions and Services s.r.o. / Eviden Slovakia, s.r.o.</v>
      </c>
    </row>
    <row r="95" spans="1:40" x14ac:dyDescent="0.3">
      <c r="A95" s="2" t="s">
        <v>230</v>
      </c>
      <c r="B95" s="2">
        <v>4585884</v>
      </c>
      <c r="C95" s="3" t="str">
        <f t="shared" si="68"/>
        <v>Nie</v>
      </c>
      <c r="D95" s="3" t="str">
        <f t="shared" si="69"/>
        <v>Áno</v>
      </c>
      <c r="E95" s="3" t="s">
        <v>48</v>
      </c>
      <c r="F95" s="3" t="s">
        <v>49</v>
      </c>
      <c r="G95" s="2" t="str">
        <f t="shared" si="70"/>
        <v>Veľké zmluvy</v>
      </c>
      <c r="H95" s="5" t="s">
        <v>231</v>
      </c>
      <c r="I95" s="2" t="s">
        <v>232</v>
      </c>
      <c r="J95" s="2" t="s">
        <v>233</v>
      </c>
      <c r="K95" s="5">
        <v>45650276</v>
      </c>
      <c r="L95" s="2" t="s">
        <v>234</v>
      </c>
      <c r="M95" s="2" t="s">
        <v>235</v>
      </c>
      <c r="N95" s="6">
        <v>43950</v>
      </c>
      <c r="O95" s="4">
        <v>10389120</v>
      </c>
      <c r="P95" s="2">
        <v>114497</v>
      </c>
      <c r="Q95" s="2" t="s">
        <v>236</v>
      </c>
      <c r="R95" s="2" t="s">
        <v>237</v>
      </c>
      <c r="S95" s="2" t="s">
        <v>73</v>
      </c>
      <c r="T95" s="2" t="s">
        <v>240</v>
      </c>
      <c r="W95" s="4">
        <v>707.2</v>
      </c>
      <c r="X95" s="4">
        <v>848.64</v>
      </c>
      <c r="Y95" s="4">
        <f t="shared" ref="Y95" si="104">INDEX(InternalRates,MATCH($S95,InternalRates01,FALSE),2)</f>
        <v>278.98333333333335</v>
      </c>
      <c r="Z95" s="3" t="str">
        <f t="shared" si="73"/>
        <v>Nie</v>
      </c>
      <c r="AA95" s="3" t="str">
        <f t="shared" si="74"/>
        <v>SLA</v>
      </c>
      <c r="AD95" s="3" t="s">
        <v>48</v>
      </c>
      <c r="AE95" s="6">
        <v>44417</v>
      </c>
      <c r="AF95" s="3" t="s">
        <v>59</v>
      </c>
      <c r="AG95" s="3" t="s">
        <v>49</v>
      </c>
      <c r="AH95" s="3">
        <f>YEAR(SrcDB[[#This Row],[Datum_zverejnenia]])</f>
        <v>2020</v>
      </c>
      <c r="AI95" s="3" cm="1">
        <f t="array" ref="AI95">COUNT(_xlfn.UNIQUE(_xlfn._xlws.FILTER(SrcDB[ID],SrcDB[Objednavatel_ICO]=$H95)))</f>
        <v>9</v>
      </c>
      <c r="AJ95" s="3" cm="1">
        <f t="array" ref="AJ95">COUNT(_xlfn.UNIQUE(_xlfn._xlws.FILTER(SrcDB[ID],SrcDB[Dodavatel_ICO]=$K95)))</f>
        <v>12</v>
      </c>
      <c r="AK95" s="3">
        <f t="shared" si="76"/>
        <v>0</v>
      </c>
      <c r="AL95" s="3">
        <f t="shared" si="77"/>
        <v>0</v>
      </c>
      <c r="AM95" s="17" t="str">
        <f>IF(SrcDB[[#This Row],[Pocet zmluv objednavatela]]&gt;3,SrcDB[[#This Row],[Objednavatel]],"Ostatné")</f>
        <v>Ministerstvo školstva, výskumu, vývoja a mládeže SR</v>
      </c>
      <c r="AN95" s="17" t="str">
        <f>IF(SrcDB[[#This Row],[Pocet zmluv dodavatela]]&gt;3,SrcDB[[#This Row],[Dodavatel]],"Ostatné")</f>
        <v>Atos IT Solutions and Services s.r.o. / Eviden Slovakia, s.r.o.</v>
      </c>
    </row>
    <row r="96" spans="1:40" x14ac:dyDescent="0.3">
      <c r="A96" s="2" t="s">
        <v>230</v>
      </c>
      <c r="B96" s="2">
        <v>4585884</v>
      </c>
      <c r="C96" s="3" t="str">
        <f t="shared" si="68"/>
        <v>Nie</v>
      </c>
      <c r="D96" s="3" t="str">
        <f t="shared" si="69"/>
        <v>Áno</v>
      </c>
      <c r="E96" s="3" t="s">
        <v>48</v>
      </c>
      <c r="F96" s="3" t="s">
        <v>49</v>
      </c>
      <c r="G96" s="2" t="str">
        <f t="shared" si="70"/>
        <v>Veľké zmluvy</v>
      </c>
      <c r="H96" s="5" t="s">
        <v>231</v>
      </c>
      <c r="I96" s="2" t="s">
        <v>232</v>
      </c>
      <c r="J96" s="2" t="s">
        <v>233</v>
      </c>
      <c r="K96" s="5">
        <v>45650276</v>
      </c>
      <c r="L96" s="2" t="s">
        <v>234</v>
      </c>
      <c r="M96" s="2" t="s">
        <v>235</v>
      </c>
      <c r="N96" s="6">
        <v>43950</v>
      </c>
      <c r="O96" s="4">
        <v>10389120</v>
      </c>
      <c r="P96" s="2">
        <v>114497</v>
      </c>
      <c r="Q96" s="2" t="s">
        <v>236</v>
      </c>
      <c r="R96" s="2" t="s">
        <v>237</v>
      </c>
      <c r="S96" s="2" t="s">
        <v>56</v>
      </c>
      <c r="T96" s="2" t="s">
        <v>241</v>
      </c>
      <c r="U96" s="2" t="s">
        <v>208</v>
      </c>
      <c r="W96" s="4">
        <v>707.2</v>
      </c>
      <c r="X96" s="4">
        <v>848.64</v>
      </c>
      <c r="Y96" s="4">
        <f t="shared" ref="Y96" si="105">INDEX(InternalRates,MATCH($S96,InternalRates01,FALSE),2)</f>
        <v>278.98333333333335</v>
      </c>
      <c r="Z96" s="3" t="str">
        <f t="shared" si="73"/>
        <v>Nie</v>
      </c>
      <c r="AA96" s="3" t="str">
        <f t="shared" si="74"/>
        <v>SLA</v>
      </c>
      <c r="AD96" s="3" t="s">
        <v>48</v>
      </c>
      <c r="AE96" s="6">
        <v>44417</v>
      </c>
      <c r="AF96" s="3" t="s">
        <v>59</v>
      </c>
      <c r="AG96" s="3" t="s">
        <v>49</v>
      </c>
      <c r="AH96" s="3">
        <f>YEAR(SrcDB[[#This Row],[Datum_zverejnenia]])</f>
        <v>2020</v>
      </c>
      <c r="AI96" s="3" cm="1">
        <f t="array" ref="AI96">COUNT(_xlfn.UNIQUE(_xlfn._xlws.FILTER(SrcDB[ID],SrcDB[Objednavatel_ICO]=$H96)))</f>
        <v>9</v>
      </c>
      <c r="AJ96" s="3" cm="1">
        <f t="array" ref="AJ96">COUNT(_xlfn.UNIQUE(_xlfn._xlws.FILTER(SrcDB[ID],SrcDB[Dodavatel_ICO]=$K96)))</f>
        <v>12</v>
      </c>
      <c r="AK96" s="3">
        <f t="shared" si="76"/>
        <v>0</v>
      </c>
      <c r="AL96" s="3">
        <f t="shared" si="77"/>
        <v>0</v>
      </c>
      <c r="AM96" s="17" t="str">
        <f>IF(SrcDB[[#This Row],[Pocet zmluv objednavatela]]&gt;3,SrcDB[[#This Row],[Objednavatel]],"Ostatné")</f>
        <v>Ministerstvo školstva, výskumu, vývoja a mládeže SR</v>
      </c>
      <c r="AN96" s="17" t="str">
        <f>IF(SrcDB[[#This Row],[Pocet zmluv dodavatela]]&gt;3,SrcDB[[#This Row],[Dodavatel]],"Ostatné")</f>
        <v>Atos IT Solutions and Services s.r.o. / Eviden Slovakia, s.r.o.</v>
      </c>
    </row>
    <row r="97" spans="1:40" x14ac:dyDescent="0.3">
      <c r="A97" s="2" t="s">
        <v>230</v>
      </c>
      <c r="B97" s="2">
        <v>4585884</v>
      </c>
      <c r="C97" s="3" t="str">
        <f t="shared" si="68"/>
        <v>Nie</v>
      </c>
      <c r="D97" s="3" t="str">
        <f t="shared" si="69"/>
        <v>Áno</v>
      </c>
      <c r="E97" s="3" t="s">
        <v>48</v>
      </c>
      <c r="F97" s="3" t="s">
        <v>49</v>
      </c>
      <c r="G97" s="2" t="str">
        <f t="shared" si="70"/>
        <v>Veľké zmluvy</v>
      </c>
      <c r="H97" s="5" t="s">
        <v>231</v>
      </c>
      <c r="I97" s="2" t="s">
        <v>232</v>
      </c>
      <c r="J97" s="2" t="s">
        <v>233</v>
      </c>
      <c r="K97" s="5">
        <v>45650276</v>
      </c>
      <c r="L97" s="2" t="s">
        <v>234</v>
      </c>
      <c r="M97" s="2" t="s">
        <v>235</v>
      </c>
      <c r="N97" s="6">
        <v>43950</v>
      </c>
      <c r="O97" s="4">
        <v>10389120</v>
      </c>
      <c r="P97" s="2">
        <v>114497</v>
      </c>
      <c r="Q97" s="2" t="s">
        <v>236</v>
      </c>
      <c r="R97" s="2" t="s">
        <v>237</v>
      </c>
      <c r="S97" s="2" t="s">
        <v>56</v>
      </c>
      <c r="T97" s="2" t="s">
        <v>242</v>
      </c>
      <c r="U97" s="2" t="s">
        <v>129</v>
      </c>
      <c r="W97" s="4">
        <v>707.2</v>
      </c>
      <c r="X97" s="4">
        <v>848.64</v>
      </c>
      <c r="Y97" s="4">
        <f t="shared" ref="Y97" si="106">INDEX(InternalRates,MATCH($S97,InternalRates01,FALSE),2)</f>
        <v>278.98333333333335</v>
      </c>
      <c r="Z97" s="3" t="str">
        <f t="shared" si="73"/>
        <v>Nie</v>
      </c>
      <c r="AA97" s="3" t="str">
        <f t="shared" si="74"/>
        <v>SLA</v>
      </c>
      <c r="AD97" s="3" t="s">
        <v>48</v>
      </c>
      <c r="AE97" s="6">
        <v>44417</v>
      </c>
      <c r="AF97" s="3" t="s">
        <v>59</v>
      </c>
      <c r="AG97" s="3" t="s">
        <v>49</v>
      </c>
      <c r="AH97" s="3">
        <f>YEAR(SrcDB[[#This Row],[Datum_zverejnenia]])</f>
        <v>2020</v>
      </c>
      <c r="AI97" s="3" cm="1">
        <f t="array" ref="AI97">COUNT(_xlfn.UNIQUE(_xlfn._xlws.FILTER(SrcDB[ID],SrcDB[Objednavatel_ICO]=$H97)))</f>
        <v>9</v>
      </c>
      <c r="AJ97" s="3" cm="1">
        <f t="array" ref="AJ97">COUNT(_xlfn.UNIQUE(_xlfn._xlws.FILTER(SrcDB[ID],SrcDB[Dodavatel_ICO]=$K97)))</f>
        <v>12</v>
      </c>
      <c r="AK97" s="3">
        <f t="shared" si="76"/>
        <v>0</v>
      </c>
      <c r="AL97" s="3">
        <f t="shared" si="77"/>
        <v>0</v>
      </c>
      <c r="AM97" s="17" t="str">
        <f>IF(SrcDB[[#This Row],[Pocet zmluv objednavatela]]&gt;3,SrcDB[[#This Row],[Objednavatel]],"Ostatné")</f>
        <v>Ministerstvo školstva, výskumu, vývoja a mládeže SR</v>
      </c>
      <c r="AN97" s="17" t="str">
        <f>IF(SrcDB[[#This Row],[Pocet zmluv dodavatela]]&gt;3,SrcDB[[#This Row],[Dodavatel]],"Ostatné")</f>
        <v>Atos IT Solutions and Services s.r.o. / Eviden Slovakia, s.r.o.</v>
      </c>
    </row>
    <row r="98" spans="1:40" x14ac:dyDescent="0.3">
      <c r="A98" s="2" t="s">
        <v>230</v>
      </c>
      <c r="B98" s="2">
        <v>4585884</v>
      </c>
      <c r="C98" s="3" t="str">
        <f t="shared" si="68"/>
        <v>Nie</v>
      </c>
      <c r="D98" s="3" t="str">
        <f t="shared" si="69"/>
        <v>Áno</v>
      </c>
      <c r="E98" s="3" t="s">
        <v>48</v>
      </c>
      <c r="F98" s="3" t="s">
        <v>49</v>
      </c>
      <c r="G98" s="2" t="str">
        <f t="shared" si="70"/>
        <v>Veľké zmluvy</v>
      </c>
      <c r="H98" s="5" t="s">
        <v>231</v>
      </c>
      <c r="I98" s="2" t="s">
        <v>232</v>
      </c>
      <c r="J98" s="2" t="s">
        <v>233</v>
      </c>
      <c r="K98" s="5">
        <v>45650276</v>
      </c>
      <c r="L98" s="2" t="s">
        <v>234</v>
      </c>
      <c r="M98" s="2" t="s">
        <v>235</v>
      </c>
      <c r="N98" s="6">
        <v>43950</v>
      </c>
      <c r="O98" s="4">
        <v>10389120</v>
      </c>
      <c r="P98" s="2">
        <v>114497</v>
      </c>
      <c r="Q98" s="2" t="s">
        <v>236</v>
      </c>
      <c r="R98" s="2" t="s">
        <v>237</v>
      </c>
      <c r="S98" s="2" t="s">
        <v>56</v>
      </c>
      <c r="T98" s="2" t="s">
        <v>243</v>
      </c>
      <c r="U98" s="2" t="s">
        <v>129</v>
      </c>
      <c r="W98" s="4">
        <v>707.2</v>
      </c>
      <c r="X98" s="4">
        <v>848.64</v>
      </c>
      <c r="Y98" s="4">
        <f t="shared" ref="Y98" si="107">INDEX(InternalRates,MATCH($S98,InternalRates01,FALSE),2)</f>
        <v>278.98333333333335</v>
      </c>
      <c r="Z98" s="3" t="str">
        <f t="shared" si="73"/>
        <v>Nie</v>
      </c>
      <c r="AA98" s="3" t="str">
        <f t="shared" si="74"/>
        <v>SLA</v>
      </c>
      <c r="AD98" s="3" t="s">
        <v>48</v>
      </c>
      <c r="AE98" s="6">
        <v>44417</v>
      </c>
      <c r="AF98" s="3" t="s">
        <v>59</v>
      </c>
      <c r="AG98" s="3" t="s">
        <v>49</v>
      </c>
      <c r="AH98" s="3">
        <f>YEAR(SrcDB[[#This Row],[Datum_zverejnenia]])</f>
        <v>2020</v>
      </c>
      <c r="AI98" s="3" cm="1">
        <f t="array" ref="AI98">COUNT(_xlfn.UNIQUE(_xlfn._xlws.FILTER(SrcDB[ID],SrcDB[Objednavatel_ICO]=$H98)))</f>
        <v>9</v>
      </c>
      <c r="AJ98" s="3" cm="1">
        <f t="array" ref="AJ98">COUNT(_xlfn.UNIQUE(_xlfn._xlws.FILTER(SrcDB[ID],SrcDB[Dodavatel_ICO]=$K98)))</f>
        <v>12</v>
      </c>
      <c r="AK98" s="3">
        <f t="shared" si="76"/>
        <v>0</v>
      </c>
      <c r="AL98" s="3">
        <f t="shared" si="77"/>
        <v>0</v>
      </c>
      <c r="AM98" s="17" t="str">
        <f>IF(SrcDB[[#This Row],[Pocet zmluv objednavatela]]&gt;3,SrcDB[[#This Row],[Objednavatel]],"Ostatné")</f>
        <v>Ministerstvo školstva, výskumu, vývoja a mládeže SR</v>
      </c>
      <c r="AN98" s="17" t="str">
        <f>IF(SrcDB[[#This Row],[Pocet zmluv dodavatela]]&gt;3,SrcDB[[#This Row],[Dodavatel]],"Ostatné")</f>
        <v>Atos IT Solutions and Services s.r.o. / Eviden Slovakia, s.r.o.</v>
      </c>
    </row>
    <row r="99" spans="1:40" x14ac:dyDescent="0.3">
      <c r="A99" s="2" t="s">
        <v>230</v>
      </c>
      <c r="B99" s="2">
        <v>4585884</v>
      </c>
      <c r="C99" s="3" t="str">
        <f t="shared" si="68"/>
        <v>Nie</v>
      </c>
      <c r="D99" s="3" t="str">
        <f t="shared" si="69"/>
        <v>Áno</v>
      </c>
      <c r="E99" s="3" t="s">
        <v>48</v>
      </c>
      <c r="F99" s="3" t="s">
        <v>49</v>
      </c>
      <c r="G99" s="2" t="str">
        <f t="shared" si="70"/>
        <v>Veľké zmluvy</v>
      </c>
      <c r="H99" s="5" t="s">
        <v>231</v>
      </c>
      <c r="I99" s="2" t="s">
        <v>232</v>
      </c>
      <c r="J99" s="2" t="s">
        <v>233</v>
      </c>
      <c r="K99" s="5">
        <v>45650276</v>
      </c>
      <c r="L99" s="2" t="s">
        <v>234</v>
      </c>
      <c r="M99" s="2" t="s">
        <v>235</v>
      </c>
      <c r="N99" s="6">
        <v>43950</v>
      </c>
      <c r="O99" s="4">
        <v>10389120</v>
      </c>
      <c r="P99" s="2">
        <v>114497</v>
      </c>
      <c r="Q99" s="2" t="s">
        <v>236</v>
      </c>
      <c r="R99" s="2" t="s">
        <v>237</v>
      </c>
      <c r="S99" s="2" t="s">
        <v>56</v>
      </c>
      <c r="T99" s="2" t="s">
        <v>244</v>
      </c>
      <c r="U99" s="2" t="s">
        <v>129</v>
      </c>
      <c r="W99" s="4">
        <v>707.2</v>
      </c>
      <c r="X99" s="4">
        <v>848.64</v>
      </c>
      <c r="Y99" s="4">
        <f t="shared" ref="Y99" si="108">INDEX(InternalRates,MATCH($S99,InternalRates01,FALSE),2)</f>
        <v>278.98333333333335</v>
      </c>
      <c r="Z99" s="3" t="str">
        <f t="shared" si="73"/>
        <v>Nie</v>
      </c>
      <c r="AA99" s="3" t="str">
        <f t="shared" si="74"/>
        <v>SLA</v>
      </c>
      <c r="AD99" s="3" t="s">
        <v>48</v>
      </c>
      <c r="AE99" s="6">
        <v>44417</v>
      </c>
      <c r="AF99" s="3" t="s">
        <v>59</v>
      </c>
      <c r="AG99" s="3" t="s">
        <v>49</v>
      </c>
      <c r="AH99" s="3">
        <f>YEAR(SrcDB[[#This Row],[Datum_zverejnenia]])</f>
        <v>2020</v>
      </c>
      <c r="AI99" s="3" cm="1">
        <f t="array" ref="AI99">COUNT(_xlfn.UNIQUE(_xlfn._xlws.FILTER(SrcDB[ID],SrcDB[Objednavatel_ICO]=$H99)))</f>
        <v>9</v>
      </c>
      <c r="AJ99" s="3" cm="1">
        <f t="array" ref="AJ99">COUNT(_xlfn.UNIQUE(_xlfn._xlws.FILTER(SrcDB[ID],SrcDB[Dodavatel_ICO]=$K99)))</f>
        <v>12</v>
      </c>
      <c r="AK99" s="3">
        <f t="shared" si="76"/>
        <v>0</v>
      </c>
      <c r="AL99" s="3">
        <f t="shared" si="77"/>
        <v>0</v>
      </c>
      <c r="AM99" s="17" t="str">
        <f>IF(SrcDB[[#This Row],[Pocet zmluv objednavatela]]&gt;3,SrcDB[[#This Row],[Objednavatel]],"Ostatné")</f>
        <v>Ministerstvo školstva, výskumu, vývoja a mládeže SR</v>
      </c>
      <c r="AN99" s="17" t="str">
        <f>IF(SrcDB[[#This Row],[Pocet zmluv dodavatela]]&gt;3,SrcDB[[#This Row],[Dodavatel]],"Ostatné")</f>
        <v>Atos IT Solutions and Services s.r.o. / Eviden Slovakia, s.r.o.</v>
      </c>
    </row>
    <row r="100" spans="1:40" x14ac:dyDescent="0.3">
      <c r="A100" s="2" t="s">
        <v>230</v>
      </c>
      <c r="B100" s="2">
        <v>4585884</v>
      </c>
      <c r="C100" s="3" t="str">
        <f t="shared" si="68"/>
        <v>Nie</v>
      </c>
      <c r="D100" s="3" t="str">
        <f t="shared" si="69"/>
        <v>Áno</v>
      </c>
      <c r="E100" s="3" t="s">
        <v>48</v>
      </c>
      <c r="F100" s="3" t="s">
        <v>49</v>
      </c>
      <c r="G100" s="2" t="str">
        <f t="shared" si="70"/>
        <v>Veľké zmluvy</v>
      </c>
      <c r="H100" s="5" t="s">
        <v>231</v>
      </c>
      <c r="I100" s="2" t="s">
        <v>232</v>
      </c>
      <c r="J100" s="2" t="s">
        <v>233</v>
      </c>
      <c r="K100" s="5">
        <v>45650276</v>
      </c>
      <c r="L100" s="2" t="s">
        <v>234</v>
      </c>
      <c r="M100" s="2" t="s">
        <v>235</v>
      </c>
      <c r="N100" s="6">
        <v>43950</v>
      </c>
      <c r="O100" s="4">
        <v>10389120</v>
      </c>
      <c r="P100" s="2">
        <v>114497</v>
      </c>
      <c r="Q100" s="2" t="s">
        <v>236</v>
      </c>
      <c r="R100" s="2" t="s">
        <v>237</v>
      </c>
      <c r="S100" s="2" t="s">
        <v>56</v>
      </c>
      <c r="T100" s="2" t="s">
        <v>245</v>
      </c>
      <c r="U100" s="2" t="s">
        <v>129</v>
      </c>
      <c r="W100" s="4">
        <v>707.2</v>
      </c>
      <c r="X100" s="4">
        <v>848.64</v>
      </c>
      <c r="Y100" s="4">
        <f t="shared" ref="Y100" si="109">INDEX(InternalRates,MATCH($S100,InternalRates01,FALSE),2)</f>
        <v>278.98333333333335</v>
      </c>
      <c r="Z100" s="3" t="str">
        <f t="shared" si="73"/>
        <v>Nie</v>
      </c>
      <c r="AA100" s="3" t="str">
        <f t="shared" si="74"/>
        <v>SLA</v>
      </c>
      <c r="AD100" s="3" t="s">
        <v>48</v>
      </c>
      <c r="AE100" s="6">
        <v>44417</v>
      </c>
      <c r="AF100" s="3" t="s">
        <v>59</v>
      </c>
      <c r="AG100" s="3" t="s">
        <v>49</v>
      </c>
      <c r="AH100" s="3">
        <f>YEAR(SrcDB[[#This Row],[Datum_zverejnenia]])</f>
        <v>2020</v>
      </c>
      <c r="AI100" s="3" cm="1">
        <f t="array" ref="AI100">COUNT(_xlfn.UNIQUE(_xlfn._xlws.FILTER(SrcDB[ID],SrcDB[Objednavatel_ICO]=$H100)))</f>
        <v>9</v>
      </c>
      <c r="AJ100" s="3" cm="1">
        <f t="array" ref="AJ100">COUNT(_xlfn.UNIQUE(_xlfn._xlws.FILTER(SrcDB[ID],SrcDB[Dodavatel_ICO]=$K100)))</f>
        <v>12</v>
      </c>
      <c r="AK100" s="3">
        <f t="shared" si="76"/>
        <v>0</v>
      </c>
      <c r="AL100" s="3">
        <f t="shared" si="77"/>
        <v>0</v>
      </c>
      <c r="AM100" s="17" t="str">
        <f>IF(SrcDB[[#This Row],[Pocet zmluv objednavatela]]&gt;3,SrcDB[[#This Row],[Objednavatel]],"Ostatné")</f>
        <v>Ministerstvo školstva, výskumu, vývoja a mládeže SR</v>
      </c>
      <c r="AN100" s="17" t="str">
        <f>IF(SrcDB[[#This Row],[Pocet zmluv dodavatela]]&gt;3,SrcDB[[#This Row],[Dodavatel]],"Ostatné")</f>
        <v>Atos IT Solutions and Services s.r.o. / Eviden Slovakia, s.r.o.</v>
      </c>
    </row>
    <row r="101" spans="1:40" x14ac:dyDescent="0.3">
      <c r="A101" s="2" t="s">
        <v>230</v>
      </c>
      <c r="B101" s="2">
        <v>4585884</v>
      </c>
      <c r="C101" s="3" t="str">
        <f t="shared" si="68"/>
        <v>Nie</v>
      </c>
      <c r="D101" s="3" t="str">
        <f t="shared" si="69"/>
        <v>Áno</v>
      </c>
      <c r="E101" s="3" t="s">
        <v>48</v>
      </c>
      <c r="F101" s="3" t="s">
        <v>49</v>
      </c>
      <c r="G101" s="2" t="str">
        <f t="shared" si="70"/>
        <v>Veľké zmluvy</v>
      </c>
      <c r="H101" s="5" t="s">
        <v>231</v>
      </c>
      <c r="I101" s="2" t="s">
        <v>232</v>
      </c>
      <c r="J101" s="2" t="s">
        <v>233</v>
      </c>
      <c r="K101" s="5">
        <v>45650276</v>
      </c>
      <c r="L101" s="2" t="s">
        <v>234</v>
      </c>
      <c r="M101" s="2" t="s">
        <v>235</v>
      </c>
      <c r="N101" s="6">
        <v>43950</v>
      </c>
      <c r="O101" s="4">
        <v>10389120</v>
      </c>
      <c r="P101" s="2">
        <v>114497</v>
      </c>
      <c r="Q101" s="2" t="s">
        <v>236</v>
      </c>
      <c r="R101" s="2" t="s">
        <v>237</v>
      </c>
      <c r="S101" s="2" t="s">
        <v>56</v>
      </c>
      <c r="T101" s="2" t="s">
        <v>246</v>
      </c>
      <c r="U101" s="2" t="s">
        <v>129</v>
      </c>
      <c r="W101" s="4">
        <v>707.2</v>
      </c>
      <c r="X101" s="4">
        <v>848.64</v>
      </c>
      <c r="Y101" s="4">
        <f t="shared" ref="Y101" si="110">INDEX(InternalRates,MATCH($S101,InternalRates01,FALSE),2)</f>
        <v>278.98333333333335</v>
      </c>
      <c r="Z101" s="3" t="str">
        <f t="shared" si="73"/>
        <v>Nie</v>
      </c>
      <c r="AA101" s="3" t="str">
        <f t="shared" si="74"/>
        <v>SLA</v>
      </c>
      <c r="AD101" s="3" t="s">
        <v>48</v>
      </c>
      <c r="AE101" s="6">
        <v>44417</v>
      </c>
      <c r="AF101" s="3" t="s">
        <v>59</v>
      </c>
      <c r="AG101" s="3" t="s">
        <v>49</v>
      </c>
      <c r="AH101" s="3">
        <f>YEAR(SrcDB[[#This Row],[Datum_zverejnenia]])</f>
        <v>2020</v>
      </c>
      <c r="AI101" s="3" cm="1">
        <f t="array" ref="AI101">COUNT(_xlfn.UNIQUE(_xlfn._xlws.FILTER(SrcDB[ID],SrcDB[Objednavatel_ICO]=$H101)))</f>
        <v>9</v>
      </c>
      <c r="AJ101" s="3" cm="1">
        <f t="array" ref="AJ101">COUNT(_xlfn.UNIQUE(_xlfn._xlws.FILTER(SrcDB[ID],SrcDB[Dodavatel_ICO]=$K101)))</f>
        <v>12</v>
      </c>
      <c r="AK101" s="3">
        <f t="shared" si="76"/>
        <v>0</v>
      </c>
      <c r="AL101" s="3">
        <f t="shared" si="77"/>
        <v>0</v>
      </c>
      <c r="AM101" s="17" t="str">
        <f>IF(SrcDB[[#This Row],[Pocet zmluv objednavatela]]&gt;3,SrcDB[[#This Row],[Objednavatel]],"Ostatné")</f>
        <v>Ministerstvo školstva, výskumu, vývoja a mládeže SR</v>
      </c>
      <c r="AN101" s="17" t="str">
        <f>IF(SrcDB[[#This Row],[Pocet zmluv dodavatela]]&gt;3,SrcDB[[#This Row],[Dodavatel]],"Ostatné")</f>
        <v>Atos IT Solutions and Services s.r.o. / Eviden Slovakia, s.r.o.</v>
      </c>
    </row>
    <row r="102" spans="1:40" x14ac:dyDescent="0.3">
      <c r="A102" s="2" t="s">
        <v>230</v>
      </c>
      <c r="B102" s="2">
        <v>4585884</v>
      </c>
      <c r="C102" s="3" t="str">
        <f t="shared" si="68"/>
        <v>Nie</v>
      </c>
      <c r="D102" s="3" t="str">
        <f t="shared" si="69"/>
        <v>Áno</v>
      </c>
      <c r="E102" s="3" t="s">
        <v>48</v>
      </c>
      <c r="F102" s="3" t="s">
        <v>49</v>
      </c>
      <c r="G102" s="2" t="str">
        <f t="shared" si="70"/>
        <v>Veľké zmluvy</v>
      </c>
      <c r="H102" s="5" t="s">
        <v>231</v>
      </c>
      <c r="I102" s="2" t="s">
        <v>232</v>
      </c>
      <c r="J102" s="2" t="s">
        <v>233</v>
      </c>
      <c r="K102" s="5">
        <v>45650276</v>
      </c>
      <c r="L102" s="2" t="s">
        <v>234</v>
      </c>
      <c r="M102" s="2" t="s">
        <v>235</v>
      </c>
      <c r="N102" s="6">
        <v>43950</v>
      </c>
      <c r="O102" s="4">
        <v>10389120</v>
      </c>
      <c r="P102" s="2">
        <v>114497</v>
      </c>
      <c r="Q102" s="2" t="s">
        <v>236</v>
      </c>
      <c r="R102" s="2" t="s">
        <v>237</v>
      </c>
      <c r="S102" s="2" t="s">
        <v>56</v>
      </c>
      <c r="T102" s="2" t="s">
        <v>247</v>
      </c>
      <c r="U102" s="2" t="s">
        <v>129</v>
      </c>
      <c r="W102" s="4">
        <v>707.2</v>
      </c>
      <c r="X102" s="4">
        <v>848.64</v>
      </c>
      <c r="Y102" s="4">
        <f t="shared" ref="Y102" si="111">INDEX(InternalRates,MATCH($S102,InternalRates01,FALSE),2)</f>
        <v>278.98333333333335</v>
      </c>
      <c r="Z102" s="3" t="str">
        <f t="shared" si="73"/>
        <v>Nie</v>
      </c>
      <c r="AA102" s="3" t="str">
        <f t="shared" si="74"/>
        <v>SLA</v>
      </c>
      <c r="AD102" s="3" t="s">
        <v>48</v>
      </c>
      <c r="AE102" s="6">
        <v>44417</v>
      </c>
      <c r="AF102" s="3" t="s">
        <v>59</v>
      </c>
      <c r="AG102" s="3" t="s">
        <v>49</v>
      </c>
      <c r="AH102" s="3">
        <f>YEAR(SrcDB[[#This Row],[Datum_zverejnenia]])</f>
        <v>2020</v>
      </c>
      <c r="AI102" s="3" cm="1">
        <f t="array" ref="AI102">COUNT(_xlfn.UNIQUE(_xlfn._xlws.FILTER(SrcDB[ID],SrcDB[Objednavatel_ICO]=$H102)))</f>
        <v>9</v>
      </c>
      <c r="AJ102" s="3" cm="1">
        <f t="array" ref="AJ102">COUNT(_xlfn.UNIQUE(_xlfn._xlws.FILTER(SrcDB[ID],SrcDB[Dodavatel_ICO]=$K102)))</f>
        <v>12</v>
      </c>
      <c r="AK102" s="3">
        <f t="shared" si="76"/>
        <v>0</v>
      </c>
      <c r="AL102" s="3">
        <f t="shared" si="77"/>
        <v>0</v>
      </c>
      <c r="AM102" s="17" t="str">
        <f>IF(SrcDB[[#This Row],[Pocet zmluv objednavatela]]&gt;3,SrcDB[[#This Row],[Objednavatel]],"Ostatné")</f>
        <v>Ministerstvo školstva, výskumu, vývoja a mládeže SR</v>
      </c>
      <c r="AN102" s="17" t="str">
        <f>IF(SrcDB[[#This Row],[Pocet zmluv dodavatela]]&gt;3,SrcDB[[#This Row],[Dodavatel]],"Ostatné")</f>
        <v>Atos IT Solutions and Services s.r.o. / Eviden Slovakia, s.r.o.</v>
      </c>
    </row>
    <row r="103" spans="1:40" x14ac:dyDescent="0.3">
      <c r="A103" s="2" t="s">
        <v>230</v>
      </c>
      <c r="B103" s="2">
        <v>4585884</v>
      </c>
      <c r="C103" s="3" t="str">
        <f t="shared" si="68"/>
        <v>Nie</v>
      </c>
      <c r="D103" s="3" t="str">
        <f t="shared" si="69"/>
        <v>Áno</v>
      </c>
      <c r="E103" s="3" t="s">
        <v>48</v>
      </c>
      <c r="F103" s="3" t="s">
        <v>49</v>
      </c>
      <c r="G103" s="2" t="str">
        <f t="shared" si="70"/>
        <v>Veľké zmluvy</v>
      </c>
      <c r="H103" s="5" t="s">
        <v>231</v>
      </c>
      <c r="I103" s="2" t="s">
        <v>232</v>
      </c>
      <c r="J103" s="2" t="s">
        <v>233</v>
      </c>
      <c r="K103" s="5">
        <v>45650276</v>
      </c>
      <c r="L103" s="2" t="s">
        <v>234</v>
      </c>
      <c r="M103" s="2" t="s">
        <v>235</v>
      </c>
      <c r="N103" s="6">
        <v>43950</v>
      </c>
      <c r="O103" s="4">
        <v>10389120</v>
      </c>
      <c r="P103" s="2">
        <v>114497</v>
      </c>
      <c r="Q103" s="2" t="s">
        <v>236</v>
      </c>
      <c r="R103" s="2" t="s">
        <v>237</v>
      </c>
      <c r="S103" s="2" t="s">
        <v>56</v>
      </c>
      <c r="T103" s="2" t="s">
        <v>248</v>
      </c>
      <c r="U103" s="2" t="s">
        <v>129</v>
      </c>
      <c r="W103" s="4">
        <v>707.2</v>
      </c>
      <c r="X103" s="4">
        <v>848.64</v>
      </c>
      <c r="Y103" s="4">
        <f t="shared" ref="Y103" si="112">INDEX(InternalRates,MATCH($S103,InternalRates01,FALSE),2)</f>
        <v>278.98333333333335</v>
      </c>
      <c r="Z103" s="3" t="str">
        <f t="shared" si="73"/>
        <v>Nie</v>
      </c>
      <c r="AA103" s="3" t="str">
        <f t="shared" si="74"/>
        <v>SLA</v>
      </c>
      <c r="AD103" s="3" t="s">
        <v>48</v>
      </c>
      <c r="AE103" s="6">
        <v>44417</v>
      </c>
      <c r="AF103" s="3" t="s">
        <v>59</v>
      </c>
      <c r="AG103" s="3" t="s">
        <v>49</v>
      </c>
      <c r="AH103" s="3">
        <f>YEAR(SrcDB[[#This Row],[Datum_zverejnenia]])</f>
        <v>2020</v>
      </c>
      <c r="AI103" s="3" cm="1">
        <f t="array" ref="AI103">COUNT(_xlfn.UNIQUE(_xlfn._xlws.FILTER(SrcDB[ID],SrcDB[Objednavatel_ICO]=$H103)))</f>
        <v>9</v>
      </c>
      <c r="AJ103" s="3" cm="1">
        <f t="array" ref="AJ103">COUNT(_xlfn.UNIQUE(_xlfn._xlws.FILTER(SrcDB[ID],SrcDB[Dodavatel_ICO]=$K103)))</f>
        <v>12</v>
      </c>
      <c r="AK103" s="3">
        <f t="shared" si="76"/>
        <v>0</v>
      </c>
      <c r="AL103" s="3">
        <f t="shared" si="77"/>
        <v>0</v>
      </c>
      <c r="AM103" s="17" t="str">
        <f>IF(SrcDB[[#This Row],[Pocet zmluv objednavatela]]&gt;3,SrcDB[[#This Row],[Objednavatel]],"Ostatné")</f>
        <v>Ministerstvo školstva, výskumu, vývoja a mládeže SR</v>
      </c>
      <c r="AN103" s="17" t="str">
        <f>IF(SrcDB[[#This Row],[Pocet zmluv dodavatela]]&gt;3,SrcDB[[#This Row],[Dodavatel]],"Ostatné")</f>
        <v>Atos IT Solutions and Services s.r.o. / Eviden Slovakia, s.r.o.</v>
      </c>
    </row>
    <row r="104" spans="1:40" x14ac:dyDescent="0.3">
      <c r="A104" s="2" t="s">
        <v>230</v>
      </c>
      <c r="B104" s="2">
        <v>4585884</v>
      </c>
      <c r="C104" s="3" t="str">
        <f t="shared" si="68"/>
        <v>Nie</v>
      </c>
      <c r="D104" s="3" t="str">
        <f t="shared" si="69"/>
        <v>Áno</v>
      </c>
      <c r="E104" s="3" t="s">
        <v>48</v>
      </c>
      <c r="F104" s="3" t="s">
        <v>49</v>
      </c>
      <c r="G104" s="2" t="str">
        <f t="shared" si="70"/>
        <v>Veľké zmluvy</v>
      </c>
      <c r="H104" s="5" t="s">
        <v>231</v>
      </c>
      <c r="I104" s="2" t="s">
        <v>232</v>
      </c>
      <c r="J104" s="2" t="s">
        <v>233</v>
      </c>
      <c r="K104" s="5">
        <v>45650276</v>
      </c>
      <c r="L104" s="2" t="s">
        <v>234</v>
      </c>
      <c r="M104" s="2" t="s">
        <v>235</v>
      </c>
      <c r="N104" s="6">
        <v>43950</v>
      </c>
      <c r="O104" s="4">
        <v>10389120</v>
      </c>
      <c r="P104" s="2">
        <v>114497</v>
      </c>
      <c r="Q104" s="2" t="s">
        <v>236</v>
      </c>
      <c r="R104" s="2" t="s">
        <v>237</v>
      </c>
      <c r="S104" s="2" t="s">
        <v>56</v>
      </c>
      <c r="T104" s="2" t="s">
        <v>249</v>
      </c>
      <c r="U104" s="2" t="s">
        <v>129</v>
      </c>
      <c r="W104" s="4">
        <v>707.2</v>
      </c>
      <c r="X104" s="4">
        <v>848.64</v>
      </c>
      <c r="Y104" s="4">
        <f t="shared" ref="Y104" si="113">INDEX(InternalRates,MATCH($S104,InternalRates01,FALSE),2)</f>
        <v>278.98333333333335</v>
      </c>
      <c r="Z104" s="3" t="str">
        <f t="shared" si="73"/>
        <v>Nie</v>
      </c>
      <c r="AA104" s="3" t="str">
        <f t="shared" si="74"/>
        <v>SLA</v>
      </c>
      <c r="AD104" s="3" t="s">
        <v>48</v>
      </c>
      <c r="AE104" s="6">
        <v>44417</v>
      </c>
      <c r="AF104" s="3" t="s">
        <v>59</v>
      </c>
      <c r="AG104" s="3" t="s">
        <v>49</v>
      </c>
      <c r="AH104" s="3">
        <f>YEAR(SrcDB[[#This Row],[Datum_zverejnenia]])</f>
        <v>2020</v>
      </c>
      <c r="AI104" s="3" cm="1">
        <f t="array" ref="AI104">COUNT(_xlfn.UNIQUE(_xlfn._xlws.FILTER(SrcDB[ID],SrcDB[Objednavatel_ICO]=$H104)))</f>
        <v>9</v>
      </c>
      <c r="AJ104" s="3" cm="1">
        <f t="array" ref="AJ104">COUNT(_xlfn.UNIQUE(_xlfn._xlws.FILTER(SrcDB[ID],SrcDB[Dodavatel_ICO]=$K104)))</f>
        <v>12</v>
      </c>
      <c r="AK104" s="3">
        <f t="shared" si="76"/>
        <v>0</v>
      </c>
      <c r="AL104" s="3">
        <f t="shared" si="77"/>
        <v>0</v>
      </c>
      <c r="AM104" s="17" t="str">
        <f>IF(SrcDB[[#This Row],[Pocet zmluv objednavatela]]&gt;3,SrcDB[[#This Row],[Objednavatel]],"Ostatné")</f>
        <v>Ministerstvo školstva, výskumu, vývoja a mládeže SR</v>
      </c>
      <c r="AN104" s="17" t="str">
        <f>IF(SrcDB[[#This Row],[Pocet zmluv dodavatela]]&gt;3,SrcDB[[#This Row],[Dodavatel]],"Ostatné")</f>
        <v>Atos IT Solutions and Services s.r.o. / Eviden Slovakia, s.r.o.</v>
      </c>
    </row>
    <row r="105" spans="1:40" x14ac:dyDescent="0.3">
      <c r="A105" s="2" t="s">
        <v>230</v>
      </c>
      <c r="B105" s="2">
        <v>4585884</v>
      </c>
      <c r="C105" s="3" t="str">
        <f t="shared" si="68"/>
        <v>Nie</v>
      </c>
      <c r="D105" s="3" t="str">
        <f t="shared" si="69"/>
        <v>Áno</v>
      </c>
      <c r="E105" s="3" t="s">
        <v>48</v>
      </c>
      <c r="F105" s="3" t="s">
        <v>49</v>
      </c>
      <c r="G105" s="2" t="str">
        <f t="shared" si="70"/>
        <v>Veľké zmluvy</v>
      </c>
      <c r="H105" s="5" t="s">
        <v>231</v>
      </c>
      <c r="I105" s="2" t="s">
        <v>232</v>
      </c>
      <c r="J105" s="2" t="s">
        <v>233</v>
      </c>
      <c r="K105" s="5">
        <v>45650276</v>
      </c>
      <c r="L105" s="2" t="s">
        <v>234</v>
      </c>
      <c r="M105" s="2" t="s">
        <v>235</v>
      </c>
      <c r="N105" s="6">
        <v>43950</v>
      </c>
      <c r="O105" s="4">
        <v>10389120</v>
      </c>
      <c r="P105" s="2">
        <v>114497</v>
      </c>
      <c r="Q105" s="2" t="s">
        <v>236</v>
      </c>
      <c r="R105" s="2" t="s">
        <v>237</v>
      </c>
      <c r="S105" s="2" t="s">
        <v>56</v>
      </c>
      <c r="T105" s="2" t="s">
        <v>250</v>
      </c>
      <c r="U105" s="2" t="s">
        <v>129</v>
      </c>
      <c r="W105" s="4">
        <v>707.2</v>
      </c>
      <c r="X105" s="4">
        <v>848.64</v>
      </c>
      <c r="Y105" s="4">
        <f t="shared" ref="Y105" si="114">INDEX(InternalRates,MATCH($S105,InternalRates01,FALSE),2)</f>
        <v>278.98333333333335</v>
      </c>
      <c r="Z105" s="3" t="str">
        <f t="shared" si="73"/>
        <v>Nie</v>
      </c>
      <c r="AA105" s="3" t="str">
        <f t="shared" si="74"/>
        <v>SLA</v>
      </c>
      <c r="AD105" s="3" t="s">
        <v>48</v>
      </c>
      <c r="AE105" s="6">
        <v>44417</v>
      </c>
      <c r="AF105" s="3" t="s">
        <v>59</v>
      </c>
      <c r="AG105" s="3" t="s">
        <v>49</v>
      </c>
      <c r="AH105" s="3">
        <f>YEAR(SrcDB[[#This Row],[Datum_zverejnenia]])</f>
        <v>2020</v>
      </c>
      <c r="AI105" s="3" cm="1">
        <f t="array" ref="AI105">COUNT(_xlfn.UNIQUE(_xlfn._xlws.FILTER(SrcDB[ID],SrcDB[Objednavatel_ICO]=$H105)))</f>
        <v>9</v>
      </c>
      <c r="AJ105" s="3" cm="1">
        <f t="array" ref="AJ105">COUNT(_xlfn.UNIQUE(_xlfn._xlws.FILTER(SrcDB[ID],SrcDB[Dodavatel_ICO]=$K105)))</f>
        <v>12</v>
      </c>
      <c r="AK105" s="3">
        <f t="shared" si="76"/>
        <v>0</v>
      </c>
      <c r="AL105" s="3">
        <f t="shared" si="77"/>
        <v>0</v>
      </c>
      <c r="AM105" s="17" t="str">
        <f>IF(SrcDB[[#This Row],[Pocet zmluv objednavatela]]&gt;3,SrcDB[[#This Row],[Objednavatel]],"Ostatné")</f>
        <v>Ministerstvo školstva, výskumu, vývoja a mládeže SR</v>
      </c>
      <c r="AN105" s="17" t="str">
        <f>IF(SrcDB[[#This Row],[Pocet zmluv dodavatela]]&gt;3,SrcDB[[#This Row],[Dodavatel]],"Ostatné")</f>
        <v>Atos IT Solutions and Services s.r.o. / Eviden Slovakia, s.r.o.</v>
      </c>
    </row>
    <row r="106" spans="1:40" x14ac:dyDescent="0.3">
      <c r="A106" s="2" t="s">
        <v>230</v>
      </c>
      <c r="B106" s="2">
        <v>4585884</v>
      </c>
      <c r="C106" s="3" t="str">
        <f t="shared" si="68"/>
        <v>Nie</v>
      </c>
      <c r="D106" s="3" t="str">
        <f t="shared" si="69"/>
        <v>Áno</v>
      </c>
      <c r="E106" s="3" t="s">
        <v>48</v>
      </c>
      <c r="F106" s="3" t="s">
        <v>49</v>
      </c>
      <c r="G106" s="2" t="str">
        <f t="shared" si="70"/>
        <v>Veľké zmluvy</v>
      </c>
      <c r="H106" s="5" t="s">
        <v>231</v>
      </c>
      <c r="I106" s="2" t="s">
        <v>232</v>
      </c>
      <c r="J106" s="2" t="s">
        <v>233</v>
      </c>
      <c r="K106" s="5">
        <v>45650276</v>
      </c>
      <c r="L106" s="2" t="s">
        <v>234</v>
      </c>
      <c r="M106" s="2" t="s">
        <v>235</v>
      </c>
      <c r="N106" s="6">
        <v>43950</v>
      </c>
      <c r="O106" s="4">
        <v>10389120</v>
      </c>
      <c r="P106" s="2">
        <v>114497</v>
      </c>
      <c r="Q106" s="2" t="s">
        <v>236</v>
      </c>
      <c r="R106" s="2" t="s">
        <v>237</v>
      </c>
      <c r="S106" s="2" t="s">
        <v>56</v>
      </c>
      <c r="T106" s="2" t="s">
        <v>251</v>
      </c>
      <c r="U106" s="2" t="s">
        <v>95</v>
      </c>
      <c r="W106" s="4">
        <v>707.2</v>
      </c>
      <c r="X106" s="4">
        <v>848.64</v>
      </c>
      <c r="Y106" s="4">
        <f t="shared" ref="Y106" si="115">INDEX(InternalRates,MATCH($S106,InternalRates01,FALSE),2)</f>
        <v>278.98333333333335</v>
      </c>
      <c r="Z106" s="3" t="str">
        <f t="shared" si="73"/>
        <v>Nie</v>
      </c>
      <c r="AA106" s="3" t="str">
        <f t="shared" si="74"/>
        <v>SLA</v>
      </c>
      <c r="AD106" s="3" t="s">
        <v>48</v>
      </c>
      <c r="AE106" s="6">
        <v>44417</v>
      </c>
      <c r="AF106" s="3" t="s">
        <v>59</v>
      </c>
      <c r="AG106" s="3" t="s">
        <v>49</v>
      </c>
      <c r="AH106" s="3">
        <f>YEAR(SrcDB[[#This Row],[Datum_zverejnenia]])</f>
        <v>2020</v>
      </c>
      <c r="AI106" s="3" cm="1">
        <f t="array" ref="AI106">COUNT(_xlfn.UNIQUE(_xlfn._xlws.FILTER(SrcDB[ID],SrcDB[Objednavatel_ICO]=$H106)))</f>
        <v>9</v>
      </c>
      <c r="AJ106" s="3" cm="1">
        <f t="array" ref="AJ106">COUNT(_xlfn.UNIQUE(_xlfn._xlws.FILTER(SrcDB[ID],SrcDB[Dodavatel_ICO]=$K106)))</f>
        <v>12</v>
      </c>
      <c r="AK106" s="3">
        <f t="shared" si="76"/>
        <v>0</v>
      </c>
      <c r="AL106" s="3">
        <f t="shared" si="77"/>
        <v>0</v>
      </c>
      <c r="AM106" s="17" t="str">
        <f>IF(SrcDB[[#This Row],[Pocet zmluv objednavatela]]&gt;3,SrcDB[[#This Row],[Objednavatel]],"Ostatné")</f>
        <v>Ministerstvo školstva, výskumu, vývoja a mládeže SR</v>
      </c>
      <c r="AN106" s="17" t="str">
        <f>IF(SrcDB[[#This Row],[Pocet zmluv dodavatela]]&gt;3,SrcDB[[#This Row],[Dodavatel]],"Ostatné")</f>
        <v>Atos IT Solutions and Services s.r.o. / Eviden Slovakia, s.r.o.</v>
      </c>
    </row>
    <row r="107" spans="1:40" x14ac:dyDescent="0.3">
      <c r="A107" s="2" t="s">
        <v>252</v>
      </c>
      <c r="B107" s="2">
        <v>4590492</v>
      </c>
      <c r="C107" s="3" t="str">
        <f t="shared" si="68"/>
        <v>Nie</v>
      </c>
      <c r="D107" s="3" t="str">
        <f t="shared" si="69"/>
        <v>Áno</v>
      </c>
      <c r="E107" s="3" t="s">
        <v>48</v>
      </c>
      <c r="F107" s="3" t="s">
        <v>49</v>
      </c>
      <c r="G107" s="2" t="str">
        <f t="shared" si="70"/>
        <v>Veľké zmluvy</v>
      </c>
      <c r="H107" s="5" t="s">
        <v>231</v>
      </c>
      <c r="I107" s="2" t="s">
        <v>232</v>
      </c>
      <c r="J107" s="2" t="s">
        <v>233</v>
      </c>
      <c r="K107" s="5">
        <v>45650276</v>
      </c>
      <c r="L107" s="2" t="s">
        <v>234</v>
      </c>
      <c r="M107" s="2" t="s">
        <v>235</v>
      </c>
      <c r="N107" s="6">
        <v>43951.477060185185</v>
      </c>
      <c r="O107" s="4">
        <v>9864804</v>
      </c>
      <c r="P107" s="2">
        <v>114497</v>
      </c>
      <c r="Q107" s="2" t="s">
        <v>253</v>
      </c>
      <c r="R107" s="2" t="s">
        <v>254</v>
      </c>
      <c r="S107" s="2" t="s">
        <v>160</v>
      </c>
      <c r="T107" s="2" t="s">
        <v>238</v>
      </c>
      <c r="W107" s="4">
        <v>668</v>
      </c>
      <c r="X107" s="4">
        <v>801.6</v>
      </c>
      <c r="Y107" s="4">
        <f t="shared" ref="Y107" si="116">INDEX(InternalRates,MATCH($S107,InternalRates01,FALSE),2)</f>
        <v>231.85833333333335</v>
      </c>
      <c r="Z107" s="3" t="str">
        <f t="shared" si="73"/>
        <v>Nie</v>
      </c>
      <c r="AA107" s="3" t="str">
        <f t="shared" si="74"/>
        <v>SLA</v>
      </c>
      <c r="AD107" s="3" t="s">
        <v>48</v>
      </c>
      <c r="AE107" s="6">
        <v>44417</v>
      </c>
      <c r="AF107" s="3" t="s">
        <v>59</v>
      </c>
      <c r="AG107" s="3" t="s">
        <v>48</v>
      </c>
      <c r="AH107" s="3">
        <f>YEAR(SrcDB[[#This Row],[Datum_zverejnenia]])</f>
        <v>2020</v>
      </c>
      <c r="AI107" s="3" cm="1">
        <f t="array" ref="AI107">COUNT(_xlfn.UNIQUE(_xlfn._xlws.FILTER(SrcDB[ID],SrcDB[Objednavatel_ICO]=$H107)))</f>
        <v>9</v>
      </c>
      <c r="AJ107" s="3" cm="1">
        <f t="array" ref="AJ107">COUNT(_xlfn.UNIQUE(_xlfn._xlws.FILTER(SrcDB[ID],SrcDB[Dodavatel_ICO]=$K107)))</f>
        <v>12</v>
      </c>
      <c r="AK107" s="3">
        <f t="shared" si="76"/>
        <v>1</v>
      </c>
      <c r="AL107" s="3">
        <f t="shared" si="77"/>
        <v>1</v>
      </c>
      <c r="AM107" s="17" t="str">
        <f>IF(SrcDB[[#This Row],[Pocet zmluv objednavatela]]&gt;3,SrcDB[[#This Row],[Objednavatel]],"Ostatné")</f>
        <v>Ministerstvo školstva, výskumu, vývoja a mládeže SR</v>
      </c>
      <c r="AN107" s="17" t="str">
        <f>IF(SrcDB[[#This Row],[Pocet zmluv dodavatela]]&gt;3,SrcDB[[#This Row],[Dodavatel]],"Ostatné")</f>
        <v>Atos IT Solutions and Services s.r.o. / Eviden Slovakia, s.r.o.</v>
      </c>
    </row>
    <row r="108" spans="1:40" x14ac:dyDescent="0.3">
      <c r="A108" s="2" t="s">
        <v>252</v>
      </c>
      <c r="B108" s="2">
        <v>4590492</v>
      </c>
      <c r="C108" s="3" t="str">
        <f t="shared" si="68"/>
        <v>Nie</v>
      </c>
      <c r="D108" s="3" t="str">
        <f t="shared" si="69"/>
        <v>Áno</v>
      </c>
      <c r="E108" s="3" t="s">
        <v>48</v>
      </c>
      <c r="F108" s="3" t="s">
        <v>49</v>
      </c>
      <c r="G108" s="2" t="str">
        <f t="shared" si="70"/>
        <v>Veľké zmluvy</v>
      </c>
      <c r="H108" s="5" t="s">
        <v>231</v>
      </c>
      <c r="I108" s="2" t="s">
        <v>232</v>
      </c>
      <c r="J108" s="2" t="s">
        <v>233</v>
      </c>
      <c r="K108" s="5">
        <v>45650276</v>
      </c>
      <c r="L108" s="2" t="s">
        <v>234</v>
      </c>
      <c r="M108" s="2" t="s">
        <v>235</v>
      </c>
      <c r="N108" s="6">
        <v>43951.477060185185</v>
      </c>
      <c r="O108" s="4">
        <v>9864804</v>
      </c>
      <c r="P108" s="2">
        <v>114497</v>
      </c>
      <c r="Q108" s="2" t="s">
        <v>253</v>
      </c>
      <c r="R108" s="2" t="s">
        <v>254</v>
      </c>
      <c r="S108" s="2" t="s">
        <v>77</v>
      </c>
      <c r="T108" s="2" t="s">
        <v>126</v>
      </c>
      <c r="W108" s="4">
        <v>668</v>
      </c>
      <c r="X108" s="4">
        <v>801.6</v>
      </c>
      <c r="Y108" s="4">
        <f t="shared" ref="Y108" si="117">INDEX(InternalRates,MATCH($S108,InternalRates01,FALSE),2)</f>
        <v>278.98333333333335</v>
      </c>
      <c r="Z108" s="3" t="str">
        <f t="shared" si="73"/>
        <v>Nie</v>
      </c>
      <c r="AA108" s="3" t="str">
        <f t="shared" si="74"/>
        <v>SLA</v>
      </c>
      <c r="AD108" s="3" t="s">
        <v>48</v>
      </c>
      <c r="AE108" s="6">
        <v>44417</v>
      </c>
      <c r="AF108" s="3" t="s">
        <v>59</v>
      </c>
      <c r="AG108" s="3" t="s">
        <v>48</v>
      </c>
      <c r="AH108" s="3">
        <f>YEAR(SrcDB[[#This Row],[Datum_zverejnenia]])</f>
        <v>2020</v>
      </c>
      <c r="AI108" s="3" cm="1">
        <f t="array" ref="AI108">COUNT(_xlfn.UNIQUE(_xlfn._xlws.FILTER(SrcDB[ID],SrcDB[Objednavatel_ICO]=$H108)))</f>
        <v>9</v>
      </c>
      <c r="AJ108" s="3" cm="1">
        <f t="array" ref="AJ108">COUNT(_xlfn.UNIQUE(_xlfn._xlws.FILTER(SrcDB[ID],SrcDB[Dodavatel_ICO]=$K108)))</f>
        <v>12</v>
      </c>
      <c r="AK108" s="3">
        <f t="shared" si="76"/>
        <v>0</v>
      </c>
      <c r="AL108" s="3">
        <f t="shared" si="77"/>
        <v>0</v>
      </c>
      <c r="AM108" s="17" t="str">
        <f>IF(SrcDB[[#This Row],[Pocet zmluv objednavatela]]&gt;3,SrcDB[[#This Row],[Objednavatel]],"Ostatné")</f>
        <v>Ministerstvo školstva, výskumu, vývoja a mládeže SR</v>
      </c>
      <c r="AN108" s="17" t="str">
        <f>IF(SrcDB[[#This Row],[Pocet zmluv dodavatela]]&gt;3,SrcDB[[#This Row],[Dodavatel]],"Ostatné")</f>
        <v>Atos IT Solutions and Services s.r.o. / Eviden Slovakia, s.r.o.</v>
      </c>
    </row>
    <row r="109" spans="1:40" x14ac:dyDescent="0.3">
      <c r="A109" s="2" t="s">
        <v>252</v>
      </c>
      <c r="B109" s="2">
        <v>4590492</v>
      </c>
      <c r="C109" s="3" t="str">
        <f t="shared" si="68"/>
        <v>Nie</v>
      </c>
      <c r="D109" s="3" t="str">
        <f t="shared" si="69"/>
        <v>Áno</v>
      </c>
      <c r="E109" s="3" t="s">
        <v>48</v>
      </c>
      <c r="F109" s="3" t="s">
        <v>49</v>
      </c>
      <c r="G109" s="2" t="str">
        <f t="shared" si="70"/>
        <v>Veľké zmluvy</v>
      </c>
      <c r="H109" s="5" t="s">
        <v>231</v>
      </c>
      <c r="I109" s="2" t="s">
        <v>232</v>
      </c>
      <c r="J109" s="2" t="s">
        <v>233</v>
      </c>
      <c r="K109" s="5">
        <v>45650276</v>
      </c>
      <c r="L109" s="2" t="s">
        <v>234</v>
      </c>
      <c r="M109" s="2" t="s">
        <v>235</v>
      </c>
      <c r="N109" s="6">
        <v>43951</v>
      </c>
      <c r="O109" s="4">
        <v>9864804</v>
      </c>
      <c r="P109" s="2">
        <v>114497</v>
      </c>
      <c r="Q109" s="2" t="s">
        <v>253</v>
      </c>
      <c r="R109" s="2" t="s">
        <v>254</v>
      </c>
      <c r="S109" s="2" t="s">
        <v>77</v>
      </c>
      <c r="T109" s="2" t="s">
        <v>127</v>
      </c>
      <c r="W109" s="4">
        <v>668</v>
      </c>
      <c r="X109" s="4">
        <v>801.6</v>
      </c>
      <c r="Y109" s="4">
        <f t="shared" ref="Y109" si="118">INDEX(InternalRates,MATCH($S109,InternalRates01,FALSE),2)</f>
        <v>278.98333333333335</v>
      </c>
      <c r="Z109" s="3" t="str">
        <f t="shared" si="73"/>
        <v>Nie</v>
      </c>
      <c r="AA109" s="3" t="str">
        <f t="shared" si="74"/>
        <v>SLA</v>
      </c>
      <c r="AD109" s="3" t="s">
        <v>48</v>
      </c>
      <c r="AE109" s="6">
        <v>44417</v>
      </c>
      <c r="AF109" s="3" t="s">
        <v>59</v>
      </c>
      <c r="AG109" s="3" t="s">
        <v>48</v>
      </c>
      <c r="AH109" s="3">
        <f>YEAR(SrcDB[[#This Row],[Datum_zverejnenia]])</f>
        <v>2020</v>
      </c>
      <c r="AI109" s="3" cm="1">
        <f t="array" ref="AI109">COUNT(_xlfn.UNIQUE(_xlfn._xlws.FILTER(SrcDB[ID],SrcDB[Objednavatel_ICO]=$H109)))</f>
        <v>9</v>
      </c>
      <c r="AJ109" s="3" cm="1">
        <f t="array" ref="AJ109">COUNT(_xlfn.UNIQUE(_xlfn._xlws.FILTER(SrcDB[ID],SrcDB[Dodavatel_ICO]=$K109)))</f>
        <v>12</v>
      </c>
      <c r="AK109" s="3">
        <f t="shared" si="76"/>
        <v>0</v>
      </c>
      <c r="AL109" s="3">
        <f t="shared" si="77"/>
        <v>0</v>
      </c>
      <c r="AM109" s="17" t="str">
        <f>IF(SrcDB[[#This Row],[Pocet zmluv objednavatela]]&gt;3,SrcDB[[#This Row],[Objednavatel]],"Ostatné")</f>
        <v>Ministerstvo školstva, výskumu, vývoja a mládeže SR</v>
      </c>
      <c r="AN109" s="17" t="str">
        <f>IF(SrcDB[[#This Row],[Pocet zmluv dodavatela]]&gt;3,SrcDB[[#This Row],[Dodavatel]],"Ostatné")</f>
        <v>Atos IT Solutions and Services s.r.o. / Eviden Slovakia, s.r.o.</v>
      </c>
    </row>
    <row r="110" spans="1:40" x14ac:dyDescent="0.3">
      <c r="A110" s="2" t="s">
        <v>252</v>
      </c>
      <c r="B110" s="2">
        <v>4590492</v>
      </c>
      <c r="C110" s="3" t="str">
        <f t="shared" si="68"/>
        <v>Nie</v>
      </c>
      <c r="D110" s="3" t="str">
        <f t="shared" si="69"/>
        <v>Áno</v>
      </c>
      <c r="E110" s="3" t="s">
        <v>48</v>
      </c>
      <c r="F110" s="3" t="s">
        <v>49</v>
      </c>
      <c r="G110" s="2" t="str">
        <f t="shared" si="70"/>
        <v>Veľké zmluvy</v>
      </c>
      <c r="H110" s="5" t="s">
        <v>231</v>
      </c>
      <c r="I110" s="2" t="s">
        <v>232</v>
      </c>
      <c r="J110" s="2" t="s">
        <v>233</v>
      </c>
      <c r="K110" s="5">
        <v>45650276</v>
      </c>
      <c r="L110" s="2" t="s">
        <v>234</v>
      </c>
      <c r="M110" s="2" t="s">
        <v>235</v>
      </c>
      <c r="N110" s="6">
        <v>43951</v>
      </c>
      <c r="O110" s="4">
        <v>9864804</v>
      </c>
      <c r="P110" s="2">
        <v>114497</v>
      </c>
      <c r="Q110" s="2" t="s">
        <v>253</v>
      </c>
      <c r="R110" s="2" t="s">
        <v>254</v>
      </c>
      <c r="S110" s="2" t="s">
        <v>79</v>
      </c>
      <c r="T110" s="2" t="s">
        <v>131</v>
      </c>
      <c r="W110" s="4">
        <v>668</v>
      </c>
      <c r="X110" s="4">
        <v>801.6</v>
      </c>
      <c r="Y110" s="4">
        <f t="shared" ref="Y110" si="119">INDEX(InternalRates,MATCH($S110,InternalRates01,FALSE),2)</f>
        <v>278.98333333333335</v>
      </c>
      <c r="Z110" s="3" t="str">
        <f t="shared" si="73"/>
        <v>Nie</v>
      </c>
      <c r="AA110" s="3" t="str">
        <f t="shared" si="74"/>
        <v>SLA</v>
      </c>
      <c r="AD110" s="3" t="s">
        <v>48</v>
      </c>
      <c r="AE110" s="6">
        <v>44417</v>
      </c>
      <c r="AF110" s="3" t="s">
        <v>59</v>
      </c>
      <c r="AG110" s="3" t="s">
        <v>48</v>
      </c>
      <c r="AH110" s="3">
        <f>YEAR(SrcDB[[#This Row],[Datum_zverejnenia]])</f>
        <v>2020</v>
      </c>
      <c r="AI110" s="3" cm="1">
        <f t="array" ref="AI110">COUNT(_xlfn.UNIQUE(_xlfn._xlws.FILTER(SrcDB[ID],SrcDB[Objednavatel_ICO]=$H110)))</f>
        <v>9</v>
      </c>
      <c r="AJ110" s="3" cm="1">
        <f t="array" ref="AJ110">COUNT(_xlfn.UNIQUE(_xlfn._xlws.FILTER(SrcDB[ID],SrcDB[Dodavatel_ICO]=$K110)))</f>
        <v>12</v>
      </c>
      <c r="AK110" s="3">
        <f t="shared" si="76"/>
        <v>0</v>
      </c>
      <c r="AL110" s="3">
        <f t="shared" si="77"/>
        <v>0</v>
      </c>
      <c r="AM110" s="17" t="str">
        <f>IF(SrcDB[[#This Row],[Pocet zmluv objednavatela]]&gt;3,SrcDB[[#This Row],[Objednavatel]],"Ostatné")</f>
        <v>Ministerstvo školstva, výskumu, vývoja a mládeže SR</v>
      </c>
      <c r="AN110" s="17" t="str">
        <f>IF(SrcDB[[#This Row],[Pocet zmluv dodavatela]]&gt;3,SrcDB[[#This Row],[Dodavatel]],"Ostatné")</f>
        <v>Atos IT Solutions and Services s.r.o. / Eviden Slovakia, s.r.o.</v>
      </c>
    </row>
    <row r="111" spans="1:40" x14ac:dyDescent="0.3">
      <c r="A111" s="2" t="s">
        <v>252</v>
      </c>
      <c r="B111" s="2">
        <v>4590492</v>
      </c>
      <c r="C111" s="3" t="str">
        <f t="shared" si="68"/>
        <v>Nie</v>
      </c>
      <c r="D111" s="3" t="str">
        <f t="shared" si="69"/>
        <v>Áno</v>
      </c>
      <c r="E111" s="3" t="s">
        <v>48</v>
      </c>
      <c r="F111" s="3" t="s">
        <v>49</v>
      </c>
      <c r="G111" s="2" t="str">
        <f t="shared" si="70"/>
        <v>Veľké zmluvy</v>
      </c>
      <c r="H111" s="5" t="s">
        <v>231</v>
      </c>
      <c r="I111" s="2" t="s">
        <v>232</v>
      </c>
      <c r="J111" s="2" t="s">
        <v>233</v>
      </c>
      <c r="K111" s="5">
        <v>45650276</v>
      </c>
      <c r="L111" s="2" t="s">
        <v>234</v>
      </c>
      <c r="M111" s="2" t="s">
        <v>235</v>
      </c>
      <c r="N111" s="6">
        <v>43951</v>
      </c>
      <c r="O111" s="4">
        <v>9864804</v>
      </c>
      <c r="P111" s="2">
        <v>114497</v>
      </c>
      <c r="Q111" s="2" t="s">
        <v>253</v>
      </c>
      <c r="R111" s="2" t="s">
        <v>254</v>
      </c>
      <c r="S111" s="2" t="s">
        <v>98</v>
      </c>
      <c r="T111" s="2" t="s">
        <v>239</v>
      </c>
      <c r="W111" s="4">
        <v>668</v>
      </c>
      <c r="X111" s="4">
        <v>801.6</v>
      </c>
      <c r="Y111" s="4">
        <f t="shared" ref="Y111" si="120">INDEX(InternalRates,MATCH($S111,InternalRates01,FALSE),2)</f>
        <v>278.98333333333335</v>
      </c>
      <c r="Z111" s="3" t="str">
        <f t="shared" si="73"/>
        <v>Nie</v>
      </c>
      <c r="AA111" s="3" t="str">
        <f t="shared" si="74"/>
        <v>SLA</v>
      </c>
      <c r="AD111" s="3" t="s">
        <v>48</v>
      </c>
      <c r="AE111" s="6">
        <v>44417</v>
      </c>
      <c r="AF111" s="3" t="s">
        <v>59</v>
      </c>
      <c r="AG111" s="3" t="s">
        <v>48</v>
      </c>
      <c r="AH111" s="3">
        <f>YEAR(SrcDB[[#This Row],[Datum_zverejnenia]])</f>
        <v>2020</v>
      </c>
      <c r="AI111" s="3" cm="1">
        <f t="array" ref="AI111">COUNT(_xlfn.UNIQUE(_xlfn._xlws.FILTER(SrcDB[ID],SrcDB[Objednavatel_ICO]=$H111)))</f>
        <v>9</v>
      </c>
      <c r="AJ111" s="3" cm="1">
        <f t="array" ref="AJ111">COUNT(_xlfn.UNIQUE(_xlfn._xlws.FILTER(SrcDB[ID],SrcDB[Dodavatel_ICO]=$K111)))</f>
        <v>12</v>
      </c>
      <c r="AK111" s="3">
        <f t="shared" si="76"/>
        <v>0</v>
      </c>
      <c r="AL111" s="3">
        <f t="shared" si="77"/>
        <v>0</v>
      </c>
      <c r="AM111" s="17" t="str">
        <f>IF(SrcDB[[#This Row],[Pocet zmluv objednavatela]]&gt;3,SrcDB[[#This Row],[Objednavatel]],"Ostatné")</f>
        <v>Ministerstvo školstva, výskumu, vývoja a mládeže SR</v>
      </c>
      <c r="AN111" s="17" t="str">
        <f>IF(SrcDB[[#This Row],[Pocet zmluv dodavatela]]&gt;3,SrcDB[[#This Row],[Dodavatel]],"Ostatné")</f>
        <v>Atos IT Solutions and Services s.r.o. / Eviden Slovakia, s.r.o.</v>
      </c>
    </row>
    <row r="112" spans="1:40" x14ac:dyDescent="0.3">
      <c r="A112" s="2" t="s">
        <v>252</v>
      </c>
      <c r="B112" s="2">
        <v>4590492</v>
      </c>
      <c r="C112" s="3" t="str">
        <f t="shared" si="68"/>
        <v>Nie</v>
      </c>
      <c r="D112" s="3" t="str">
        <f t="shared" si="69"/>
        <v>Áno</v>
      </c>
      <c r="E112" s="3" t="s">
        <v>48</v>
      </c>
      <c r="F112" s="3" t="s">
        <v>49</v>
      </c>
      <c r="G112" s="2" t="str">
        <f t="shared" si="70"/>
        <v>Veľké zmluvy</v>
      </c>
      <c r="H112" s="5" t="s">
        <v>231</v>
      </c>
      <c r="I112" s="2" t="s">
        <v>232</v>
      </c>
      <c r="J112" s="2" t="s">
        <v>233</v>
      </c>
      <c r="K112" s="5">
        <v>45650276</v>
      </c>
      <c r="L112" s="2" t="s">
        <v>234</v>
      </c>
      <c r="M112" s="2" t="s">
        <v>235</v>
      </c>
      <c r="N112" s="6">
        <v>43951</v>
      </c>
      <c r="O112" s="4">
        <v>9864804</v>
      </c>
      <c r="P112" s="2">
        <v>114497</v>
      </c>
      <c r="Q112" s="2" t="s">
        <v>253</v>
      </c>
      <c r="R112" s="2" t="s">
        <v>254</v>
      </c>
      <c r="S112" s="2" t="s">
        <v>69</v>
      </c>
      <c r="T112" s="2" t="s">
        <v>70</v>
      </c>
      <c r="W112" s="4">
        <v>668</v>
      </c>
      <c r="X112" s="4">
        <v>801.6</v>
      </c>
      <c r="Y112" s="4">
        <f t="shared" ref="Y112" si="121">INDEX(InternalRates,MATCH($S112,InternalRates01,FALSE),2)</f>
        <v>278.98333333333335</v>
      </c>
      <c r="Z112" s="3" t="str">
        <f t="shared" si="73"/>
        <v>Nie</v>
      </c>
      <c r="AA112" s="3" t="str">
        <f t="shared" si="74"/>
        <v>SLA</v>
      </c>
      <c r="AD112" s="3" t="s">
        <v>48</v>
      </c>
      <c r="AE112" s="6">
        <v>44417</v>
      </c>
      <c r="AF112" s="3" t="s">
        <v>59</v>
      </c>
      <c r="AG112" s="3" t="s">
        <v>48</v>
      </c>
      <c r="AH112" s="3">
        <f>YEAR(SrcDB[[#This Row],[Datum_zverejnenia]])</f>
        <v>2020</v>
      </c>
      <c r="AI112" s="3" cm="1">
        <f t="array" ref="AI112">COUNT(_xlfn.UNIQUE(_xlfn._xlws.FILTER(SrcDB[ID],SrcDB[Objednavatel_ICO]=$H112)))</f>
        <v>9</v>
      </c>
      <c r="AJ112" s="3" cm="1">
        <f t="array" ref="AJ112">COUNT(_xlfn.UNIQUE(_xlfn._xlws.FILTER(SrcDB[ID],SrcDB[Dodavatel_ICO]=$K112)))</f>
        <v>12</v>
      </c>
      <c r="AK112" s="3">
        <f t="shared" si="76"/>
        <v>0</v>
      </c>
      <c r="AL112" s="3">
        <f t="shared" si="77"/>
        <v>0</v>
      </c>
      <c r="AM112" s="17" t="str">
        <f>IF(SrcDB[[#This Row],[Pocet zmluv objednavatela]]&gt;3,SrcDB[[#This Row],[Objednavatel]],"Ostatné")</f>
        <v>Ministerstvo školstva, výskumu, vývoja a mládeže SR</v>
      </c>
      <c r="AN112" s="17" t="str">
        <f>IF(SrcDB[[#This Row],[Pocet zmluv dodavatela]]&gt;3,SrcDB[[#This Row],[Dodavatel]],"Ostatné")</f>
        <v>Atos IT Solutions and Services s.r.o. / Eviden Slovakia, s.r.o.</v>
      </c>
    </row>
    <row r="113" spans="1:40" x14ac:dyDescent="0.3">
      <c r="A113" s="2" t="s">
        <v>252</v>
      </c>
      <c r="B113" s="2">
        <v>4590492</v>
      </c>
      <c r="C113" s="3" t="str">
        <f t="shared" si="68"/>
        <v>Nie</v>
      </c>
      <c r="D113" s="3" t="str">
        <f t="shared" si="69"/>
        <v>Áno</v>
      </c>
      <c r="E113" s="3" t="s">
        <v>48</v>
      </c>
      <c r="F113" s="3" t="s">
        <v>49</v>
      </c>
      <c r="G113" s="2" t="str">
        <f t="shared" si="70"/>
        <v>Veľké zmluvy</v>
      </c>
      <c r="H113" s="5" t="s">
        <v>231</v>
      </c>
      <c r="I113" s="2" t="s">
        <v>232</v>
      </c>
      <c r="J113" s="2" t="s">
        <v>233</v>
      </c>
      <c r="K113" s="5">
        <v>45650276</v>
      </c>
      <c r="L113" s="2" t="s">
        <v>234</v>
      </c>
      <c r="M113" s="2" t="s">
        <v>235</v>
      </c>
      <c r="N113" s="6">
        <v>43951</v>
      </c>
      <c r="O113" s="4">
        <v>9864804</v>
      </c>
      <c r="P113" s="2">
        <v>114497</v>
      </c>
      <c r="Q113" s="2" t="s">
        <v>253</v>
      </c>
      <c r="R113" s="2" t="s">
        <v>254</v>
      </c>
      <c r="S113" s="2" t="s">
        <v>71</v>
      </c>
      <c r="T113" s="2" t="s">
        <v>146</v>
      </c>
      <c r="W113" s="4">
        <v>668</v>
      </c>
      <c r="X113" s="4">
        <v>801.6</v>
      </c>
      <c r="Y113" s="4">
        <f t="shared" ref="Y113" si="122">INDEX(InternalRates,MATCH($S113,InternalRates01,FALSE),2)</f>
        <v>354.0333333333333</v>
      </c>
      <c r="Z113" s="3" t="str">
        <f t="shared" si="73"/>
        <v>Nie</v>
      </c>
      <c r="AA113" s="3" t="str">
        <f t="shared" si="74"/>
        <v>SLA</v>
      </c>
      <c r="AD113" s="3" t="s">
        <v>48</v>
      </c>
      <c r="AE113" s="6">
        <v>44417</v>
      </c>
      <c r="AF113" s="3" t="s">
        <v>59</v>
      </c>
      <c r="AG113" s="3" t="s">
        <v>48</v>
      </c>
      <c r="AH113" s="3">
        <f>YEAR(SrcDB[[#This Row],[Datum_zverejnenia]])</f>
        <v>2020</v>
      </c>
      <c r="AI113" s="3" cm="1">
        <f t="array" ref="AI113">COUNT(_xlfn.UNIQUE(_xlfn._xlws.FILTER(SrcDB[ID],SrcDB[Objednavatel_ICO]=$H113)))</f>
        <v>9</v>
      </c>
      <c r="AJ113" s="3" cm="1">
        <f t="array" ref="AJ113">COUNT(_xlfn.UNIQUE(_xlfn._xlws.FILTER(SrcDB[ID],SrcDB[Dodavatel_ICO]=$K113)))</f>
        <v>12</v>
      </c>
      <c r="AK113" s="3">
        <f t="shared" si="76"/>
        <v>0</v>
      </c>
      <c r="AL113" s="3">
        <f t="shared" si="77"/>
        <v>0</v>
      </c>
      <c r="AM113" s="17" t="str">
        <f>IF(SrcDB[[#This Row],[Pocet zmluv objednavatela]]&gt;3,SrcDB[[#This Row],[Objednavatel]],"Ostatné")</f>
        <v>Ministerstvo školstva, výskumu, vývoja a mládeže SR</v>
      </c>
      <c r="AN113" s="17" t="str">
        <f>IF(SrcDB[[#This Row],[Pocet zmluv dodavatela]]&gt;3,SrcDB[[#This Row],[Dodavatel]],"Ostatné")</f>
        <v>Atos IT Solutions and Services s.r.o. / Eviden Slovakia, s.r.o.</v>
      </c>
    </row>
    <row r="114" spans="1:40" x14ac:dyDescent="0.3">
      <c r="A114" s="2" t="s">
        <v>252</v>
      </c>
      <c r="B114" s="2">
        <v>4590492</v>
      </c>
      <c r="C114" s="3" t="str">
        <f t="shared" si="68"/>
        <v>Nie</v>
      </c>
      <c r="D114" s="3" t="str">
        <f t="shared" si="69"/>
        <v>Áno</v>
      </c>
      <c r="E114" s="3" t="s">
        <v>48</v>
      </c>
      <c r="F114" s="3" t="s">
        <v>49</v>
      </c>
      <c r="G114" s="2" t="str">
        <f t="shared" si="70"/>
        <v>Veľké zmluvy</v>
      </c>
      <c r="H114" s="5" t="s">
        <v>231</v>
      </c>
      <c r="I114" s="2" t="s">
        <v>232</v>
      </c>
      <c r="J114" s="2" t="s">
        <v>233</v>
      </c>
      <c r="K114" s="5">
        <v>45650276</v>
      </c>
      <c r="L114" s="2" t="s">
        <v>234</v>
      </c>
      <c r="M114" s="2" t="s">
        <v>235</v>
      </c>
      <c r="N114" s="6">
        <v>43951</v>
      </c>
      <c r="O114" s="4">
        <v>9864804</v>
      </c>
      <c r="P114" s="2">
        <v>114497</v>
      </c>
      <c r="Q114" s="2" t="s">
        <v>253</v>
      </c>
      <c r="R114" s="2" t="s">
        <v>254</v>
      </c>
      <c r="S114" s="2" t="s">
        <v>73</v>
      </c>
      <c r="T114" s="2" t="s">
        <v>240</v>
      </c>
      <c r="W114" s="4">
        <v>668</v>
      </c>
      <c r="X114" s="4">
        <v>801.6</v>
      </c>
      <c r="Y114" s="4">
        <f t="shared" ref="Y114" si="123">INDEX(InternalRates,MATCH($S114,InternalRates01,FALSE),2)</f>
        <v>278.98333333333335</v>
      </c>
      <c r="Z114" s="3" t="str">
        <f t="shared" si="73"/>
        <v>Nie</v>
      </c>
      <c r="AA114" s="3" t="str">
        <f t="shared" si="74"/>
        <v>SLA</v>
      </c>
      <c r="AD114" s="3" t="s">
        <v>48</v>
      </c>
      <c r="AE114" s="6">
        <v>44417</v>
      </c>
      <c r="AF114" s="3" t="s">
        <v>59</v>
      </c>
      <c r="AG114" s="3" t="s">
        <v>48</v>
      </c>
      <c r="AH114" s="3">
        <f>YEAR(SrcDB[[#This Row],[Datum_zverejnenia]])</f>
        <v>2020</v>
      </c>
      <c r="AI114" s="3" cm="1">
        <f t="array" ref="AI114">COUNT(_xlfn.UNIQUE(_xlfn._xlws.FILTER(SrcDB[ID],SrcDB[Objednavatel_ICO]=$H114)))</f>
        <v>9</v>
      </c>
      <c r="AJ114" s="3" cm="1">
        <f t="array" ref="AJ114">COUNT(_xlfn.UNIQUE(_xlfn._xlws.FILTER(SrcDB[ID],SrcDB[Dodavatel_ICO]=$K114)))</f>
        <v>12</v>
      </c>
      <c r="AK114" s="3">
        <f t="shared" si="76"/>
        <v>0</v>
      </c>
      <c r="AL114" s="3">
        <f t="shared" si="77"/>
        <v>0</v>
      </c>
      <c r="AM114" s="17" t="str">
        <f>IF(SrcDB[[#This Row],[Pocet zmluv objednavatela]]&gt;3,SrcDB[[#This Row],[Objednavatel]],"Ostatné")</f>
        <v>Ministerstvo školstva, výskumu, vývoja a mládeže SR</v>
      </c>
      <c r="AN114" s="17" t="str">
        <f>IF(SrcDB[[#This Row],[Pocet zmluv dodavatela]]&gt;3,SrcDB[[#This Row],[Dodavatel]],"Ostatné")</f>
        <v>Atos IT Solutions and Services s.r.o. / Eviden Slovakia, s.r.o.</v>
      </c>
    </row>
    <row r="115" spans="1:40" x14ac:dyDescent="0.3">
      <c r="A115" s="2" t="s">
        <v>252</v>
      </c>
      <c r="B115" s="2">
        <v>4590492</v>
      </c>
      <c r="C115" s="3" t="str">
        <f t="shared" si="68"/>
        <v>Nie</v>
      </c>
      <c r="D115" s="3" t="str">
        <f t="shared" si="69"/>
        <v>Áno</v>
      </c>
      <c r="E115" s="3" t="s">
        <v>48</v>
      </c>
      <c r="F115" s="3" t="s">
        <v>49</v>
      </c>
      <c r="G115" s="2" t="str">
        <f t="shared" si="70"/>
        <v>Veľké zmluvy</v>
      </c>
      <c r="H115" s="5" t="s">
        <v>231</v>
      </c>
      <c r="I115" s="2" t="s">
        <v>232</v>
      </c>
      <c r="J115" s="2" t="s">
        <v>233</v>
      </c>
      <c r="K115" s="5">
        <v>45650276</v>
      </c>
      <c r="L115" s="2" t="s">
        <v>234</v>
      </c>
      <c r="M115" s="2" t="s">
        <v>235</v>
      </c>
      <c r="N115" s="6">
        <v>43951</v>
      </c>
      <c r="O115" s="4">
        <v>9864804</v>
      </c>
      <c r="P115" s="2">
        <v>114497</v>
      </c>
      <c r="Q115" s="2" t="s">
        <v>253</v>
      </c>
      <c r="R115" s="2" t="s">
        <v>254</v>
      </c>
      <c r="S115" s="2" t="s">
        <v>56</v>
      </c>
      <c r="T115" s="2" t="s">
        <v>241</v>
      </c>
      <c r="U115" s="2" t="s">
        <v>208</v>
      </c>
      <c r="W115" s="4">
        <v>668</v>
      </c>
      <c r="X115" s="4">
        <v>801.6</v>
      </c>
      <c r="Y115" s="4">
        <f t="shared" ref="Y115" si="124">INDEX(InternalRates,MATCH($S115,InternalRates01,FALSE),2)</f>
        <v>278.98333333333335</v>
      </c>
      <c r="Z115" s="3" t="str">
        <f t="shared" si="73"/>
        <v>Nie</v>
      </c>
      <c r="AA115" s="3" t="str">
        <f t="shared" si="74"/>
        <v>SLA</v>
      </c>
      <c r="AD115" s="3" t="s">
        <v>48</v>
      </c>
      <c r="AE115" s="6">
        <v>44417</v>
      </c>
      <c r="AF115" s="3" t="s">
        <v>59</v>
      </c>
      <c r="AG115" s="3" t="s">
        <v>48</v>
      </c>
      <c r="AH115" s="3">
        <f>YEAR(SrcDB[[#This Row],[Datum_zverejnenia]])</f>
        <v>2020</v>
      </c>
      <c r="AI115" s="3" cm="1">
        <f t="array" ref="AI115">COUNT(_xlfn.UNIQUE(_xlfn._xlws.FILTER(SrcDB[ID],SrcDB[Objednavatel_ICO]=$H115)))</f>
        <v>9</v>
      </c>
      <c r="AJ115" s="3" cm="1">
        <f t="array" ref="AJ115">COUNT(_xlfn.UNIQUE(_xlfn._xlws.FILTER(SrcDB[ID],SrcDB[Dodavatel_ICO]=$K115)))</f>
        <v>12</v>
      </c>
      <c r="AK115" s="3">
        <f t="shared" si="76"/>
        <v>0</v>
      </c>
      <c r="AL115" s="3">
        <f t="shared" si="77"/>
        <v>0</v>
      </c>
      <c r="AM115" s="17" t="str">
        <f>IF(SrcDB[[#This Row],[Pocet zmluv objednavatela]]&gt;3,SrcDB[[#This Row],[Objednavatel]],"Ostatné")</f>
        <v>Ministerstvo školstva, výskumu, vývoja a mládeže SR</v>
      </c>
      <c r="AN115" s="17" t="str">
        <f>IF(SrcDB[[#This Row],[Pocet zmluv dodavatela]]&gt;3,SrcDB[[#This Row],[Dodavatel]],"Ostatné")</f>
        <v>Atos IT Solutions and Services s.r.o. / Eviden Slovakia, s.r.o.</v>
      </c>
    </row>
    <row r="116" spans="1:40" x14ac:dyDescent="0.3">
      <c r="A116" s="2" t="s">
        <v>252</v>
      </c>
      <c r="B116" s="2">
        <v>4590492</v>
      </c>
      <c r="C116" s="3" t="str">
        <f t="shared" si="68"/>
        <v>Nie</v>
      </c>
      <c r="D116" s="3" t="str">
        <f t="shared" si="69"/>
        <v>Áno</v>
      </c>
      <c r="E116" s="3" t="s">
        <v>48</v>
      </c>
      <c r="F116" s="3" t="s">
        <v>49</v>
      </c>
      <c r="G116" s="2" t="str">
        <f t="shared" si="70"/>
        <v>Veľké zmluvy</v>
      </c>
      <c r="H116" s="5" t="s">
        <v>231</v>
      </c>
      <c r="I116" s="2" t="s">
        <v>232</v>
      </c>
      <c r="J116" s="2" t="s">
        <v>233</v>
      </c>
      <c r="K116" s="5">
        <v>45650276</v>
      </c>
      <c r="L116" s="2" t="s">
        <v>234</v>
      </c>
      <c r="M116" s="2" t="s">
        <v>235</v>
      </c>
      <c r="N116" s="6">
        <v>43951</v>
      </c>
      <c r="O116" s="4">
        <v>9864804</v>
      </c>
      <c r="P116" s="2">
        <v>114497</v>
      </c>
      <c r="Q116" s="2" t="s">
        <v>253</v>
      </c>
      <c r="R116" s="2" t="s">
        <v>254</v>
      </c>
      <c r="S116" s="2" t="s">
        <v>56</v>
      </c>
      <c r="T116" s="2" t="s">
        <v>242</v>
      </c>
      <c r="U116" s="2" t="s">
        <v>129</v>
      </c>
      <c r="W116" s="4">
        <v>668</v>
      </c>
      <c r="X116" s="4">
        <v>801.6</v>
      </c>
      <c r="Y116" s="4">
        <f t="shared" ref="Y116" si="125">INDEX(InternalRates,MATCH($S116,InternalRates01,FALSE),2)</f>
        <v>278.98333333333335</v>
      </c>
      <c r="Z116" s="3" t="str">
        <f t="shared" si="73"/>
        <v>Nie</v>
      </c>
      <c r="AA116" s="3" t="str">
        <f t="shared" si="74"/>
        <v>SLA</v>
      </c>
      <c r="AD116" s="3" t="s">
        <v>48</v>
      </c>
      <c r="AE116" s="6">
        <v>44417</v>
      </c>
      <c r="AF116" s="3" t="s">
        <v>59</v>
      </c>
      <c r="AG116" s="3" t="s">
        <v>48</v>
      </c>
      <c r="AH116" s="3">
        <f>YEAR(SrcDB[[#This Row],[Datum_zverejnenia]])</f>
        <v>2020</v>
      </c>
      <c r="AI116" s="3" cm="1">
        <f t="array" ref="AI116">COUNT(_xlfn.UNIQUE(_xlfn._xlws.FILTER(SrcDB[ID],SrcDB[Objednavatel_ICO]=$H116)))</f>
        <v>9</v>
      </c>
      <c r="AJ116" s="3" cm="1">
        <f t="array" ref="AJ116">COUNT(_xlfn.UNIQUE(_xlfn._xlws.FILTER(SrcDB[ID],SrcDB[Dodavatel_ICO]=$K116)))</f>
        <v>12</v>
      </c>
      <c r="AK116" s="3">
        <f t="shared" si="76"/>
        <v>0</v>
      </c>
      <c r="AL116" s="3">
        <f t="shared" si="77"/>
        <v>0</v>
      </c>
      <c r="AM116" s="17" t="str">
        <f>IF(SrcDB[[#This Row],[Pocet zmluv objednavatela]]&gt;3,SrcDB[[#This Row],[Objednavatel]],"Ostatné")</f>
        <v>Ministerstvo školstva, výskumu, vývoja a mládeže SR</v>
      </c>
      <c r="AN116" s="17" t="str">
        <f>IF(SrcDB[[#This Row],[Pocet zmluv dodavatela]]&gt;3,SrcDB[[#This Row],[Dodavatel]],"Ostatné")</f>
        <v>Atos IT Solutions and Services s.r.o. / Eviden Slovakia, s.r.o.</v>
      </c>
    </row>
    <row r="117" spans="1:40" x14ac:dyDescent="0.3">
      <c r="A117" s="2" t="s">
        <v>252</v>
      </c>
      <c r="B117" s="2">
        <v>4590492</v>
      </c>
      <c r="C117" s="3" t="str">
        <f t="shared" si="68"/>
        <v>Nie</v>
      </c>
      <c r="D117" s="3" t="str">
        <f t="shared" si="69"/>
        <v>Áno</v>
      </c>
      <c r="E117" s="3" t="s">
        <v>48</v>
      </c>
      <c r="F117" s="3" t="s">
        <v>49</v>
      </c>
      <c r="G117" s="2" t="str">
        <f t="shared" si="70"/>
        <v>Veľké zmluvy</v>
      </c>
      <c r="H117" s="5" t="s">
        <v>231</v>
      </c>
      <c r="I117" s="2" t="s">
        <v>232</v>
      </c>
      <c r="J117" s="2" t="s">
        <v>233</v>
      </c>
      <c r="K117" s="5">
        <v>45650276</v>
      </c>
      <c r="L117" s="2" t="s">
        <v>234</v>
      </c>
      <c r="M117" s="2" t="s">
        <v>235</v>
      </c>
      <c r="N117" s="6">
        <v>43951</v>
      </c>
      <c r="O117" s="4">
        <v>9864804</v>
      </c>
      <c r="P117" s="2">
        <v>114497</v>
      </c>
      <c r="Q117" s="2" t="s">
        <v>253</v>
      </c>
      <c r="R117" s="2" t="s">
        <v>254</v>
      </c>
      <c r="S117" s="2" t="s">
        <v>56</v>
      </c>
      <c r="T117" s="2" t="s">
        <v>243</v>
      </c>
      <c r="U117" s="2" t="s">
        <v>129</v>
      </c>
      <c r="W117" s="4">
        <v>668</v>
      </c>
      <c r="X117" s="4">
        <v>801.6</v>
      </c>
      <c r="Y117" s="4">
        <f t="shared" ref="Y117" si="126">INDEX(InternalRates,MATCH($S117,InternalRates01,FALSE),2)</f>
        <v>278.98333333333335</v>
      </c>
      <c r="Z117" s="3" t="str">
        <f t="shared" si="73"/>
        <v>Nie</v>
      </c>
      <c r="AA117" s="3" t="str">
        <f t="shared" si="74"/>
        <v>SLA</v>
      </c>
      <c r="AD117" s="3" t="s">
        <v>48</v>
      </c>
      <c r="AE117" s="6">
        <v>44417</v>
      </c>
      <c r="AF117" s="3" t="s">
        <v>59</v>
      </c>
      <c r="AG117" s="3" t="s">
        <v>48</v>
      </c>
      <c r="AH117" s="3">
        <f>YEAR(SrcDB[[#This Row],[Datum_zverejnenia]])</f>
        <v>2020</v>
      </c>
      <c r="AI117" s="3" cm="1">
        <f t="array" ref="AI117">COUNT(_xlfn.UNIQUE(_xlfn._xlws.FILTER(SrcDB[ID],SrcDB[Objednavatel_ICO]=$H117)))</f>
        <v>9</v>
      </c>
      <c r="AJ117" s="3" cm="1">
        <f t="array" ref="AJ117">COUNT(_xlfn.UNIQUE(_xlfn._xlws.FILTER(SrcDB[ID],SrcDB[Dodavatel_ICO]=$K117)))</f>
        <v>12</v>
      </c>
      <c r="AK117" s="3">
        <f t="shared" si="76"/>
        <v>0</v>
      </c>
      <c r="AL117" s="3">
        <f t="shared" si="77"/>
        <v>0</v>
      </c>
      <c r="AM117" s="17" t="str">
        <f>IF(SrcDB[[#This Row],[Pocet zmluv objednavatela]]&gt;3,SrcDB[[#This Row],[Objednavatel]],"Ostatné")</f>
        <v>Ministerstvo školstva, výskumu, vývoja a mládeže SR</v>
      </c>
      <c r="AN117" s="17" t="str">
        <f>IF(SrcDB[[#This Row],[Pocet zmluv dodavatela]]&gt;3,SrcDB[[#This Row],[Dodavatel]],"Ostatné")</f>
        <v>Atos IT Solutions and Services s.r.o. / Eviden Slovakia, s.r.o.</v>
      </c>
    </row>
    <row r="118" spans="1:40" x14ac:dyDescent="0.3">
      <c r="A118" s="2" t="s">
        <v>252</v>
      </c>
      <c r="B118" s="2">
        <v>4590492</v>
      </c>
      <c r="C118" s="3" t="str">
        <f t="shared" si="68"/>
        <v>Nie</v>
      </c>
      <c r="D118" s="3" t="str">
        <f t="shared" si="69"/>
        <v>Áno</v>
      </c>
      <c r="E118" s="3" t="s">
        <v>48</v>
      </c>
      <c r="F118" s="3" t="s">
        <v>49</v>
      </c>
      <c r="G118" s="2" t="str">
        <f t="shared" si="70"/>
        <v>Veľké zmluvy</v>
      </c>
      <c r="H118" s="5" t="s">
        <v>231</v>
      </c>
      <c r="I118" s="2" t="s">
        <v>232</v>
      </c>
      <c r="J118" s="2" t="s">
        <v>233</v>
      </c>
      <c r="K118" s="5">
        <v>45650276</v>
      </c>
      <c r="L118" s="2" t="s">
        <v>234</v>
      </c>
      <c r="M118" s="2" t="s">
        <v>235</v>
      </c>
      <c r="N118" s="6">
        <v>43951</v>
      </c>
      <c r="O118" s="4">
        <v>9864804</v>
      </c>
      <c r="P118" s="2">
        <v>114497</v>
      </c>
      <c r="Q118" s="2" t="s">
        <v>253</v>
      </c>
      <c r="R118" s="2" t="s">
        <v>254</v>
      </c>
      <c r="S118" s="2" t="s">
        <v>56</v>
      </c>
      <c r="T118" s="2" t="s">
        <v>244</v>
      </c>
      <c r="U118" s="2" t="s">
        <v>129</v>
      </c>
      <c r="W118" s="4">
        <v>668</v>
      </c>
      <c r="X118" s="4">
        <v>801.6</v>
      </c>
      <c r="Y118" s="4">
        <f t="shared" ref="Y118" si="127">INDEX(InternalRates,MATCH($S118,InternalRates01,FALSE),2)</f>
        <v>278.98333333333335</v>
      </c>
      <c r="Z118" s="3" t="str">
        <f t="shared" si="73"/>
        <v>Nie</v>
      </c>
      <c r="AA118" s="3" t="str">
        <f t="shared" si="74"/>
        <v>SLA</v>
      </c>
      <c r="AD118" s="3" t="s">
        <v>48</v>
      </c>
      <c r="AE118" s="6">
        <v>44417</v>
      </c>
      <c r="AF118" s="3" t="s">
        <v>59</v>
      </c>
      <c r="AG118" s="3" t="s">
        <v>48</v>
      </c>
      <c r="AH118" s="3">
        <f>YEAR(SrcDB[[#This Row],[Datum_zverejnenia]])</f>
        <v>2020</v>
      </c>
      <c r="AI118" s="3" cm="1">
        <f t="array" ref="AI118">COUNT(_xlfn.UNIQUE(_xlfn._xlws.FILTER(SrcDB[ID],SrcDB[Objednavatel_ICO]=$H118)))</f>
        <v>9</v>
      </c>
      <c r="AJ118" s="3" cm="1">
        <f t="array" ref="AJ118">COUNT(_xlfn.UNIQUE(_xlfn._xlws.FILTER(SrcDB[ID],SrcDB[Dodavatel_ICO]=$K118)))</f>
        <v>12</v>
      </c>
      <c r="AK118" s="3">
        <f t="shared" si="76"/>
        <v>0</v>
      </c>
      <c r="AL118" s="3">
        <f t="shared" si="77"/>
        <v>0</v>
      </c>
      <c r="AM118" s="17" t="str">
        <f>IF(SrcDB[[#This Row],[Pocet zmluv objednavatela]]&gt;3,SrcDB[[#This Row],[Objednavatel]],"Ostatné")</f>
        <v>Ministerstvo školstva, výskumu, vývoja a mládeže SR</v>
      </c>
      <c r="AN118" s="17" t="str">
        <f>IF(SrcDB[[#This Row],[Pocet zmluv dodavatela]]&gt;3,SrcDB[[#This Row],[Dodavatel]],"Ostatné")</f>
        <v>Atos IT Solutions and Services s.r.o. / Eviden Slovakia, s.r.o.</v>
      </c>
    </row>
    <row r="119" spans="1:40" x14ac:dyDescent="0.3">
      <c r="A119" s="2" t="s">
        <v>252</v>
      </c>
      <c r="B119" s="2">
        <v>4590492</v>
      </c>
      <c r="C119" s="3" t="str">
        <f t="shared" si="68"/>
        <v>Nie</v>
      </c>
      <c r="D119" s="3" t="str">
        <f t="shared" si="69"/>
        <v>Áno</v>
      </c>
      <c r="E119" s="3" t="s">
        <v>48</v>
      </c>
      <c r="F119" s="3" t="s">
        <v>49</v>
      </c>
      <c r="G119" s="2" t="str">
        <f t="shared" si="70"/>
        <v>Veľké zmluvy</v>
      </c>
      <c r="H119" s="5" t="s">
        <v>231</v>
      </c>
      <c r="I119" s="2" t="s">
        <v>232</v>
      </c>
      <c r="J119" s="2" t="s">
        <v>233</v>
      </c>
      <c r="K119" s="5">
        <v>45650276</v>
      </c>
      <c r="L119" s="2" t="s">
        <v>234</v>
      </c>
      <c r="M119" s="2" t="s">
        <v>235</v>
      </c>
      <c r="N119" s="6">
        <v>43951</v>
      </c>
      <c r="O119" s="4">
        <v>9864804</v>
      </c>
      <c r="P119" s="2">
        <v>114497</v>
      </c>
      <c r="Q119" s="2" t="s">
        <v>253</v>
      </c>
      <c r="R119" s="2" t="s">
        <v>254</v>
      </c>
      <c r="S119" s="2" t="s">
        <v>56</v>
      </c>
      <c r="T119" s="2" t="s">
        <v>245</v>
      </c>
      <c r="U119" s="2" t="s">
        <v>129</v>
      </c>
      <c r="W119" s="4">
        <v>668</v>
      </c>
      <c r="X119" s="4">
        <v>801.6</v>
      </c>
      <c r="Y119" s="4">
        <f t="shared" ref="Y119" si="128">INDEX(InternalRates,MATCH($S119,InternalRates01,FALSE),2)</f>
        <v>278.98333333333335</v>
      </c>
      <c r="Z119" s="3" t="str">
        <f t="shared" si="73"/>
        <v>Nie</v>
      </c>
      <c r="AA119" s="3" t="str">
        <f t="shared" si="74"/>
        <v>SLA</v>
      </c>
      <c r="AD119" s="3" t="s">
        <v>48</v>
      </c>
      <c r="AE119" s="6">
        <v>44417</v>
      </c>
      <c r="AF119" s="3" t="s">
        <v>59</v>
      </c>
      <c r="AG119" s="3" t="s">
        <v>48</v>
      </c>
      <c r="AH119" s="3">
        <f>YEAR(SrcDB[[#This Row],[Datum_zverejnenia]])</f>
        <v>2020</v>
      </c>
      <c r="AI119" s="3" cm="1">
        <f t="array" ref="AI119">COUNT(_xlfn.UNIQUE(_xlfn._xlws.FILTER(SrcDB[ID],SrcDB[Objednavatel_ICO]=$H119)))</f>
        <v>9</v>
      </c>
      <c r="AJ119" s="3" cm="1">
        <f t="array" ref="AJ119">COUNT(_xlfn.UNIQUE(_xlfn._xlws.FILTER(SrcDB[ID],SrcDB[Dodavatel_ICO]=$K119)))</f>
        <v>12</v>
      </c>
      <c r="AK119" s="3">
        <f t="shared" si="76"/>
        <v>0</v>
      </c>
      <c r="AL119" s="3">
        <f t="shared" si="77"/>
        <v>0</v>
      </c>
      <c r="AM119" s="17" t="str">
        <f>IF(SrcDB[[#This Row],[Pocet zmluv objednavatela]]&gt;3,SrcDB[[#This Row],[Objednavatel]],"Ostatné")</f>
        <v>Ministerstvo školstva, výskumu, vývoja a mládeže SR</v>
      </c>
      <c r="AN119" s="17" t="str">
        <f>IF(SrcDB[[#This Row],[Pocet zmluv dodavatela]]&gt;3,SrcDB[[#This Row],[Dodavatel]],"Ostatné")</f>
        <v>Atos IT Solutions and Services s.r.o. / Eviden Slovakia, s.r.o.</v>
      </c>
    </row>
    <row r="120" spans="1:40" x14ac:dyDescent="0.3">
      <c r="A120" s="2" t="s">
        <v>252</v>
      </c>
      <c r="B120" s="2">
        <v>4590492</v>
      </c>
      <c r="C120" s="3" t="str">
        <f t="shared" si="68"/>
        <v>Nie</v>
      </c>
      <c r="D120" s="3" t="str">
        <f t="shared" si="69"/>
        <v>Áno</v>
      </c>
      <c r="E120" s="3" t="s">
        <v>48</v>
      </c>
      <c r="F120" s="3" t="s">
        <v>49</v>
      </c>
      <c r="G120" s="2" t="str">
        <f t="shared" si="70"/>
        <v>Veľké zmluvy</v>
      </c>
      <c r="H120" s="5" t="s">
        <v>231</v>
      </c>
      <c r="I120" s="2" t="s">
        <v>232</v>
      </c>
      <c r="J120" s="2" t="s">
        <v>233</v>
      </c>
      <c r="K120" s="5">
        <v>45650276</v>
      </c>
      <c r="L120" s="2" t="s">
        <v>234</v>
      </c>
      <c r="M120" s="2" t="s">
        <v>235</v>
      </c>
      <c r="N120" s="6">
        <v>43951</v>
      </c>
      <c r="O120" s="4">
        <v>9864804</v>
      </c>
      <c r="P120" s="2">
        <v>114497</v>
      </c>
      <c r="Q120" s="2" t="s">
        <v>253</v>
      </c>
      <c r="R120" s="2" t="s">
        <v>254</v>
      </c>
      <c r="S120" s="2" t="s">
        <v>56</v>
      </c>
      <c r="T120" s="2" t="s">
        <v>255</v>
      </c>
      <c r="U120" s="2" t="s">
        <v>129</v>
      </c>
      <c r="W120" s="4">
        <v>668</v>
      </c>
      <c r="X120" s="4">
        <v>801.6</v>
      </c>
      <c r="Y120" s="4">
        <f t="shared" ref="Y120" si="129">INDEX(InternalRates,MATCH($S120,InternalRates01,FALSE),2)</f>
        <v>278.98333333333335</v>
      </c>
      <c r="Z120" s="3" t="str">
        <f t="shared" si="73"/>
        <v>Nie</v>
      </c>
      <c r="AA120" s="3" t="str">
        <f t="shared" si="74"/>
        <v>SLA</v>
      </c>
      <c r="AD120" s="3" t="s">
        <v>48</v>
      </c>
      <c r="AE120" s="6">
        <v>44417</v>
      </c>
      <c r="AF120" s="3" t="s">
        <v>59</v>
      </c>
      <c r="AG120" s="3" t="s">
        <v>48</v>
      </c>
      <c r="AH120" s="3">
        <f>YEAR(SrcDB[[#This Row],[Datum_zverejnenia]])</f>
        <v>2020</v>
      </c>
      <c r="AI120" s="3" cm="1">
        <f t="array" ref="AI120">COUNT(_xlfn.UNIQUE(_xlfn._xlws.FILTER(SrcDB[ID],SrcDB[Objednavatel_ICO]=$H120)))</f>
        <v>9</v>
      </c>
      <c r="AJ120" s="3" cm="1">
        <f t="array" ref="AJ120">COUNT(_xlfn.UNIQUE(_xlfn._xlws.FILTER(SrcDB[ID],SrcDB[Dodavatel_ICO]=$K120)))</f>
        <v>12</v>
      </c>
      <c r="AK120" s="3">
        <f t="shared" si="76"/>
        <v>0</v>
      </c>
      <c r="AL120" s="3">
        <f t="shared" si="77"/>
        <v>0</v>
      </c>
      <c r="AM120" s="17" t="str">
        <f>IF(SrcDB[[#This Row],[Pocet zmluv objednavatela]]&gt;3,SrcDB[[#This Row],[Objednavatel]],"Ostatné")</f>
        <v>Ministerstvo školstva, výskumu, vývoja a mládeže SR</v>
      </c>
      <c r="AN120" s="17" t="str">
        <f>IF(SrcDB[[#This Row],[Pocet zmluv dodavatela]]&gt;3,SrcDB[[#This Row],[Dodavatel]],"Ostatné")</f>
        <v>Atos IT Solutions and Services s.r.o. / Eviden Slovakia, s.r.o.</v>
      </c>
    </row>
    <row r="121" spans="1:40" x14ac:dyDescent="0.3">
      <c r="A121" s="2" t="s">
        <v>252</v>
      </c>
      <c r="B121" s="2">
        <v>4590492</v>
      </c>
      <c r="C121" s="3" t="str">
        <f t="shared" si="68"/>
        <v>Nie</v>
      </c>
      <c r="D121" s="3" t="str">
        <f t="shared" si="69"/>
        <v>Áno</v>
      </c>
      <c r="E121" s="3" t="s">
        <v>48</v>
      </c>
      <c r="F121" s="3" t="s">
        <v>49</v>
      </c>
      <c r="G121" s="2" t="str">
        <f t="shared" si="70"/>
        <v>Veľké zmluvy</v>
      </c>
      <c r="H121" s="5" t="s">
        <v>231</v>
      </c>
      <c r="I121" s="2" t="s">
        <v>232</v>
      </c>
      <c r="J121" s="2" t="s">
        <v>233</v>
      </c>
      <c r="K121" s="5">
        <v>45650276</v>
      </c>
      <c r="L121" s="2" t="s">
        <v>234</v>
      </c>
      <c r="M121" s="2" t="s">
        <v>235</v>
      </c>
      <c r="N121" s="6">
        <v>43951</v>
      </c>
      <c r="O121" s="4">
        <v>9864804</v>
      </c>
      <c r="P121" s="2">
        <v>114497</v>
      </c>
      <c r="Q121" s="2" t="s">
        <v>253</v>
      </c>
      <c r="R121" s="2" t="s">
        <v>254</v>
      </c>
      <c r="S121" s="2" t="s">
        <v>56</v>
      </c>
      <c r="T121" s="2" t="s">
        <v>247</v>
      </c>
      <c r="U121" s="2" t="s">
        <v>129</v>
      </c>
      <c r="W121" s="4">
        <v>668</v>
      </c>
      <c r="X121" s="4">
        <v>801.6</v>
      </c>
      <c r="Y121" s="4">
        <f t="shared" ref="Y121" si="130">INDEX(InternalRates,MATCH($S121,InternalRates01,FALSE),2)</f>
        <v>278.98333333333335</v>
      </c>
      <c r="Z121" s="3" t="str">
        <f t="shared" si="73"/>
        <v>Nie</v>
      </c>
      <c r="AA121" s="3" t="str">
        <f t="shared" si="74"/>
        <v>SLA</v>
      </c>
      <c r="AD121" s="3" t="s">
        <v>48</v>
      </c>
      <c r="AE121" s="6">
        <v>44417</v>
      </c>
      <c r="AF121" s="3" t="s">
        <v>59</v>
      </c>
      <c r="AG121" s="3" t="s">
        <v>48</v>
      </c>
      <c r="AH121" s="3">
        <f>YEAR(SrcDB[[#This Row],[Datum_zverejnenia]])</f>
        <v>2020</v>
      </c>
      <c r="AI121" s="3" cm="1">
        <f t="array" ref="AI121">COUNT(_xlfn.UNIQUE(_xlfn._xlws.FILTER(SrcDB[ID],SrcDB[Objednavatel_ICO]=$H121)))</f>
        <v>9</v>
      </c>
      <c r="AJ121" s="3" cm="1">
        <f t="array" ref="AJ121">COUNT(_xlfn.UNIQUE(_xlfn._xlws.FILTER(SrcDB[ID],SrcDB[Dodavatel_ICO]=$K121)))</f>
        <v>12</v>
      </c>
      <c r="AK121" s="3">
        <f t="shared" si="76"/>
        <v>0</v>
      </c>
      <c r="AL121" s="3">
        <f t="shared" si="77"/>
        <v>0</v>
      </c>
      <c r="AM121" s="17" t="str">
        <f>IF(SrcDB[[#This Row],[Pocet zmluv objednavatela]]&gt;3,SrcDB[[#This Row],[Objednavatel]],"Ostatné")</f>
        <v>Ministerstvo školstva, výskumu, vývoja a mládeže SR</v>
      </c>
      <c r="AN121" s="17" t="str">
        <f>IF(SrcDB[[#This Row],[Pocet zmluv dodavatela]]&gt;3,SrcDB[[#This Row],[Dodavatel]],"Ostatné")</f>
        <v>Atos IT Solutions and Services s.r.o. / Eviden Slovakia, s.r.o.</v>
      </c>
    </row>
    <row r="122" spans="1:40" x14ac:dyDescent="0.3">
      <c r="A122" s="2" t="s">
        <v>252</v>
      </c>
      <c r="B122" s="2">
        <v>4590492</v>
      </c>
      <c r="C122" s="3" t="str">
        <f t="shared" si="68"/>
        <v>Nie</v>
      </c>
      <c r="D122" s="3" t="str">
        <f t="shared" si="69"/>
        <v>Áno</v>
      </c>
      <c r="E122" s="3" t="s">
        <v>48</v>
      </c>
      <c r="F122" s="3" t="s">
        <v>49</v>
      </c>
      <c r="G122" s="2" t="str">
        <f t="shared" si="70"/>
        <v>Veľké zmluvy</v>
      </c>
      <c r="H122" s="5" t="s">
        <v>231</v>
      </c>
      <c r="I122" s="2" t="s">
        <v>232</v>
      </c>
      <c r="J122" s="2" t="s">
        <v>233</v>
      </c>
      <c r="K122" s="5">
        <v>45650276</v>
      </c>
      <c r="L122" s="2" t="s">
        <v>234</v>
      </c>
      <c r="M122" s="2" t="s">
        <v>235</v>
      </c>
      <c r="N122" s="6">
        <v>43951</v>
      </c>
      <c r="O122" s="4">
        <v>9864804</v>
      </c>
      <c r="P122" s="2">
        <v>114497</v>
      </c>
      <c r="Q122" s="2" t="s">
        <v>253</v>
      </c>
      <c r="R122" s="2" t="s">
        <v>254</v>
      </c>
      <c r="S122" s="2" t="s">
        <v>56</v>
      </c>
      <c r="T122" s="2" t="s">
        <v>248</v>
      </c>
      <c r="U122" s="2" t="s">
        <v>129</v>
      </c>
      <c r="W122" s="4">
        <v>668</v>
      </c>
      <c r="X122" s="4">
        <v>801.6</v>
      </c>
      <c r="Y122" s="4">
        <f t="shared" ref="Y122" si="131">INDEX(InternalRates,MATCH($S122,InternalRates01,FALSE),2)</f>
        <v>278.98333333333335</v>
      </c>
      <c r="Z122" s="3" t="str">
        <f t="shared" si="73"/>
        <v>Nie</v>
      </c>
      <c r="AA122" s="3" t="str">
        <f t="shared" si="74"/>
        <v>SLA</v>
      </c>
      <c r="AD122" s="3" t="s">
        <v>48</v>
      </c>
      <c r="AE122" s="6">
        <v>44417</v>
      </c>
      <c r="AF122" s="3" t="s">
        <v>59</v>
      </c>
      <c r="AG122" s="3" t="s">
        <v>48</v>
      </c>
      <c r="AH122" s="3">
        <f>YEAR(SrcDB[[#This Row],[Datum_zverejnenia]])</f>
        <v>2020</v>
      </c>
      <c r="AI122" s="3" cm="1">
        <f t="array" ref="AI122">COUNT(_xlfn.UNIQUE(_xlfn._xlws.FILTER(SrcDB[ID],SrcDB[Objednavatel_ICO]=$H122)))</f>
        <v>9</v>
      </c>
      <c r="AJ122" s="3" cm="1">
        <f t="array" ref="AJ122">COUNT(_xlfn.UNIQUE(_xlfn._xlws.FILTER(SrcDB[ID],SrcDB[Dodavatel_ICO]=$K122)))</f>
        <v>12</v>
      </c>
      <c r="AK122" s="3">
        <f t="shared" si="76"/>
        <v>0</v>
      </c>
      <c r="AL122" s="3">
        <f t="shared" si="77"/>
        <v>0</v>
      </c>
      <c r="AM122" s="17" t="str">
        <f>IF(SrcDB[[#This Row],[Pocet zmluv objednavatela]]&gt;3,SrcDB[[#This Row],[Objednavatel]],"Ostatné")</f>
        <v>Ministerstvo školstva, výskumu, vývoja a mládeže SR</v>
      </c>
      <c r="AN122" s="17" t="str">
        <f>IF(SrcDB[[#This Row],[Pocet zmluv dodavatela]]&gt;3,SrcDB[[#This Row],[Dodavatel]],"Ostatné")</f>
        <v>Atos IT Solutions and Services s.r.o. / Eviden Slovakia, s.r.o.</v>
      </c>
    </row>
    <row r="123" spans="1:40" x14ac:dyDescent="0.3">
      <c r="A123" s="2" t="s">
        <v>252</v>
      </c>
      <c r="B123" s="2">
        <v>4590492</v>
      </c>
      <c r="C123" s="3" t="str">
        <f t="shared" si="68"/>
        <v>Nie</v>
      </c>
      <c r="D123" s="3" t="str">
        <f t="shared" si="69"/>
        <v>Áno</v>
      </c>
      <c r="E123" s="3" t="s">
        <v>48</v>
      </c>
      <c r="F123" s="3" t="s">
        <v>49</v>
      </c>
      <c r="G123" s="2" t="str">
        <f t="shared" si="70"/>
        <v>Veľké zmluvy</v>
      </c>
      <c r="H123" s="5" t="s">
        <v>231</v>
      </c>
      <c r="I123" s="2" t="s">
        <v>232</v>
      </c>
      <c r="J123" s="2" t="s">
        <v>233</v>
      </c>
      <c r="K123" s="5">
        <v>45650276</v>
      </c>
      <c r="L123" s="2" t="s">
        <v>234</v>
      </c>
      <c r="M123" s="2" t="s">
        <v>235</v>
      </c>
      <c r="N123" s="6">
        <v>43951</v>
      </c>
      <c r="O123" s="4">
        <v>9864804</v>
      </c>
      <c r="P123" s="2">
        <v>114497</v>
      </c>
      <c r="Q123" s="2" t="s">
        <v>253</v>
      </c>
      <c r="R123" s="2" t="s">
        <v>254</v>
      </c>
      <c r="S123" s="2" t="s">
        <v>56</v>
      </c>
      <c r="T123" s="2" t="s">
        <v>249</v>
      </c>
      <c r="U123" s="2" t="s">
        <v>129</v>
      </c>
      <c r="W123" s="4">
        <v>668</v>
      </c>
      <c r="X123" s="4">
        <v>801.6</v>
      </c>
      <c r="Y123" s="4">
        <f t="shared" ref="Y123" si="132">INDEX(InternalRates,MATCH($S123,InternalRates01,FALSE),2)</f>
        <v>278.98333333333335</v>
      </c>
      <c r="Z123" s="3" t="str">
        <f t="shared" si="73"/>
        <v>Nie</v>
      </c>
      <c r="AA123" s="3" t="str">
        <f t="shared" si="74"/>
        <v>SLA</v>
      </c>
      <c r="AD123" s="3" t="s">
        <v>48</v>
      </c>
      <c r="AE123" s="6">
        <v>44417</v>
      </c>
      <c r="AF123" s="3" t="s">
        <v>59</v>
      </c>
      <c r="AG123" s="3" t="s">
        <v>48</v>
      </c>
      <c r="AH123" s="3">
        <f>YEAR(SrcDB[[#This Row],[Datum_zverejnenia]])</f>
        <v>2020</v>
      </c>
      <c r="AI123" s="3" cm="1">
        <f t="array" ref="AI123">COUNT(_xlfn.UNIQUE(_xlfn._xlws.FILTER(SrcDB[ID],SrcDB[Objednavatel_ICO]=$H123)))</f>
        <v>9</v>
      </c>
      <c r="AJ123" s="3" cm="1">
        <f t="array" ref="AJ123">COUNT(_xlfn.UNIQUE(_xlfn._xlws.FILTER(SrcDB[ID],SrcDB[Dodavatel_ICO]=$K123)))</f>
        <v>12</v>
      </c>
      <c r="AK123" s="3">
        <f t="shared" si="76"/>
        <v>0</v>
      </c>
      <c r="AL123" s="3">
        <f t="shared" si="77"/>
        <v>0</v>
      </c>
      <c r="AM123" s="17" t="str">
        <f>IF(SrcDB[[#This Row],[Pocet zmluv objednavatela]]&gt;3,SrcDB[[#This Row],[Objednavatel]],"Ostatné")</f>
        <v>Ministerstvo školstva, výskumu, vývoja a mládeže SR</v>
      </c>
      <c r="AN123" s="17" t="str">
        <f>IF(SrcDB[[#This Row],[Pocet zmluv dodavatela]]&gt;3,SrcDB[[#This Row],[Dodavatel]],"Ostatné")</f>
        <v>Atos IT Solutions and Services s.r.o. / Eviden Slovakia, s.r.o.</v>
      </c>
    </row>
    <row r="124" spans="1:40" x14ac:dyDescent="0.3">
      <c r="A124" s="2" t="s">
        <v>252</v>
      </c>
      <c r="B124" s="2">
        <v>4590492</v>
      </c>
      <c r="C124" s="3" t="str">
        <f t="shared" si="68"/>
        <v>Nie</v>
      </c>
      <c r="D124" s="3" t="str">
        <f t="shared" si="69"/>
        <v>Áno</v>
      </c>
      <c r="E124" s="3" t="s">
        <v>48</v>
      </c>
      <c r="F124" s="3" t="s">
        <v>49</v>
      </c>
      <c r="G124" s="2" t="str">
        <f t="shared" si="70"/>
        <v>Veľké zmluvy</v>
      </c>
      <c r="H124" s="5" t="s">
        <v>231</v>
      </c>
      <c r="I124" s="2" t="s">
        <v>232</v>
      </c>
      <c r="J124" s="2" t="s">
        <v>233</v>
      </c>
      <c r="K124" s="5">
        <v>45650276</v>
      </c>
      <c r="L124" s="2" t="s">
        <v>234</v>
      </c>
      <c r="M124" s="2" t="s">
        <v>235</v>
      </c>
      <c r="N124" s="6">
        <v>43951</v>
      </c>
      <c r="O124" s="4">
        <v>9864804</v>
      </c>
      <c r="P124" s="2">
        <v>114497</v>
      </c>
      <c r="Q124" s="2" t="s">
        <v>253</v>
      </c>
      <c r="R124" s="2" t="s">
        <v>254</v>
      </c>
      <c r="S124" s="2" t="s">
        <v>56</v>
      </c>
      <c r="T124" s="2" t="s">
        <v>250</v>
      </c>
      <c r="U124" s="2" t="s">
        <v>129</v>
      </c>
      <c r="W124" s="4">
        <v>668</v>
      </c>
      <c r="X124" s="4">
        <v>801.6</v>
      </c>
      <c r="Y124" s="4">
        <f t="shared" ref="Y124" si="133">INDEX(InternalRates,MATCH($S124,InternalRates01,FALSE),2)</f>
        <v>278.98333333333335</v>
      </c>
      <c r="Z124" s="3" t="str">
        <f t="shared" si="73"/>
        <v>Nie</v>
      </c>
      <c r="AA124" s="3" t="str">
        <f t="shared" si="74"/>
        <v>SLA</v>
      </c>
      <c r="AD124" s="3" t="s">
        <v>48</v>
      </c>
      <c r="AE124" s="6">
        <v>44417</v>
      </c>
      <c r="AF124" s="3" t="s">
        <v>59</v>
      </c>
      <c r="AG124" s="3" t="s">
        <v>48</v>
      </c>
      <c r="AH124" s="3">
        <f>YEAR(SrcDB[[#This Row],[Datum_zverejnenia]])</f>
        <v>2020</v>
      </c>
      <c r="AI124" s="3" cm="1">
        <f t="array" ref="AI124">COUNT(_xlfn.UNIQUE(_xlfn._xlws.FILTER(SrcDB[ID],SrcDB[Objednavatel_ICO]=$H124)))</f>
        <v>9</v>
      </c>
      <c r="AJ124" s="3" cm="1">
        <f t="array" ref="AJ124">COUNT(_xlfn.UNIQUE(_xlfn._xlws.FILTER(SrcDB[ID],SrcDB[Dodavatel_ICO]=$K124)))</f>
        <v>12</v>
      </c>
      <c r="AK124" s="3">
        <f t="shared" si="76"/>
        <v>0</v>
      </c>
      <c r="AL124" s="3">
        <f t="shared" si="77"/>
        <v>0</v>
      </c>
      <c r="AM124" s="17" t="str">
        <f>IF(SrcDB[[#This Row],[Pocet zmluv objednavatela]]&gt;3,SrcDB[[#This Row],[Objednavatel]],"Ostatné")</f>
        <v>Ministerstvo školstva, výskumu, vývoja a mládeže SR</v>
      </c>
      <c r="AN124" s="17" t="str">
        <f>IF(SrcDB[[#This Row],[Pocet zmluv dodavatela]]&gt;3,SrcDB[[#This Row],[Dodavatel]],"Ostatné")</f>
        <v>Atos IT Solutions and Services s.r.o. / Eviden Slovakia, s.r.o.</v>
      </c>
    </row>
    <row r="125" spans="1:40" x14ac:dyDescent="0.3">
      <c r="A125" s="2" t="s">
        <v>252</v>
      </c>
      <c r="B125" s="2">
        <v>4590492</v>
      </c>
      <c r="C125" s="3" t="str">
        <f t="shared" si="68"/>
        <v>Nie</v>
      </c>
      <c r="D125" s="3" t="str">
        <f t="shared" si="69"/>
        <v>Áno</v>
      </c>
      <c r="E125" s="3" t="s">
        <v>48</v>
      </c>
      <c r="F125" s="3" t="s">
        <v>49</v>
      </c>
      <c r="G125" s="2" t="str">
        <f t="shared" si="70"/>
        <v>Veľké zmluvy</v>
      </c>
      <c r="H125" s="5" t="s">
        <v>231</v>
      </c>
      <c r="I125" s="2" t="s">
        <v>232</v>
      </c>
      <c r="J125" s="2" t="s">
        <v>233</v>
      </c>
      <c r="K125" s="5">
        <v>45650276</v>
      </c>
      <c r="L125" s="2" t="s">
        <v>234</v>
      </c>
      <c r="M125" s="2" t="s">
        <v>235</v>
      </c>
      <c r="N125" s="6">
        <v>43951</v>
      </c>
      <c r="O125" s="4">
        <v>9864804</v>
      </c>
      <c r="P125" s="2">
        <v>114497</v>
      </c>
      <c r="Q125" s="2" t="s">
        <v>253</v>
      </c>
      <c r="R125" s="2" t="s">
        <v>254</v>
      </c>
      <c r="S125" s="2" t="s">
        <v>56</v>
      </c>
      <c r="T125" s="2" t="s">
        <v>251</v>
      </c>
      <c r="U125" s="2" t="s">
        <v>95</v>
      </c>
      <c r="W125" s="4">
        <v>668</v>
      </c>
      <c r="X125" s="4">
        <v>801.6</v>
      </c>
      <c r="Y125" s="4">
        <f t="shared" ref="Y125" si="134">INDEX(InternalRates,MATCH($S125,InternalRates01,FALSE),2)</f>
        <v>278.98333333333335</v>
      </c>
      <c r="Z125" s="3" t="str">
        <f t="shared" si="73"/>
        <v>Nie</v>
      </c>
      <c r="AA125" s="3" t="str">
        <f t="shared" si="74"/>
        <v>SLA</v>
      </c>
      <c r="AD125" s="3" t="s">
        <v>48</v>
      </c>
      <c r="AE125" s="6">
        <v>44417</v>
      </c>
      <c r="AF125" s="3" t="s">
        <v>59</v>
      </c>
      <c r="AG125" s="3" t="s">
        <v>48</v>
      </c>
      <c r="AH125" s="3">
        <f>YEAR(SrcDB[[#This Row],[Datum_zverejnenia]])</f>
        <v>2020</v>
      </c>
      <c r="AI125" s="3" cm="1">
        <f t="array" ref="AI125">COUNT(_xlfn.UNIQUE(_xlfn._xlws.FILTER(SrcDB[ID],SrcDB[Objednavatel_ICO]=$H125)))</f>
        <v>9</v>
      </c>
      <c r="AJ125" s="3" cm="1">
        <f t="array" ref="AJ125">COUNT(_xlfn.UNIQUE(_xlfn._xlws.FILTER(SrcDB[ID],SrcDB[Dodavatel_ICO]=$K125)))</f>
        <v>12</v>
      </c>
      <c r="AK125" s="3">
        <f t="shared" si="76"/>
        <v>0</v>
      </c>
      <c r="AL125" s="3">
        <f t="shared" si="77"/>
        <v>0</v>
      </c>
      <c r="AM125" s="17" t="str">
        <f>IF(SrcDB[[#This Row],[Pocet zmluv objednavatela]]&gt;3,SrcDB[[#This Row],[Objednavatel]],"Ostatné")</f>
        <v>Ministerstvo školstva, výskumu, vývoja a mládeže SR</v>
      </c>
      <c r="AN125" s="17" t="str">
        <f>IF(SrcDB[[#This Row],[Pocet zmluv dodavatela]]&gt;3,SrcDB[[#This Row],[Dodavatel]],"Ostatné")</f>
        <v>Atos IT Solutions and Services s.r.o. / Eviden Slovakia, s.r.o.</v>
      </c>
    </row>
    <row r="126" spans="1:40" x14ac:dyDescent="0.3">
      <c r="A126" s="2" t="s">
        <v>256</v>
      </c>
      <c r="B126" s="2">
        <v>4590621</v>
      </c>
      <c r="C126" s="3" t="str">
        <f t="shared" si="68"/>
        <v>Nie</v>
      </c>
      <c r="D126" s="3" t="str">
        <f t="shared" si="69"/>
        <v>Áno</v>
      </c>
      <c r="E126" s="3" t="s">
        <v>48</v>
      </c>
      <c r="F126" s="3" t="s">
        <v>49</v>
      </c>
      <c r="G126" s="2" t="str">
        <f t="shared" si="70"/>
        <v>Stredné zmluvy</v>
      </c>
      <c r="H126" s="5">
        <v>30807484</v>
      </c>
      <c r="I126" s="2" t="s">
        <v>50</v>
      </c>
      <c r="J126" s="2" t="s">
        <v>51</v>
      </c>
      <c r="K126" s="5">
        <v>35810734</v>
      </c>
      <c r="L126" s="2" t="s">
        <v>257</v>
      </c>
      <c r="M126" s="2" t="s">
        <v>53</v>
      </c>
      <c r="N126" s="6">
        <v>43951.484768518516</v>
      </c>
      <c r="O126" s="4">
        <v>5865625.5099999998</v>
      </c>
      <c r="P126" s="2">
        <v>114493</v>
      </c>
      <c r="Q126" s="2" t="s">
        <v>258</v>
      </c>
      <c r="R126" s="2" t="s">
        <v>259</v>
      </c>
      <c r="S126" s="2" t="s">
        <v>123</v>
      </c>
      <c r="T126" s="2" t="s">
        <v>260</v>
      </c>
      <c r="V126" s="2" t="s">
        <v>175</v>
      </c>
      <c r="W126" s="4">
        <v>560</v>
      </c>
      <c r="X126" s="4">
        <v>672</v>
      </c>
      <c r="Y126" s="4">
        <f t="shared" ref="Y126" si="135">INDEX(InternalRates,MATCH($S126,InternalRates01,FALSE),2)</f>
        <v>231.85833333333335</v>
      </c>
      <c r="Z126" s="3" t="str">
        <f t="shared" si="73"/>
        <v>Nie</v>
      </c>
      <c r="AA126" s="3" t="str">
        <f t="shared" si="74"/>
        <v>SLA</v>
      </c>
      <c r="AB126" s="4">
        <v>750</v>
      </c>
      <c r="AD126" s="3" t="s">
        <v>48</v>
      </c>
      <c r="AE126" s="6">
        <v>44417</v>
      </c>
      <c r="AF126" s="3" t="s">
        <v>59</v>
      </c>
      <c r="AG126" s="3" t="s">
        <v>49</v>
      </c>
      <c r="AH126" s="3">
        <f>YEAR(SrcDB[[#This Row],[Datum_zverejnenia]])</f>
        <v>2020</v>
      </c>
      <c r="AI126" s="3" cm="1">
        <f t="array" ref="AI126">COUNT(_xlfn.UNIQUE(_xlfn._xlws.FILTER(SrcDB[ID],SrcDB[Objednavatel_ICO]=$H126)))</f>
        <v>14</v>
      </c>
      <c r="AJ126" s="3" cm="1">
        <f t="array" ref="AJ126">COUNT(_xlfn.UNIQUE(_xlfn._xlws.FILTER(SrcDB[ID],SrcDB[Dodavatel_ICO]=$K126)))</f>
        <v>10</v>
      </c>
      <c r="AK126" s="3">
        <f t="shared" si="76"/>
        <v>1</v>
      </c>
      <c r="AL126" s="3">
        <f t="shared" si="77"/>
        <v>1</v>
      </c>
      <c r="AM126" s="17" t="str">
        <f>IF(SrcDB[[#This Row],[Pocet zmluv objednavatela]]&gt;3,SrcDB[[#This Row],[Objednavatel]],"Ostatné")</f>
        <v>Sociálna poisťovňa, ústredie</v>
      </c>
      <c r="AN126" s="17" t="str">
        <f>IF(SrcDB[[#This Row],[Pocet zmluv dodavatela]]&gt;3,SrcDB[[#This Row],[Dodavatel]],"Ostatné")</f>
        <v>DATALAN, a.s.</v>
      </c>
    </row>
    <row r="127" spans="1:40" x14ac:dyDescent="0.3">
      <c r="A127" s="2" t="s">
        <v>256</v>
      </c>
      <c r="B127" s="2">
        <v>4590621</v>
      </c>
      <c r="C127" s="3" t="str">
        <f t="shared" si="68"/>
        <v>Nie</v>
      </c>
      <c r="D127" s="3" t="str">
        <f t="shared" si="69"/>
        <v>Áno</v>
      </c>
      <c r="E127" s="3" t="s">
        <v>48</v>
      </c>
      <c r="F127" s="3" t="s">
        <v>49</v>
      </c>
      <c r="G127" s="2" t="str">
        <f t="shared" si="70"/>
        <v>Stredné zmluvy</v>
      </c>
      <c r="H127" s="5">
        <v>30807484</v>
      </c>
      <c r="I127" s="2" t="s">
        <v>50</v>
      </c>
      <c r="J127" s="2" t="s">
        <v>51</v>
      </c>
      <c r="K127" s="5">
        <v>35810734</v>
      </c>
      <c r="L127" s="2" t="s">
        <v>257</v>
      </c>
      <c r="M127" s="2" t="s">
        <v>53</v>
      </c>
      <c r="N127" s="6">
        <v>43951.484768518516</v>
      </c>
      <c r="O127" s="4">
        <v>5865625.5099999998</v>
      </c>
      <c r="P127" s="2">
        <v>114493</v>
      </c>
      <c r="Q127" s="2" t="s">
        <v>258</v>
      </c>
      <c r="R127" s="2" t="s">
        <v>259</v>
      </c>
      <c r="S127" s="2" t="s">
        <v>123</v>
      </c>
      <c r="T127" s="2" t="s">
        <v>261</v>
      </c>
      <c r="V127" s="2" t="s">
        <v>175</v>
      </c>
      <c r="W127" s="4">
        <v>800</v>
      </c>
      <c r="X127" s="4">
        <v>960</v>
      </c>
      <c r="Y127" s="4">
        <f t="shared" ref="Y127" si="136">INDEX(InternalRates,MATCH($S127,InternalRates01,FALSE),2)</f>
        <v>231.85833333333335</v>
      </c>
      <c r="Z127" s="3" t="str">
        <f t="shared" si="73"/>
        <v>Nie</v>
      </c>
      <c r="AA127" s="3" t="str">
        <f t="shared" si="74"/>
        <v>SLA</v>
      </c>
      <c r="AB127" s="4">
        <v>62.5</v>
      </c>
      <c r="AD127" s="3" t="s">
        <v>48</v>
      </c>
      <c r="AE127" s="6">
        <v>44417</v>
      </c>
      <c r="AF127" s="3" t="s">
        <v>59</v>
      </c>
      <c r="AG127" s="3" t="s">
        <v>49</v>
      </c>
      <c r="AH127" s="3">
        <f>YEAR(SrcDB[[#This Row],[Datum_zverejnenia]])</f>
        <v>2020</v>
      </c>
      <c r="AI127" s="3" cm="1">
        <f t="array" ref="AI127">COUNT(_xlfn.UNIQUE(_xlfn._xlws.FILTER(SrcDB[ID],SrcDB[Objednavatel_ICO]=$H127)))</f>
        <v>14</v>
      </c>
      <c r="AJ127" s="3" cm="1">
        <f t="array" ref="AJ127">COUNT(_xlfn.UNIQUE(_xlfn._xlws.FILTER(SrcDB[ID],SrcDB[Dodavatel_ICO]=$K127)))</f>
        <v>10</v>
      </c>
      <c r="AK127" s="3">
        <f t="shared" si="76"/>
        <v>0</v>
      </c>
      <c r="AL127" s="3">
        <f t="shared" si="77"/>
        <v>0</v>
      </c>
      <c r="AM127" s="17" t="str">
        <f>IF(SrcDB[[#This Row],[Pocet zmluv objednavatela]]&gt;3,SrcDB[[#This Row],[Objednavatel]],"Ostatné")</f>
        <v>Sociálna poisťovňa, ústredie</v>
      </c>
      <c r="AN127" s="17" t="str">
        <f>IF(SrcDB[[#This Row],[Pocet zmluv dodavatela]]&gt;3,SrcDB[[#This Row],[Dodavatel]],"Ostatné")</f>
        <v>DATALAN, a.s.</v>
      </c>
    </row>
    <row r="128" spans="1:40" x14ac:dyDescent="0.3">
      <c r="A128" s="2" t="s">
        <v>256</v>
      </c>
      <c r="B128" s="2">
        <v>4590621</v>
      </c>
      <c r="C128" s="3" t="str">
        <f t="shared" si="68"/>
        <v>Nie</v>
      </c>
      <c r="D128" s="3" t="str">
        <f t="shared" si="69"/>
        <v>Áno</v>
      </c>
      <c r="E128" s="3" t="s">
        <v>48</v>
      </c>
      <c r="F128" s="3" t="s">
        <v>49</v>
      </c>
      <c r="G128" s="2" t="str">
        <f t="shared" si="70"/>
        <v>Stredné zmluvy</v>
      </c>
      <c r="H128" s="5">
        <v>30807484</v>
      </c>
      <c r="I128" s="2" t="s">
        <v>50</v>
      </c>
      <c r="J128" s="2" t="s">
        <v>51</v>
      </c>
      <c r="K128" s="5">
        <v>35810734</v>
      </c>
      <c r="L128" s="2" t="s">
        <v>257</v>
      </c>
      <c r="M128" s="2" t="s">
        <v>53</v>
      </c>
      <c r="N128" s="6">
        <v>43951</v>
      </c>
      <c r="O128" s="4">
        <v>5865625.5099999998</v>
      </c>
      <c r="P128" s="2">
        <v>114493</v>
      </c>
      <c r="Q128" s="2" t="s">
        <v>258</v>
      </c>
      <c r="R128" s="2" t="s">
        <v>259</v>
      </c>
      <c r="S128" s="2" t="s">
        <v>123</v>
      </c>
      <c r="T128" s="2" t="s">
        <v>262</v>
      </c>
      <c r="V128" s="2" t="s">
        <v>175</v>
      </c>
      <c r="W128" s="4">
        <v>1040</v>
      </c>
      <c r="X128" s="4">
        <v>1248</v>
      </c>
      <c r="Y128" s="4">
        <f t="shared" ref="Y128" si="137">INDEX(InternalRates,MATCH($S128,InternalRates01,FALSE),2)</f>
        <v>231.85833333333335</v>
      </c>
      <c r="Z128" s="3" t="str">
        <f t="shared" si="73"/>
        <v>Nie</v>
      </c>
      <c r="AA128" s="3" t="str">
        <f t="shared" si="74"/>
        <v>SLA</v>
      </c>
      <c r="AB128" s="4">
        <v>50</v>
      </c>
      <c r="AD128" s="3" t="s">
        <v>48</v>
      </c>
      <c r="AE128" s="6">
        <v>44417</v>
      </c>
      <c r="AF128" s="3" t="s">
        <v>59</v>
      </c>
      <c r="AG128" s="3" t="s">
        <v>49</v>
      </c>
      <c r="AH128" s="3">
        <f>YEAR(SrcDB[[#This Row],[Datum_zverejnenia]])</f>
        <v>2020</v>
      </c>
      <c r="AI128" s="3" cm="1">
        <f t="array" ref="AI128">COUNT(_xlfn.UNIQUE(_xlfn._xlws.FILTER(SrcDB[ID],SrcDB[Objednavatel_ICO]=$H128)))</f>
        <v>14</v>
      </c>
      <c r="AJ128" s="3" cm="1">
        <f t="array" ref="AJ128">COUNT(_xlfn.UNIQUE(_xlfn._xlws.FILTER(SrcDB[ID],SrcDB[Dodavatel_ICO]=$K128)))</f>
        <v>10</v>
      </c>
      <c r="AK128" s="3">
        <f t="shared" si="76"/>
        <v>0</v>
      </c>
      <c r="AL128" s="3">
        <f t="shared" si="77"/>
        <v>0</v>
      </c>
      <c r="AM128" s="17" t="str">
        <f>IF(SrcDB[[#This Row],[Pocet zmluv objednavatela]]&gt;3,SrcDB[[#This Row],[Objednavatel]],"Ostatné")</f>
        <v>Sociálna poisťovňa, ústredie</v>
      </c>
      <c r="AN128" s="17" t="str">
        <f>IF(SrcDB[[#This Row],[Pocet zmluv dodavatela]]&gt;3,SrcDB[[#This Row],[Dodavatel]],"Ostatné")</f>
        <v>DATALAN, a.s.</v>
      </c>
    </row>
    <row r="129" spans="1:40" x14ac:dyDescent="0.3">
      <c r="A129" s="2" t="s">
        <v>256</v>
      </c>
      <c r="B129" s="2">
        <v>4590621</v>
      </c>
      <c r="C129" s="3" t="str">
        <f t="shared" si="68"/>
        <v>Nie</v>
      </c>
      <c r="D129" s="3" t="str">
        <f t="shared" si="69"/>
        <v>Áno</v>
      </c>
      <c r="E129" s="3" t="s">
        <v>48</v>
      </c>
      <c r="F129" s="3" t="s">
        <v>49</v>
      </c>
      <c r="G129" s="2" t="str">
        <f t="shared" si="70"/>
        <v>Stredné zmluvy</v>
      </c>
      <c r="H129" s="5">
        <v>30807484</v>
      </c>
      <c r="I129" s="2" t="s">
        <v>50</v>
      </c>
      <c r="J129" s="2" t="s">
        <v>51</v>
      </c>
      <c r="K129" s="5">
        <v>35810734</v>
      </c>
      <c r="L129" s="2" t="s">
        <v>257</v>
      </c>
      <c r="M129" s="2" t="s">
        <v>53</v>
      </c>
      <c r="N129" s="6">
        <v>43951</v>
      </c>
      <c r="O129" s="4">
        <v>5865625.5099999998</v>
      </c>
      <c r="P129" s="2">
        <v>114493</v>
      </c>
      <c r="Q129" s="2" t="s">
        <v>258</v>
      </c>
      <c r="R129" s="2" t="s">
        <v>259</v>
      </c>
      <c r="S129" s="2" t="s">
        <v>123</v>
      </c>
      <c r="T129" s="2" t="s">
        <v>263</v>
      </c>
      <c r="V129" s="2" t="s">
        <v>175</v>
      </c>
      <c r="W129" s="4">
        <v>1040</v>
      </c>
      <c r="X129" s="4">
        <v>1248</v>
      </c>
      <c r="Y129" s="4">
        <f t="shared" ref="Y129" si="138">INDEX(InternalRates,MATCH($S129,InternalRates01,FALSE),2)</f>
        <v>231.85833333333335</v>
      </c>
      <c r="Z129" s="3" t="str">
        <f t="shared" si="73"/>
        <v>Nie</v>
      </c>
      <c r="AA129" s="3" t="str">
        <f t="shared" si="74"/>
        <v>SLA</v>
      </c>
      <c r="AB129" s="4">
        <v>62.5</v>
      </c>
      <c r="AD129" s="3" t="s">
        <v>48</v>
      </c>
      <c r="AE129" s="6">
        <v>44417</v>
      </c>
      <c r="AF129" s="3" t="s">
        <v>59</v>
      </c>
      <c r="AG129" s="3" t="s">
        <v>49</v>
      </c>
      <c r="AH129" s="3">
        <f>YEAR(SrcDB[[#This Row],[Datum_zverejnenia]])</f>
        <v>2020</v>
      </c>
      <c r="AI129" s="3" cm="1">
        <f t="array" ref="AI129">COUNT(_xlfn.UNIQUE(_xlfn._xlws.FILTER(SrcDB[ID],SrcDB[Objednavatel_ICO]=$H129)))</f>
        <v>14</v>
      </c>
      <c r="AJ129" s="3" cm="1">
        <f t="array" ref="AJ129">COUNT(_xlfn.UNIQUE(_xlfn._xlws.FILTER(SrcDB[ID],SrcDB[Dodavatel_ICO]=$K129)))</f>
        <v>10</v>
      </c>
      <c r="AK129" s="3">
        <f t="shared" si="76"/>
        <v>0</v>
      </c>
      <c r="AL129" s="3">
        <f t="shared" si="77"/>
        <v>0</v>
      </c>
      <c r="AM129" s="17" t="str">
        <f>IF(SrcDB[[#This Row],[Pocet zmluv objednavatela]]&gt;3,SrcDB[[#This Row],[Objednavatel]],"Ostatné")</f>
        <v>Sociálna poisťovňa, ústredie</v>
      </c>
      <c r="AN129" s="17" t="str">
        <f>IF(SrcDB[[#This Row],[Pocet zmluv dodavatela]]&gt;3,SrcDB[[#This Row],[Dodavatel]],"Ostatné")</f>
        <v>DATALAN, a.s.</v>
      </c>
    </row>
    <row r="130" spans="1:40" x14ac:dyDescent="0.3">
      <c r="A130" s="2" t="s">
        <v>256</v>
      </c>
      <c r="B130" s="2">
        <v>4590621</v>
      </c>
      <c r="C130" s="3" t="str">
        <f t="shared" ref="C130:C193" si="139">IF(OR(NOT(ISERROR(FIND("O DIEL",UPPER($A130)))),NOT(ISERROR(FIND("O IMPLEM",UPPER($A130)))))=TRUE,"Áno",IF(OR(NOT(ISERROR(FIND("PODPOR",UPPER($A130)))),NOT(ISERROR(FIND("SLA",UPPER($A130)))),NOT(ISERROR(FIND("SERVIS",UPPER($A130)))))=TRUE,"Nie","Nejasné"))</f>
        <v>Nie</v>
      </c>
      <c r="D130" s="3" t="str">
        <f t="shared" ref="D130:D193" si="140">IF(OR(NOT(ISERROR(FIND("PODPOR",UPPER($A130)))),NOT(ISERROR(FIND("SLA",UPPER($A130)))),NOT(ISERROR(FIND("SERVIS",UPPER($A130)))))=TRUE,"Áno",IF(OR(NOT(ISERROR(FIND("O DIEL",UPPER($A130)))),NOT(ISERROR(FIND("O IMPLEM",UPPER($A130)))))=TRUE,"Nie","Nejasné"))</f>
        <v>Áno</v>
      </c>
      <c r="E130" s="3" t="s">
        <v>48</v>
      </c>
      <c r="F130" s="3" t="s">
        <v>49</v>
      </c>
      <c r="G130" s="2" t="str">
        <f t="shared" ref="G130:G193" si="141">IF($O130&gt;=8000000,"Veľké zmluvy",IF($O130&gt;=1000000,"Stredné zmluvy","Malé zmluvy"))</f>
        <v>Stredné zmluvy</v>
      </c>
      <c r="H130" s="5">
        <v>30807484</v>
      </c>
      <c r="I130" s="2" t="s">
        <v>50</v>
      </c>
      <c r="J130" s="2" t="s">
        <v>51</v>
      </c>
      <c r="K130" s="5">
        <v>35810734</v>
      </c>
      <c r="L130" s="2" t="s">
        <v>257</v>
      </c>
      <c r="M130" s="2" t="s">
        <v>53</v>
      </c>
      <c r="N130" s="6">
        <v>43951</v>
      </c>
      <c r="O130" s="4">
        <v>5865625.5099999998</v>
      </c>
      <c r="P130" s="2">
        <v>114493</v>
      </c>
      <c r="Q130" s="2" t="s">
        <v>258</v>
      </c>
      <c r="R130" s="2" t="s">
        <v>259</v>
      </c>
      <c r="S130" s="2" t="s">
        <v>123</v>
      </c>
      <c r="T130" s="2" t="s">
        <v>264</v>
      </c>
      <c r="V130" s="2" t="s">
        <v>175</v>
      </c>
      <c r="W130" s="4">
        <v>520</v>
      </c>
      <c r="X130" s="4">
        <f>SrcDB[[#This Row],[Cena bez DPH]]*1.2</f>
        <v>624</v>
      </c>
      <c r="Y130" s="4">
        <f t="shared" ref="Y130" si="142">INDEX(InternalRates,MATCH($S130,InternalRates01,FALSE),2)</f>
        <v>231.85833333333335</v>
      </c>
      <c r="Z130" s="3" t="str">
        <f t="shared" si="73"/>
        <v>Nie</v>
      </c>
      <c r="AA130" s="3" t="str">
        <f t="shared" si="74"/>
        <v>SLA</v>
      </c>
      <c r="AB130" s="4">
        <v>625</v>
      </c>
      <c r="AD130" s="3" t="s">
        <v>48</v>
      </c>
      <c r="AE130" s="6">
        <v>44417</v>
      </c>
      <c r="AF130" s="3" t="s">
        <v>59</v>
      </c>
      <c r="AG130" s="3" t="s">
        <v>49</v>
      </c>
      <c r="AH130" s="3">
        <f>YEAR(SrcDB[[#This Row],[Datum_zverejnenia]])</f>
        <v>2020</v>
      </c>
      <c r="AI130" s="3" cm="1">
        <f t="array" ref="AI130">COUNT(_xlfn.UNIQUE(_xlfn._xlws.FILTER(SrcDB[ID],SrcDB[Objednavatel_ICO]=$H130)))</f>
        <v>14</v>
      </c>
      <c r="AJ130" s="3" cm="1">
        <f t="array" ref="AJ130">COUNT(_xlfn.UNIQUE(_xlfn._xlws.FILTER(SrcDB[ID],SrcDB[Dodavatel_ICO]=$K130)))</f>
        <v>10</v>
      </c>
      <c r="AK130" s="3">
        <f t="shared" si="76"/>
        <v>0</v>
      </c>
      <c r="AL130" s="3">
        <f t="shared" si="77"/>
        <v>0</v>
      </c>
      <c r="AM130" s="17" t="str">
        <f>IF(SrcDB[[#This Row],[Pocet zmluv objednavatela]]&gt;3,SrcDB[[#This Row],[Objednavatel]],"Ostatné")</f>
        <v>Sociálna poisťovňa, ústredie</v>
      </c>
      <c r="AN130" s="17" t="str">
        <f>IF(SrcDB[[#This Row],[Pocet zmluv dodavatela]]&gt;3,SrcDB[[#This Row],[Dodavatel]],"Ostatné")</f>
        <v>DATALAN, a.s.</v>
      </c>
    </row>
    <row r="131" spans="1:40" x14ac:dyDescent="0.3">
      <c r="A131" s="2" t="s">
        <v>256</v>
      </c>
      <c r="B131" s="2">
        <v>4590621</v>
      </c>
      <c r="C131" s="3" t="str">
        <f t="shared" si="139"/>
        <v>Nie</v>
      </c>
      <c r="D131" s="3" t="str">
        <f t="shared" si="140"/>
        <v>Áno</v>
      </c>
      <c r="E131" s="3" t="s">
        <v>48</v>
      </c>
      <c r="F131" s="3" t="s">
        <v>49</v>
      </c>
      <c r="G131" s="2" t="str">
        <f t="shared" si="141"/>
        <v>Stredné zmluvy</v>
      </c>
      <c r="H131" s="5">
        <v>30807484</v>
      </c>
      <c r="I131" s="2" t="s">
        <v>50</v>
      </c>
      <c r="J131" s="2" t="s">
        <v>51</v>
      </c>
      <c r="K131" s="5">
        <v>35810734</v>
      </c>
      <c r="L131" s="2" t="s">
        <v>257</v>
      </c>
      <c r="M131" s="2" t="s">
        <v>53</v>
      </c>
      <c r="N131" s="6">
        <v>43951</v>
      </c>
      <c r="O131" s="4">
        <v>5865625.5099999998</v>
      </c>
      <c r="P131" s="2">
        <v>114493</v>
      </c>
      <c r="Q131" s="2" t="s">
        <v>258</v>
      </c>
      <c r="R131" s="2" t="s">
        <v>259</v>
      </c>
      <c r="S131" s="2" t="s">
        <v>123</v>
      </c>
      <c r="T131" s="2" t="s">
        <v>265</v>
      </c>
      <c r="V131" s="2" t="s">
        <v>175</v>
      </c>
      <c r="W131" s="4">
        <v>760</v>
      </c>
      <c r="X131" s="4">
        <f>SrcDB[[#This Row],[Cena bez DPH]]*1.2</f>
        <v>912</v>
      </c>
      <c r="Y131" s="4">
        <f t="shared" ref="Y131" si="143">INDEX(InternalRates,MATCH($S131,InternalRates01,FALSE),2)</f>
        <v>231.85833333333335</v>
      </c>
      <c r="Z131" s="3" t="str">
        <f t="shared" ref="Z131:Z194" si="144">IF(W131&gt;0,IF(Y131&gt;W131,"Áno","Nie"),"Nie")</f>
        <v>Nie</v>
      </c>
      <c r="AA131" s="3" t="str">
        <f t="shared" ref="AA131:AA194" si="145">IF(E131="Nie","SLA",IF(F131="Nie","ZoD","SLA+ZoD"))</f>
        <v>SLA</v>
      </c>
      <c r="AB131" s="4">
        <v>375</v>
      </c>
      <c r="AD131" s="3" t="s">
        <v>48</v>
      </c>
      <c r="AE131" s="6">
        <v>44417</v>
      </c>
      <c r="AF131" s="3" t="s">
        <v>59</v>
      </c>
      <c r="AG131" s="3" t="s">
        <v>49</v>
      </c>
      <c r="AH131" s="3">
        <f>YEAR(SrcDB[[#This Row],[Datum_zverejnenia]])</f>
        <v>2020</v>
      </c>
      <c r="AI131" s="3" cm="1">
        <f t="array" ref="AI131">COUNT(_xlfn.UNIQUE(_xlfn._xlws.FILTER(SrcDB[ID],SrcDB[Objednavatel_ICO]=$H131)))</f>
        <v>14</v>
      </c>
      <c r="AJ131" s="3" cm="1">
        <f t="array" ref="AJ131">COUNT(_xlfn.UNIQUE(_xlfn._xlws.FILTER(SrcDB[ID],SrcDB[Dodavatel_ICO]=$K131)))</f>
        <v>10</v>
      </c>
      <c r="AK131" s="3">
        <f t="shared" si="76"/>
        <v>0</v>
      </c>
      <c r="AL131" s="3">
        <f t="shared" si="77"/>
        <v>0</v>
      </c>
      <c r="AM131" s="17" t="str">
        <f>IF(SrcDB[[#This Row],[Pocet zmluv objednavatela]]&gt;3,SrcDB[[#This Row],[Objednavatel]],"Ostatné")</f>
        <v>Sociálna poisťovňa, ústredie</v>
      </c>
      <c r="AN131" s="17" t="str">
        <f>IF(SrcDB[[#This Row],[Pocet zmluv dodavatela]]&gt;3,SrcDB[[#This Row],[Dodavatel]],"Ostatné")</f>
        <v>DATALAN, a.s.</v>
      </c>
    </row>
    <row r="132" spans="1:40" x14ac:dyDescent="0.3">
      <c r="A132" s="2" t="s">
        <v>176</v>
      </c>
      <c r="B132" s="2">
        <v>4609527</v>
      </c>
      <c r="C132" s="3" t="str">
        <f t="shared" si="139"/>
        <v>Áno</v>
      </c>
      <c r="D132" s="3" t="str">
        <f t="shared" si="140"/>
        <v>Nie</v>
      </c>
      <c r="E132" s="3" t="s">
        <v>49</v>
      </c>
      <c r="F132" s="3" t="s">
        <v>48</v>
      </c>
      <c r="G132" s="2" t="str">
        <f t="shared" si="141"/>
        <v>Malé zmluvy</v>
      </c>
      <c r="H132" s="5">
        <v>35829141</v>
      </c>
      <c r="I132" s="2" t="s">
        <v>177</v>
      </c>
      <c r="J132" s="2" t="s">
        <v>178</v>
      </c>
      <c r="K132" s="5">
        <v>35955678</v>
      </c>
      <c r="L132" s="2" t="s">
        <v>179</v>
      </c>
      <c r="M132" s="2" t="s">
        <v>180</v>
      </c>
      <c r="N132" s="6">
        <v>43961.73846064815</v>
      </c>
      <c r="O132" s="4">
        <v>534460.80000000005</v>
      </c>
      <c r="P132" s="2">
        <v>358672</v>
      </c>
      <c r="Q132" s="2" t="s">
        <v>266</v>
      </c>
      <c r="R132" s="2" t="s">
        <v>267</v>
      </c>
      <c r="S132" s="2" t="s">
        <v>183</v>
      </c>
      <c r="T132" s="2" t="s">
        <v>183</v>
      </c>
      <c r="W132" s="4">
        <v>760</v>
      </c>
      <c r="X132" s="4">
        <v>912</v>
      </c>
      <c r="Y132" s="4">
        <f t="shared" ref="Y132" si="146">INDEX(InternalRates,MATCH($S132,InternalRates01,FALSE),2)</f>
        <v>278.98333333333335</v>
      </c>
      <c r="Z132" s="3" t="str">
        <f t="shared" si="144"/>
        <v>Nie</v>
      </c>
      <c r="AA132" s="3" t="str">
        <f t="shared" si="145"/>
        <v>ZoD</v>
      </c>
      <c r="AB132" s="4">
        <v>5</v>
      </c>
      <c r="AD132" s="3" t="s">
        <v>48</v>
      </c>
      <c r="AE132" s="6">
        <v>44424</v>
      </c>
      <c r="AF132" s="3" t="s">
        <v>59</v>
      </c>
      <c r="AG132" s="3" t="s">
        <v>60</v>
      </c>
      <c r="AH132" s="3">
        <f>YEAR(SrcDB[[#This Row],[Datum_zverejnenia]])</f>
        <v>2020</v>
      </c>
      <c r="AI132" s="3" cm="1">
        <f t="array" ref="AI132">COUNT(_xlfn.UNIQUE(_xlfn._xlws.FILTER(SrcDB[ID],SrcDB[Objednavatel_ICO]=$H132)))</f>
        <v>8</v>
      </c>
      <c r="AJ132" s="3" cm="1">
        <f t="array" ref="AJ132">COUNT(_xlfn.UNIQUE(_xlfn._xlws.FILTER(SrcDB[ID],SrcDB[Dodavatel_ICO]=$K132)))</f>
        <v>14</v>
      </c>
      <c r="AK132" s="3">
        <f t="shared" ref="AK132:AK195" si="147">IF($H131&lt;&gt;$H132,1,IF($B131&lt;&gt;$B132,1,0))</f>
        <v>1</v>
      </c>
      <c r="AL132" s="3">
        <f t="shared" ref="AL132:AL195" si="148">IF($K131&lt;&gt;$K132,1,IF($B131&lt;&gt;$B132,1,0))</f>
        <v>1</v>
      </c>
      <c r="AM132" s="17" t="str">
        <f>IF(SrcDB[[#This Row],[Pocet zmluv objednavatela]]&gt;3,SrcDB[[#This Row],[Objednavatel]],"Ostatné")</f>
        <v>Slovenská elektrizačná prenosová sústava, a.s.</v>
      </c>
      <c r="AN132" s="17" t="str">
        <f>IF(SrcDB[[#This Row],[Pocet zmluv dodavatela]]&gt;3,SrcDB[[#This Row],[Dodavatel]],"Ostatné")</f>
        <v>SOITRON, s.r.o.</v>
      </c>
    </row>
    <row r="133" spans="1:40" x14ac:dyDescent="0.3">
      <c r="A133" s="2" t="s">
        <v>268</v>
      </c>
      <c r="B133" s="2">
        <v>4624248</v>
      </c>
      <c r="C133" s="3" t="str">
        <f t="shared" si="139"/>
        <v>Nejasné</v>
      </c>
      <c r="D133" s="3" t="str">
        <f t="shared" si="140"/>
        <v>Nejasné</v>
      </c>
      <c r="E133" s="3" t="s">
        <v>48</v>
      </c>
      <c r="F133" s="3" t="s">
        <v>49</v>
      </c>
      <c r="G133" s="2" t="str">
        <f t="shared" si="141"/>
        <v>Malé zmluvy</v>
      </c>
      <c r="H133" s="5" t="s">
        <v>269</v>
      </c>
      <c r="I133" s="2" t="s">
        <v>270</v>
      </c>
      <c r="J133" s="2" t="s">
        <v>271</v>
      </c>
      <c r="K133" s="5" t="s">
        <v>272</v>
      </c>
      <c r="L133" s="2" t="s">
        <v>273</v>
      </c>
      <c r="M133" s="2" t="s">
        <v>274</v>
      </c>
      <c r="N133" s="6">
        <v>43959.793900462966</v>
      </c>
      <c r="O133" s="4">
        <v>250440</v>
      </c>
      <c r="P133" s="2">
        <v>1552144</v>
      </c>
      <c r="Q133" s="2" t="s">
        <v>275</v>
      </c>
      <c r="R133" s="2" t="s">
        <v>276</v>
      </c>
      <c r="S133" s="2" t="s">
        <v>183</v>
      </c>
      <c r="T133" s="2" t="s">
        <v>183</v>
      </c>
      <c r="W133" s="4">
        <v>972.96</v>
      </c>
      <c r="X133" s="4">
        <v>1167.5519999999999</v>
      </c>
      <c r="Y133" s="4">
        <f t="shared" ref="Y133" si="149">INDEX(InternalRates,MATCH($S133,InternalRates01,FALSE),2)</f>
        <v>278.98333333333335</v>
      </c>
      <c r="Z133" s="3" t="str">
        <f t="shared" si="144"/>
        <v>Nie</v>
      </c>
      <c r="AA133" s="3" t="str">
        <f t="shared" si="145"/>
        <v>SLA</v>
      </c>
      <c r="AB133" s="4">
        <v>1716</v>
      </c>
      <c r="AC133" s="4">
        <v>1716</v>
      </c>
      <c r="AD133" s="3" t="s">
        <v>48</v>
      </c>
      <c r="AE133" s="6">
        <v>44508</v>
      </c>
      <c r="AF133" s="3" t="s">
        <v>59</v>
      </c>
      <c r="AG133" s="3" t="s">
        <v>60</v>
      </c>
      <c r="AH133" s="3">
        <f>YEAR(SrcDB[[#This Row],[Datum_zverejnenia]])</f>
        <v>2020</v>
      </c>
      <c r="AI133" s="3" cm="1">
        <f t="array" ref="AI133">COUNT(_xlfn.UNIQUE(_xlfn._xlws.FILTER(SrcDB[ID],SrcDB[Objednavatel_ICO]=$H133)))</f>
        <v>2</v>
      </c>
      <c r="AJ133" s="3" cm="1">
        <f t="array" ref="AJ133">COUNT(_xlfn.UNIQUE(_xlfn._xlws.FILTER(SrcDB[ID],SrcDB[Dodavatel_ICO]=$K133)))</f>
        <v>2</v>
      </c>
      <c r="AK133" s="3">
        <f t="shared" si="147"/>
        <v>1</v>
      </c>
      <c r="AL133" s="3">
        <f t="shared" si="148"/>
        <v>1</v>
      </c>
      <c r="AM133" s="17" t="str">
        <f>IF(SrcDB[[#This Row],[Pocet zmluv objednavatela]]&gt;3,SrcDB[[#This Row],[Objednavatel]],"Ostatné")</f>
        <v>Ostatné</v>
      </c>
      <c r="AN133" s="17" t="str">
        <f>IF(SrcDB[[#This Row],[Pocet zmluv dodavatela]]&gt;3,SrcDB[[#This Row],[Dodavatel]],"Ostatné")</f>
        <v>Ostatné</v>
      </c>
    </row>
    <row r="134" spans="1:40" x14ac:dyDescent="0.3">
      <c r="A134" s="2" t="s">
        <v>277</v>
      </c>
      <c r="B134" s="2">
        <v>4653718</v>
      </c>
      <c r="C134" s="3" t="str">
        <f t="shared" si="139"/>
        <v>Nejasné</v>
      </c>
      <c r="D134" s="3" t="str">
        <f t="shared" si="140"/>
        <v>Nejasné</v>
      </c>
      <c r="E134" s="3" t="s">
        <v>49</v>
      </c>
      <c r="F134" s="3" t="s">
        <v>48</v>
      </c>
      <c r="G134" s="2" t="str">
        <f t="shared" si="141"/>
        <v>Malé zmluvy</v>
      </c>
      <c r="H134" s="5" t="s">
        <v>278</v>
      </c>
      <c r="I134" s="2" t="s">
        <v>279</v>
      </c>
      <c r="J134" s="2" t="s">
        <v>280</v>
      </c>
      <c r="K134" s="5">
        <v>46192581</v>
      </c>
      <c r="L134" s="2" t="s">
        <v>281</v>
      </c>
      <c r="M134" s="2" t="s">
        <v>282</v>
      </c>
      <c r="N134" s="6">
        <v>43965.572997685187</v>
      </c>
      <c r="O134" s="4">
        <v>909840</v>
      </c>
      <c r="P134" s="2">
        <v>114733</v>
      </c>
      <c r="Q134" s="2" t="s">
        <v>283</v>
      </c>
      <c r="R134" s="2" t="s">
        <v>284</v>
      </c>
      <c r="S134" s="2" t="s">
        <v>71</v>
      </c>
      <c r="T134" s="2" t="s">
        <v>196</v>
      </c>
      <c r="W134" s="4">
        <v>640</v>
      </c>
      <c r="X134" s="4">
        <v>768</v>
      </c>
      <c r="Y134" s="4">
        <f t="shared" ref="Y134" si="150">INDEX(InternalRates,MATCH($S134,InternalRates01,FALSE),2)</f>
        <v>354.0333333333333</v>
      </c>
      <c r="Z134" s="3" t="str">
        <f t="shared" si="144"/>
        <v>Nie</v>
      </c>
      <c r="AA134" s="3" t="str">
        <f t="shared" si="145"/>
        <v>ZoD</v>
      </c>
      <c r="AB134" s="4">
        <v>40</v>
      </c>
      <c r="AD134" s="3" t="s">
        <v>49</v>
      </c>
      <c r="AE134" s="6">
        <v>44420</v>
      </c>
      <c r="AF134" s="3" t="s">
        <v>59</v>
      </c>
      <c r="AG134" s="3" t="s">
        <v>60</v>
      </c>
      <c r="AH134" s="3">
        <f>YEAR(SrcDB[[#This Row],[Datum_zverejnenia]])</f>
        <v>2020</v>
      </c>
      <c r="AI134" s="3" cm="1">
        <f t="array" ref="AI134">COUNT(_xlfn.UNIQUE(_xlfn._xlws.FILTER(SrcDB[ID],SrcDB[Objednavatel_ICO]=$H134)))</f>
        <v>6</v>
      </c>
      <c r="AJ134" s="3" cm="1">
        <f t="array" ref="AJ134">COUNT(_xlfn.UNIQUE(_xlfn._xlws.FILTER(SrcDB[ID],SrcDB[Dodavatel_ICO]=$K134)))</f>
        <v>1</v>
      </c>
      <c r="AK134" s="3">
        <f t="shared" si="147"/>
        <v>1</v>
      </c>
      <c r="AL134" s="3">
        <f t="shared" si="148"/>
        <v>1</v>
      </c>
      <c r="AM134" s="17" t="str">
        <f>IF(SrcDB[[#This Row],[Pocet zmluv objednavatela]]&gt;3,SrcDB[[#This Row],[Objednavatel]],"Ostatné")</f>
        <v>Štatistický úrad SR</v>
      </c>
      <c r="AN134" s="17" t="str">
        <f>IF(SrcDB[[#This Row],[Pocet zmluv dodavatela]]&gt;3,SrcDB[[#This Row],[Dodavatel]],"Ostatné")</f>
        <v>Ostatné</v>
      </c>
    </row>
    <row r="135" spans="1:40" x14ac:dyDescent="0.3">
      <c r="A135" s="2" t="s">
        <v>277</v>
      </c>
      <c r="B135" s="2">
        <v>4653718</v>
      </c>
      <c r="C135" s="3" t="str">
        <f t="shared" si="139"/>
        <v>Nejasné</v>
      </c>
      <c r="D135" s="3" t="str">
        <f t="shared" si="140"/>
        <v>Nejasné</v>
      </c>
      <c r="E135" s="3" t="s">
        <v>49</v>
      </c>
      <c r="F135" s="3" t="s">
        <v>48</v>
      </c>
      <c r="G135" s="2" t="str">
        <f t="shared" si="141"/>
        <v>Malé zmluvy</v>
      </c>
      <c r="H135" s="5" t="s">
        <v>278</v>
      </c>
      <c r="I135" s="2" t="s">
        <v>279</v>
      </c>
      <c r="J135" s="2" t="s">
        <v>280</v>
      </c>
      <c r="K135" s="5">
        <v>46192581</v>
      </c>
      <c r="L135" s="2" t="s">
        <v>281</v>
      </c>
      <c r="M135" s="2" t="s">
        <v>282</v>
      </c>
      <c r="N135" s="6">
        <v>43965.572997685187</v>
      </c>
      <c r="O135" s="4">
        <v>909840</v>
      </c>
      <c r="P135" s="2">
        <v>114733</v>
      </c>
      <c r="Q135" s="2" t="s">
        <v>283</v>
      </c>
      <c r="R135" s="2" t="s">
        <v>284</v>
      </c>
      <c r="S135" s="2" t="s">
        <v>73</v>
      </c>
      <c r="T135" s="2" t="s">
        <v>90</v>
      </c>
      <c r="W135" s="4">
        <v>560</v>
      </c>
      <c r="X135" s="4">
        <v>672</v>
      </c>
      <c r="Y135" s="4">
        <f t="shared" ref="Y135" si="151">INDEX(InternalRates,MATCH($S135,InternalRates01,FALSE),2)</f>
        <v>278.98333333333335</v>
      </c>
      <c r="Z135" s="3" t="str">
        <f t="shared" si="144"/>
        <v>Nie</v>
      </c>
      <c r="AA135" s="3" t="str">
        <f t="shared" si="145"/>
        <v>ZoD</v>
      </c>
      <c r="AB135" s="4">
        <v>140</v>
      </c>
      <c r="AD135" s="3" t="s">
        <v>49</v>
      </c>
      <c r="AE135" s="6">
        <v>44420</v>
      </c>
      <c r="AF135" s="3" t="s">
        <v>59</v>
      </c>
      <c r="AG135" s="3" t="s">
        <v>60</v>
      </c>
      <c r="AH135" s="3">
        <f>YEAR(SrcDB[[#This Row],[Datum_zverejnenia]])</f>
        <v>2020</v>
      </c>
      <c r="AI135" s="3" cm="1">
        <f t="array" ref="AI135">COUNT(_xlfn.UNIQUE(_xlfn._xlws.FILTER(SrcDB[ID],SrcDB[Objednavatel_ICO]=$H135)))</f>
        <v>6</v>
      </c>
      <c r="AJ135" s="3" cm="1">
        <f t="array" ref="AJ135">COUNT(_xlfn.UNIQUE(_xlfn._xlws.FILTER(SrcDB[ID],SrcDB[Dodavatel_ICO]=$K135)))</f>
        <v>1</v>
      </c>
      <c r="AK135" s="3">
        <f t="shared" si="147"/>
        <v>0</v>
      </c>
      <c r="AL135" s="3">
        <f t="shared" si="148"/>
        <v>0</v>
      </c>
      <c r="AM135" s="17" t="str">
        <f>IF(SrcDB[[#This Row],[Pocet zmluv objednavatela]]&gt;3,SrcDB[[#This Row],[Objednavatel]],"Ostatné")</f>
        <v>Štatistický úrad SR</v>
      </c>
      <c r="AN135" s="17" t="str">
        <f>IF(SrcDB[[#This Row],[Pocet zmluv dodavatela]]&gt;3,SrcDB[[#This Row],[Dodavatel]],"Ostatné")</f>
        <v>Ostatné</v>
      </c>
    </row>
    <row r="136" spans="1:40" x14ac:dyDescent="0.3">
      <c r="A136" s="2" t="s">
        <v>277</v>
      </c>
      <c r="B136" s="2">
        <v>4653718</v>
      </c>
      <c r="C136" s="3" t="str">
        <f t="shared" si="139"/>
        <v>Nejasné</v>
      </c>
      <c r="D136" s="3" t="str">
        <f t="shared" si="140"/>
        <v>Nejasné</v>
      </c>
      <c r="E136" s="3" t="s">
        <v>49</v>
      </c>
      <c r="F136" s="3" t="s">
        <v>48</v>
      </c>
      <c r="G136" s="2" t="str">
        <f t="shared" si="141"/>
        <v>Malé zmluvy</v>
      </c>
      <c r="H136" s="5" t="s">
        <v>278</v>
      </c>
      <c r="I136" s="2" t="s">
        <v>279</v>
      </c>
      <c r="J136" s="2" t="s">
        <v>280</v>
      </c>
      <c r="K136" s="5">
        <v>46192581</v>
      </c>
      <c r="L136" s="2" t="s">
        <v>281</v>
      </c>
      <c r="M136" s="2" t="s">
        <v>282</v>
      </c>
      <c r="N136" s="6">
        <v>43965</v>
      </c>
      <c r="O136" s="4">
        <v>909840</v>
      </c>
      <c r="P136" s="2">
        <v>114733</v>
      </c>
      <c r="Q136" s="2" t="s">
        <v>283</v>
      </c>
      <c r="R136" s="2" t="s">
        <v>284</v>
      </c>
      <c r="S136" s="2" t="s">
        <v>56</v>
      </c>
      <c r="T136" s="2" t="s">
        <v>94</v>
      </c>
      <c r="U136" s="2" t="s">
        <v>95</v>
      </c>
      <c r="W136" s="4">
        <v>600</v>
      </c>
      <c r="X136" s="4">
        <v>720</v>
      </c>
      <c r="Y136" s="4">
        <f t="shared" ref="Y136" si="152">INDEX(InternalRates,MATCH($S136,InternalRates01,FALSE),2)</f>
        <v>278.98333333333335</v>
      </c>
      <c r="Z136" s="3" t="str">
        <f t="shared" si="144"/>
        <v>Nie</v>
      </c>
      <c r="AA136" s="3" t="str">
        <f t="shared" si="145"/>
        <v>ZoD</v>
      </c>
      <c r="AB136" s="4">
        <v>20</v>
      </c>
      <c r="AD136" s="3" t="s">
        <v>49</v>
      </c>
      <c r="AE136" s="6">
        <v>44420</v>
      </c>
      <c r="AF136" s="3" t="s">
        <v>59</v>
      </c>
      <c r="AG136" s="3" t="s">
        <v>60</v>
      </c>
      <c r="AH136" s="3">
        <f>YEAR(SrcDB[[#This Row],[Datum_zverejnenia]])</f>
        <v>2020</v>
      </c>
      <c r="AI136" s="3" cm="1">
        <f t="array" ref="AI136">COUNT(_xlfn.UNIQUE(_xlfn._xlws.FILTER(SrcDB[ID],SrcDB[Objednavatel_ICO]=$H136)))</f>
        <v>6</v>
      </c>
      <c r="AJ136" s="3" cm="1">
        <f t="array" ref="AJ136">COUNT(_xlfn.UNIQUE(_xlfn._xlws.FILTER(SrcDB[ID],SrcDB[Dodavatel_ICO]=$K136)))</f>
        <v>1</v>
      </c>
      <c r="AK136" s="3">
        <f t="shared" si="147"/>
        <v>0</v>
      </c>
      <c r="AL136" s="3">
        <f t="shared" si="148"/>
        <v>0</v>
      </c>
      <c r="AM136" s="17" t="str">
        <f>IF(SrcDB[[#This Row],[Pocet zmluv objednavatela]]&gt;3,SrcDB[[#This Row],[Objednavatel]],"Ostatné")</f>
        <v>Štatistický úrad SR</v>
      </c>
      <c r="AN136" s="17" t="str">
        <f>IF(SrcDB[[#This Row],[Pocet zmluv dodavatela]]&gt;3,SrcDB[[#This Row],[Dodavatel]],"Ostatné")</f>
        <v>Ostatné</v>
      </c>
    </row>
    <row r="137" spans="1:40" x14ac:dyDescent="0.3">
      <c r="A137" s="2" t="s">
        <v>277</v>
      </c>
      <c r="B137" s="2">
        <v>4653718</v>
      </c>
      <c r="C137" s="3" t="str">
        <f t="shared" si="139"/>
        <v>Nejasné</v>
      </c>
      <c r="D137" s="3" t="str">
        <f t="shared" si="140"/>
        <v>Nejasné</v>
      </c>
      <c r="E137" s="3" t="s">
        <v>49</v>
      </c>
      <c r="F137" s="3" t="s">
        <v>48</v>
      </c>
      <c r="G137" s="2" t="str">
        <f t="shared" si="141"/>
        <v>Malé zmluvy</v>
      </c>
      <c r="H137" s="5" t="s">
        <v>278</v>
      </c>
      <c r="I137" s="2" t="s">
        <v>279</v>
      </c>
      <c r="J137" s="2" t="s">
        <v>280</v>
      </c>
      <c r="K137" s="5">
        <v>46192581</v>
      </c>
      <c r="L137" s="2" t="s">
        <v>281</v>
      </c>
      <c r="M137" s="2" t="s">
        <v>282</v>
      </c>
      <c r="N137" s="6">
        <v>43965</v>
      </c>
      <c r="O137" s="4">
        <v>909840</v>
      </c>
      <c r="P137" s="2">
        <v>114733</v>
      </c>
      <c r="Q137" s="2" t="s">
        <v>283</v>
      </c>
      <c r="R137" s="2" t="s">
        <v>284</v>
      </c>
      <c r="S137" s="2" t="s">
        <v>56</v>
      </c>
      <c r="T137" s="2" t="s">
        <v>96</v>
      </c>
      <c r="U137" s="2" t="s">
        <v>97</v>
      </c>
      <c r="W137" s="4">
        <v>680</v>
      </c>
      <c r="X137" s="4">
        <v>816</v>
      </c>
      <c r="Y137" s="4">
        <f t="shared" ref="Y137" si="153">INDEX(InternalRates,MATCH($S137,InternalRates01,FALSE),2)</f>
        <v>278.98333333333335</v>
      </c>
      <c r="Z137" s="3" t="str">
        <f t="shared" si="144"/>
        <v>Nie</v>
      </c>
      <c r="AA137" s="3" t="str">
        <f t="shared" si="145"/>
        <v>ZoD</v>
      </c>
      <c r="AB137" s="4">
        <v>40</v>
      </c>
      <c r="AD137" s="3" t="s">
        <v>49</v>
      </c>
      <c r="AE137" s="6">
        <v>44420</v>
      </c>
      <c r="AF137" s="3" t="s">
        <v>59</v>
      </c>
      <c r="AG137" s="3" t="s">
        <v>60</v>
      </c>
      <c r="AH137" s="3">
        <f>YEAR(SrcDB[[#This Row],[Datum_zverejnenia]])</f>
        <v>2020</v>
      </c>
      <c r="AI137" s="3" cm="1">
        <f t="array" ref="AI137">COUNT(_xlfn.UNIQUE(_xlfn._xlws.FILTER(SrcDB[ID],SrcDB[Objednavatel_ICO]=$H137)))</f>
        <v>6</v>
      </c>
      <c r="AJ137" s="3" cm="1">
        <f t="array" ref="AJ137">COUNT(_xlfn.UNIQUE(_xlfn._xlws.FILTER(SrcDB[ID],SrcDB[Dodavatel_ICO]=$K137)))</f>
        <v>1</v>
      </c>
      <c r="AK137" s="3">
        <f t="shared" si="147"/>
        <v>0</v>
      </c>
      <c r="AL137" s="3">
        <f t="shared" si="148"/>
        <v>0</v>
      </c>
      <c r="AM137" s="17" t="str">
        <f>IF(SrcDB[[#This Row],[Pocet zmluv objednavatela]]&gt;3,SrcDB[[#This Row],[Objednavatel]],"Ostatné")</f>
        <v>Štatistický úrad SR</v>
      </c>
      <c r="AN137" s="17" t="str">
        <f>IF(SrcDB[[#This Row],[Pocet zmluv dodavatela]]&gt;3,SrcDB[[#This Row],[Dodavatel]],"Ostatné")</f>
        <v>Ostatné</v>
      </c>
    </row>
    <row r="138" spans="1:40" x14ac:dyDescent="0.3">
      <c r="A138" s="2" t="s">
        <v>277</v>
      </c>
      <c r="B138" s="2">
        <v>4653718</v>
      </c>
      <c r="C138" s="3" t="str">
        <f t="shared" si="139"/>
        <v>Nejasné</v>
      </c>
      <c r="D138" s="3" t="str">
        <f t="shared" si="140"/>
        <v>Nejasné</v>
      </c>
      <c r="E138" s="3" t="s">
        <v>49</v>
      </c>
      <c r="F138" s="3" t="s">
        <v>48</v>
      </c>
      <c r="G138" s="2" t="str">
        <f t="shared" si="141"/>
        <v>Malé zmluvy</v>
      </c>
      <c r="H138" s="5" t="s">
        <v>278</v>
      </c>
      <c r="I138" s="2" t="s">
        <v>279</v>
      </c>
      <c r="J138" s="2" t="s">
        <v>280</v>
      </c>
      <c r="K138" s="5">
        <v>46192581</v>
      </c>
      <c r="L138" s="2" t="s">
        <v>281</v>
      </c>
      <c r="M138" s="2" t="s">
        <v>282</v>
      </c>
      <c r="N138" s="6">
        <v>43965</v>
      </c>
      <c r="O138" s="4">
        <v>909840</v>
      </c>
      <c r="P138" s="2">
        <v>114733</v>
      </c>
      <c r="Q138" s="2" t="s">
        <v>283</v>
      </c>
      <c r="R138" s="2" t="s">
        <v>284</v>
      </c>
      <c r="S138" s="2" t="s">
        <v>69</v>
      </c>
      <c r="T138" s="2" t="s">
        <v>285</v>
      </c>
      <c r="W138" s="4">
        <v>520</v>
      </c>
      <c r="X138" s="4">
        <v>624</v>
      </c>
      <c r="Y138" s="4">
        <f t="shared" ref="Y138" si="154">INDEX(InternalRates,MATCH($S138,InternalRates01,FALSE),2)</f>
        <v>278.98333333333335</v>
      </c>
      <c r="Z138" s="3" t="str">
        <f t="shared" si="144"/>
        <v>Nie</v>
      </c>
      <c r="AA138" s="3" t="str">
        <f t="shared" si="145"/>
        <v>ZoD</v>
      </c>
      <c r="AB138" s="4">
        <v>15</v>
      </c>
      <c r="AD138" s="3" t="s">
        <v>49</v>
      </c>
      <c r="AE138" s="6">
        <v>44420</v>
      </c>
      <c r="AF138" s="3" t="s">
        <v>59</v>
      </c>
      <c r="AG138" s="3" t="s">
        <v>60</v>
      </c>
      <c r="AH138" s="3">
        <f>YEAR(SrcDB[[#This Row],[Datum_zverejnenia]])</f>
        <v>2020</v>
      </c>
      <c r="AI138" s="3" cm="1">
        <f t="array" ref="AI138">COUNT(_xlfn.UNIQUE(_xlfn._xlws.FILTER(SrcDB[ID],SrcDB[Objednavatel_ICO]=$H138)))</f>
        <v>6</v>
      </c>
      <c r="AJ138" s="3" cm="1">
        <f t="array" ref="AJ138">COUNT(_xlfn.UNIQUE(_xlfn._xlws.FILTER(SrcDB[ID],SrcDB[Dodavatel_ICO]=$K138)))</f>
        <v>1</v>
      </c>
      <c r="AK138" s="3">
        <f t="shared" si="147"/>
        <v>0</v>
      </c>
      <c r="AL138" s="3">
        <f t="shared" si="148"/>
        <v>0</v>
      </c>
      <c r="AM138" s="17" t="str">
        <f>IF(SrcDB[[#This Row],[Pocet zmluv objednavatela]]&gt;3,SrcDB[[#This Row],[Objednavatel]],"Ostatné")</f>
        <v>Štatistický úrad SR</v>
      </c>
      <c r="AN138" s="17" t="str">
        <f>IF(SrcDB[[#This Row],[Pocet zmluv dodavatela]]&gt;3,SrcDB[[#This Row],[Dodavatel]],"Ostatné")</f>
        <v>Ostatné</v>
      </c>
    </row>
    <row r="139" spans="1:40" x14ac:dyDescent="0.3">
      <c r="A139" s="2" t="s">
        <v>277</v>
      </c>
      <c r="B139" s="2">
        <v>4653718</v>
      </c>
      <c r="C139" s="3" t="str">
        <f t="shared" si="139"/>
        <v>Nejasné</v>
      </c>
      <c r="D139" s="3" t="str">
        <f t="shared" si="140"/>
        <v>Nejasné</v>
      </c>
      <c r="E139" s="3" t="s">
        <v>49</v>
      </c>
      <c r="F139" s="3" t="s">
        <v>48</v>
      </c>
      <c r="G139" s="2" t="str">
        <f t="shared" si="141"/>
        <v>Malé zmluvy</v>
      </c>
      <c r="H139" s="5" t="s">
        <v>278</v>
      </c>
      <c r="I139" s="2" t="s">
        <v>279</v>
      </c>
      <c r="J139" s="2" t="s">
        <v>280</v>
      </c>
      <c r="K139" s="5">
        <v>46192581</v>
      </c>
      <c r="L139" s="2" t="s">
        <v>281</v>
      </c>
      <c r="M139" s="2" t="s">
        <v>282</v>
      </c>
      <c r="N139" s="6">
        <v>43965</v>
      </c>
      <c r="O139" s="4">
        <v>909840</v>
      </c>
      <c r="P139" s="2">
        <v>114733</v>
      </c>
      <c r="Q139" s="2" t="s">
        <v>283</v>
      </c>
      <c r="R139" s="2" t="s">
        <v>284</v>
      </c>
      <c r="S139" s="2" t="s">
        <v>77</v>
      </c>
      <c r="T139" s="2" t="s">
        <v>92</v>
      </c>
      <c r="W139" s="4">
        <v>640</v>
      </c>
      <c r="X139" s="4">
        <v>768</v>
      </c>
      <c r="Y139" s="4">
        <f t="shared" ref="Y139" si="155">INDEX(InternalRates,MATCH($S139,InternalRates01,FALSE),2)</f>
        <v>278.98333333333335</v>
      </c>
      <c r="Z139" s="3" t="str">
        <f t="shared" si="144"/>
        <v>Nie</v>
      </c>
      <c r="AA139" s="3" t="str">
        <f t="shared" si="145"/>
        <v>ZoD</v>
      </c>
      <c r="AB139" s="4">
        <v>10</v>
      </c>
      <c r="AD139" s="3" t="s">
        <v>49</v>
      </c>
      <c r="AE139" s="6">
        <v>44420</v>
      </c>
      <c r="AF139" s="3" t="s">
        <v>59</v>
      </c>
      <c r="AG139" s="3" t="s">
        <v>60</v>
      </c>
      <c r="AH139" s="3">
        <f>YEAR(SrcDB[[#This Row],[Datum_zverejnenia]])</f>
        <v>2020</v>
      </c>
      <c r="AI139" s="3" cm="1">
        <f t="array" ref="AI139">COUNT(_xlfn.UNIQUE(_xlfn._xlws.FILTER(SrcDB[ID],SrcDB[Objednavatel_ICO]=$H139)))</f>
        <v>6</v>
      </c>
      <c r="AJ139" s="3" cm="1">
        <f t="array" ref="AJ139">COUNT(_xlfn.UNIQUE(_xlfn._xlws.FILTER(SrcDB[ID],SrcDB[Dodavatel_ICO]=$K139)))</f>
        <v>1</v>
      </c>
      <c r="AK139" s="3">
        <f t="shared" si="147"/>
        <v>0</v>
      </c>
      <c r="AL139" s="3">
        <f t="shared" si="148"/>
        <v>0</v>
      </c>
      <c r="AM139" s="17" t="str">
        <f>IF(SrcDB[[#This Row],[Pocet zmluv objednavatela]]&gt;3,SrcDB[[#This Row],[Objednavatel]],"Ostatné")</f>
        <v>Štatistický úrad SR</v>
      </c>
      <c r="AN139" s="17" t="str">
        <f>IF(SrcDB[[#This Row],[Pocet zmluv dodavatela]]&gt;3,SrcDB[[#This Row],[Dodavatel]],"Ostatné")</f>
        <v>Ostatné</v>
      </c>
    </row>
    <row r="140" spans="1:40" x14ac:dyDescent="0.3">
      <c r="A140" s="2" t="s">
        <v>277</v>
      </c>
      <c r="B140" s="2">
        <v>4653718</v>
      </c>
      <c r="C140" s="3" t="str">
        <f t="shared" si="139"/>
        <v>Nejasné</v>
      </c>
      <c r="D140" s="3" t="str">
        <f t="shared" si="140"/>
        <v>Nejasné</v>
      </c>
      <c r="E140" s="3" t="s">
        <v>49</v>
      </c>
      <c r="F140" s="3" t="s">
        <v>48</v>
      </c>
      <c r="G140" s="2" t="str">
        <f t="shared" si="141"/>
        <v>Malé zmluvy</v>
      </c>
      <c r="H140" s="5" t="s">
        <v>278</v>
      </c>
      <c r="I140" s="2" t="s">
        <v>279</v>
      </c>
      <c r="J140" s="2" t="s">
        <v>280</v>
      </c>
      <c r="K140" s="5">
        <v>46192581</v>
      </c>
      <c r="L140" s="2" t="s">
        <v>281</v>
      </c>
      <c r="M140" s="2" t="s">
        <v>282</v>
      </c>
      <c r="N140" s="6">
        <v>43965</v>
      </c>
      <c r="O140" s="4">
        <v>909840</v>
      </c>
      <c r="P140" s="2">
        <v>114733</v>
      </c>
      <c r="Q140" s="2" t="s">
        <v>283</v>
      </c>
      <c r="R140" s="2" t="s">
        <v>284</v>
      </c>
      <c r="S140" s="2" t="s">
        <v>56</v>
      </c>
      <c r="T140" s="2" t="s">
        <v>286</v>
      </c>
      <c r="U140" s="2" t="s">
        <v>129</v>
      </c>
      <c r="W140" s="4">
        <v>680</v>
      </c>
      <c r="X140" s="4">
        <v>816</v>
      </c>
      <c r="Y140" s="4">
        <f t="shared" ref="Y140" si="156">INDEX(InternalRates,MATCH($S140,InternalRates01,FALSE),2)</f>
        <v>278.98333333333335</v>
      </c>
      <c r="Z140" s="3" t="str">
        <f t="shared" si="144"/>
        <v>Nie</v>
      </c>
      <c r="AA140" s="3" t="str">
        <f t="shared" si="145"/>
        <v>ZoD</v>
      </c>
      <c r="AB140" s="4">
        <v>40</v>
      </c>
      <c r="AD140" s="3" t="s">
        <v>49</v>
      </c>
      <c r="AE140" s="6">
        <v>44420</v>
      </c>
      <c r="AF140" s="3" t="s">
        <v>59</v>
      </c>
      <c r="AG140" s="3" t="s">
        <v>60</v>
      </c>
      <c r="AH140" s="3">
        <f>YEAR(SrcDB[[#This Row],[Datum_zverejnenia]])</f>
        <v>2020</v>
      </c>
      <c r="AI140" s="3" cm="1">
        <f t="array" ref="AI140">COUNT(_xlfn.UNIQUE(_xlfn._xlws.FILTER(SrcDB[ID],SrcDB[Objednavatel_ICO]=$H140)))</f>
        <v>6</v>
      </c>
      <c r="AJ140" s="3" cm="1">
        <f t="array" ref="AJ140">COUNT(_xlfn.UNIQUE(_xlfn._xlws.FILTER(SrcDB[ID],SrcDB[Dodavatel_ICO]=$K140)))</f>
        <v>1</v>
      </c>
      <c r="AK140" s="3">
        <f t="shared" si="147"/>
        <v>0</v>
      </c>
      <c r="AL140" s="3">
        <f t="shared" si="148"/>
        <v>0</v>
      </c>
      <c r="AM140" s="17" t="str">
        <f>IF(SrcDB[[#This Row],[Pocet zmluv objednavatela]]&gt;3,SrcDB[[#This Row],[Objednavatel]],"Ostatné")</f>
        <v>Štatistický úrad SR</v>
      </c>
      <c r="AN140" s="17" t="str">
        <f>IF(SrcDB[[#This Row],[Pocet zmluv dodavatela]]&gt;3,SrcDB[[#This Row],[Dodavatel]],"Ostatné")</f>
        <v>Ostatné</v>
      </c>
    </row>
    <row r="141" spans="1:40" x14ac:dyDescent="0.3">
      <c r="A141" s="2" t="s">
        <v>277</v>
      </c>
      <c r="B141" s="2">
        <v>4653718</v>
      </c>
      <c r="C141" s="3" t="str">
        <f t="shared" si="139"/>
        <v>Nejasné</v>
      </c>
      <c r="D141" s="3" t="str">
        <f t="shared" si="140"/>
        <v>Nejasné</v>
      </c>
      <c r="E141" s="3" t="s">
        <v>49</v>
      </c>
      <c r="F141" s="3" t="s">
        <v>48</v>
      </c>
      <c r="G141" s="2" t="str">
        <f t="shared" si="141"/>
        <v>Malé zmluvy</v>
      </c>
      <c r="H141" s="5" t="s">
        <v>278</v>
      </c>
      <c r="I141" s="2" t="s">
        <v>279</v>
      </c>
      <c r="J141" s="2" t="s">
        <v>280</v>
      </c>
      <c r="K141" s="5">
        <v>46192581</v>
      </c>
      <c r="L141" s="2" t="s">
        <v>281</v>
      </c>
      <c r="M141" s="2" t="s">
        <v>282</v>
      </c>
      <c r="N141" s="6">
        <v>43965</v>
      </c>
      <c r="O141" s="4">
        <v>909840</v>
      </c>
      <c r="P141" s="2">
        <v>114733</v>
      </c>
      <c r="Q141" s="2" t="s">
        <v>283</v>
      </c>
      <c r="R141" s="2" t="s">
        <v>284</v>
      </c>
      <c r="S141" s="2" t="s">
        <v>98</v>
      </c>
      <c r="T141" s="2" t="s">
        <v>287</v>
      </c>
      <c r="W141" s="4">
        <v>420</v>
      </c>
      <c r="X141" s="4">
        <v>504</v>
      </c>
      <c r="Y141" s="4">
        <f t="shared" ref="Y141" si="157">INDEX(InternalRates,MATCH($S141,InternalRates01,FALSE),2)</f>
        <v>278.98333333333335</v>
      </c>
      <c r="Z141" s="3" t="str">
        <f t="shared" si="144"/>
        <v>Nie</v>
      </c>
      <c r="AA141" s="3" t="str">
        <f t="shared" si="145"/>
        <v>ZoD</v>
      </c>
      <c r="AB141" s="4">
        <v>10</v>
      </c>
      <c r="AD141" s="3" t="s">
        <v>49</v>
      </c>
      <c r="AE141" s="6">
        <v>44420</v>
      </c>
      <c r="AF141" s="3" t="s">
        <v>59</v>
      </c>
      <c r="AG141" s="3" t="s">
        <v>60</v>
      </c>
      <c r="AH141" s="3">
        <f>YEAR(SrcDB[[#This Row],[Datum_zverejnenia]])</f>
        <v>2020</v>
      </c>
      <c r="AI141" s="3" cm="1">
        <f t="array" ref="AI141">COUNT(_xlfn.UNIQUE(_xlfn._xlws.FILTER(SrcDB[ID],SrcDB[Objednavatel_ICO]=$H141)))</f>
        <v>6</v>
      </c>
      <c r="AJ141" s="3" cm="1">
        <f t="array" ref="AJ141">COUNT(_xlfn.UNIQUE(_xlfn._xlws.FILTER(SrcDB[ID],SrcDB[Dodavatel_ICO]=$K141)))</f>
        <v>1</v>
      </c>
      <c r="AK141" s="3">
        <f t="shared" si="147"/>
        <v>0</v>
      </c>
      <c r="AL141" s="3">
        <f t="shared" si="148"/>
        <v>0</v>
      </c>
      <c r="AM141" s="17" t="str">
        <f>IF(SrcDB[[#This Row],[Pocet zmluv objednavatela]]&gt;3,SrcDB[[#This Row],[Objednavatel]],"Ostatné")</f>
        <v>Štatistický úrad SR</v>
      </c>
      <c r="AN141" s="17" t="str">
        <f>IF(SrcDB[[#This Row],[Pocet zmluv dodavatela]]&gt;3,SrcDB[[#This Row],[Dodavatel]],"Ostatné")</f>
        <v>Ostatné</v>
      </c>
    </row>
    <row r="142" spans="1:40" x14ac:dyDescent="0.3">
      <c r="A142" s="2" t="s">
        <v>277</v>
      </c>
      <c r="B142" s="2">
        <v>4653718</v>
      </c>
      <c r="C142" s="3" t="str">
        <f t="shared" si="139"/>
        <v>Nejasné</v>
      </c>
      <c r="D142" s="3" t="str">
        <f t="shared" si="140"/>
        <v>Nejasné</v>
      </c>
      <c r="E142" s="3" t="s">
        <v>49</v>
      </c>
      <c r="F142" s="3" t="s">
        <v>48</v>
      </c>
      <c r="G142" s="2" t="str">
        <f t="shared" si="141"/>
        <v>Malé zmluvy</v>
      </c>
      <c r="H142" s="5" t="s">
        <v>278</v>
      </c>
      <c r="I142" s="2" t="s">
        <v>279</v>
      </c>
      <c r="J142" s="2" t="s">
        <v>280</v>
      </c>
      <c r="K142" s="5">
        <v>46192581</v>
      </c>
      <c r="L142" s="2" t="s">
        <v>281</v>
      </c>
      <c r="M142" s="2" t="s">
        <v>282</v>
      </c>
      <c r="N142" s="6">
        <v>43965</v>
      </c>
      <c r="O142" s="4">
        <v>909840</v>
      </c>
      <c r="P142" s="2">
        <v>114733</v>
      </c>
      <c r="Q142" s="2" t="s">
        <v>283</v>
      </c>
      <c r="R142" s="2" t="s">
        <v>284</v>
      </c>
      <c r="S142" s="2" t="s">
        <v>79</v>
      </c>
      <c r="T142" s="2" t="s">
        <v>93</v>
      </c>
      <c r="W142" s="4">
        <v>440</v>
      </c>
      <c r="X142" s="4">
        <v>528</v>
      </c>
      <c r="Y142" s="4">
        <f t="shared" ref="Y142" si="158">INDEX(InternalRates,MATCH($S142,InternalRates01,FALSE),2)</f>
        <v>278.98333333333335</v>
      </c>
      <c r="Z142" s="3" t="str">
        <f t="shared" si="144"/>
        <v>Nie</v>
      </c>
      <c r="AA142" s="3" t="str">
        <f t="shared" si="145"/>
        <v>ZoD</v>
      </c>
      <c r="AB142" s="4">
        <v>75</v>
      </c>
      <c r="AD142" s="3" t="s">
        <v>49</v>
      </c>
      <c r="AE142" s="6">
        <v>44420</v>
      </c>
      <c r="AF142" s="3" t="s">
        <v>59</v>
      </c>
      <c r="AG142" s="3" t="s">
        <v>60</v>
      </c>
      <c r="AH142" s="3">
        <f>YEAR(SrcDB[[#This Row],[Datum_zverejnenia]])</f>
        <v>2020</v>
      </c>
      <c r="AI142" s="3" cm="1">
        <f t="array" ref="AI142">COUNT(_xlfn.UNIQUE(_xlfn._xlws.FILTER(SrcDB[ID],SrcDB[Objednavatel_ICO]=$H142)))</f>
        <v>6</v>
      </c>
      <c r="AJ142" s="3" cm="1">
        <f t="array" ref="AJ142">COUNT(_xlfn.UNIQUE(_xlfn._xlws.FILTER(SrcDB[ID],SrcDB[Dodavatel_ICO]=$K142)))</f>
        <v>1</v>
      </c>
      <c r="AK142" s="3">
        <f t="shared" si="147"/>
        <v>0</v>
      </c>
      <c r="AL142" s="3">
        <f t="shared" si="148"/>
        <v>0</v>
      </c>
      <c r="AM142" s="17" t="str">
        <f>IF(SrcDB[[#This Row],[Pocet zmluv objednavatela]]&gt;3,SrcDB[[#This Row],[Objednavatel]],"Ostatné")</f>
        <v>Štatistický úrad SR</v>
      </c>
      <c r="AN142" s="17" t="str">
        <f>IF(SrcDB[[#This Row],[Pocet zmluv dodavatela]]&gt;3,SrcDB[[#This Row],[Dodavatel]],"Ostatné")</f>
        <v>Ostatné</v>
      </c>
    </row>
    <row r="143" spans="1:40" x14ac:dyDescent="0.3">
      <c r="A143" s="2" t="s">
        <v>277</v>
      </c>
      <c r="B143" s="2">
        <v>4653718</v>
      </c>
      <c r="C143" s="3" t="str">
        <f t="shared" si="139"/>
        <v>Nejasné</v>
      </c>
      <c r="D143" s="3" t="str">
        <f t="shared" si="140"/>
        <v>Nejasné</v>
      </c>
      <c r="E143" s="3" t="s">
        <v>49</v>
      </c>
      <c r="F143" s="3" t="s">
        <v>48</v>
      </c>
      <c r="G143" s="2" t="str">
        <f t="shared" si="141"/>
        <v>Malé zmluvy</v>
      </c>
      <c r="H143" s="5" t="s">
        <v>278</v>
      </c>
      <c r="I143" s="2" t="s">
        <v>279</v>
      </c>
      <c r="J143" s="2" t="s">
        <v>280</v>
      </c>
      <c r="K143" s="5">
        <v>46192581</v>
      </c>
      <c r="L143" s="2" t="s">
        <v>281</v>
      </c>
      <c r="M143" s="2" t="s">
        <v>282</v>
      </c>
      <c r="N143" s="6">
        <v>43965</v>
      </c>
      <c r="O143" s="4">
        <v>909840</v>
      </c>
      <c r="P143" s="2">
        <v>114733</v>
      </c>
      <c r="Q143" s="2" t="s">
        <v>283</v>
      </c>
      <c r="R143" s="2" t="s">
        <v>284</v>
      </c>
      <c r="S143" s="2" t="s">
        <v>56</v>
      </c>
      <c r="T143" s="2" t="s">
        <v>288</v>
      </c>
      <c r="U143" s="2" t="s">
        <v>289</v>
      </c>
      <c r="W143" s="4">
        <v>640</v>
      </c>
      <c r="X143" s="4">
        <v>768</v>
      </c>
      <c r="Y143" s="4">
        <f t="shared" ref="Y143" si="159">INDEX(InternalRates,MATCH($S143,InternalRates01,FALSE),2)</f>
        <v>278.98333333333335</v>
      </c>
      <c r="Z143" s="3" t="str">
        <f t="shared" si="144"/>
        <v>Nie</v>
      </c>
      <c r="AA143" s="3" t="str">
        <f t="shared" si="145"/>
        <v>ZoD</v>
      </c>
      <c r="AB143" s="4">
        <v>10</v>
      </c>
      <c r="AD143" s="3" t="s">
        <v>49</v>
      </c>
      <c r="AE143" s="6">
        <v>44420</v>
      </c>
      <c r="AF143" s="3" t="s">
        <v>59</v>
      </c>
      <c r="AG143" s="3" t="s">
        <v>60</v>
      </c>
      <c r="AH143" s="3">
        <f>YEAR(SrcDB[[#This Row],[Datum_zverejnenia]])</f>
        <v>2020</v>
      </c>
      <c r="AI143" s="3" cm="1">
        <f t="array" ref="AI143">COUNT(_xlfn.UNIQUE(_xlfn._xlws.FILTER(SrcDB[ID],SrcDB[Objednavatel_ICO]=$H143)))</f>
        <v>6</v>
      </c>
      <c r="AJ143" s="3" cm="1">
        <f t="array" ref="AJ143">COUNT(_xlfn.UNIQUE(_xlfn._xlws.FILTER(SrcDB[ID],SrcDB[Dodavatel_ICO]=$K143)))</f>
        <v>1</v>
      </c>
      <c r="AK143" s="3">
        <f t="shared" si="147"/>
        <v>0</v>
      </c>
      <c r="AL143" s="3">
        <f t="shared" si="148"/>
        <v>0</v>
      </c>
      <c r="AM143" s="17" t="str">
        <f>IF(SrcDB[[#This Row],[Pocet zmluv objednavatela]]&gt;3,SrcDB[[#This Row],[Objednavatel]],"Ostatné")</f>
        <v>Štatistický úrad SR</v>
      </c>
      <c r="AN143" s="17" t="str">
        <f>IF(SrcDB[[#This Row],[Pocet zmluv dodavatela]]&gt;3,SrcDB[[#This Row],[Dodavatel]],"Ostatné")</f>
        <v>Ostatné</v>
      </c>
    </row>
    <row r="144" spans="1:40" x14ac:dyDescent="0.3">
      <c r="A144" s="2" t="s">
        <v>290</v>
      </c>
      <c r="B144" s="2">
        <v>4653826</v>
      </c>
      <c r="C144" s="3" t="str">
        <f t="shared" si="139"/>
        <v>Nejasné</v>
      </c>
      <c r="D144" s="3" t="str">
        <f t="shared" si="140"/>
        <v>Nejasné</v>
      </c>
      <c r="E144" s="3" t="s">
        <v>49</v>
      </c>
      <c r="F144" s="3" t="s">
        <v>48</v>
      </c>
      <c r="G144" s="2" t="str">
        <f t="shared" si="141"/>
        <v>Malé zmluvy</v>
      </c>
      <c r="H144" s="5" t="s">
        <v>278</v>
      </c>
      <c r="I144" s="2" t="s">
        <v>279</v>
      </c>
      <c r="J144" s="2" t="s">
        <v>280</v>
      </c>
      <c r="K144" s="5">
        <v>35785284</v>
      </c>
      <c r="L144" s="2" t="s">
        <v>291</v>
      </c>
      <c r="M144" s="2" t="s">
        <v>292</v>
      </c>
      <c r="N144" s="6">
        <v>43965.576874999999</v>
      </c>
      <c r="O144" s="4">
        <v>959460</v>
      </c>
      <c r="P144" s="2">
        <v>114733</v>
      </c>
      <c r="Q144" s="2" t="s">
        <v>293</v>
      </c>
      <c r="R144" s="2" t="s">
        <v>294</v>
      </c>
      <c r="S144" s="2" t="s">
        <v>71</v>
      </c>
      <c r="T144" s="2" t="s">
        <v>196</v>
      </c>
      <c r="W144" s="4">
        <v>640</v>
      </c>
      <c r="X144" s="4">
        <v>768</v>
      </c>
      <c r="Y144" s="4">
        <f t="shared" ref="Y144" si="160">INDEX(InternalRates,MATCH($S144,InternalRates01,FALSE),2)</f>
        <v>354.0333333333333</v>
      </c>
      <c r="Z144" s="3" t="str">
        <f t="shared" si="144"/>
        <v>Nie</v>
      </c>
      <c r="AA144" s="3" t="str">
        <f t="shared" si="145"/>
        <v>ZoD</v>
      </c>
      <c r="AB144" s="4">
        <v>45</v>
      </c>
      <c r="AD144" s="3" t="s">
        <v>49</v>
      </c>
      <c r="AE144" s="6">
        <v>44420</v>
      </c>
      <c r="AF144" s="3" t="s">
        <v>59</v>
      </c>
      <c r="AG144" s="3" t="s">
        <v>60</v>
      </c>
      <c r="AH144" s="3">
        <f>YEAR(SrcDB[[#This Row],[Datum_zverejnenia]])</f>
        <v>2020</v>
      </c>
      <c r="AI144" s="3" cm="1">
        <f t="array" ref="AI144">COUNT(_xlfn.UNIQUE(_xlfn._xlws.FILTER(SrcDB[ID],SrcDB[Objednavatel_ICO]=$H144)))</f>
        <v>6</v>
      </c>
      <c r="AJ144" s="3" cm="1">
        <f t="array" ref="AJ144">COUNT(_xlfn.UNIQUE(_xlfn._xlws.FILTER(SrcDB[ID],SrcDB[Dodavatel_ICO]=$K144)))</f>
        <v>7</v>
      </c>
      <c r="AK144" s="3">
        <f t="shared" si="147"/>
        <v>1</v>
      </c>
      <c r="AL144" s="3">
        <f t="shared" si="148"/>
        <v>1</v>
      </c>
      <c r="AM144" s="17" t="str">
        <f>IF(SrcDB[[#This Row],[Pocet zmluv objednavatela]]&gt;3,SrcDB[[#This Row],[Objednavatel]],"Ostatné")</f>
        <v>Štatistický úrad SR</v>
      </c>
      <c r="AN144" s="17" t="str">
        <f>IF(SrcDB[[#This Row],[Pocet zmluv dodavatela]]&gt;3,SrcDB[[#This Row],[Dodavatel]],"Ostatné")</f>
        <v>Plaut Slovensko, s.r.o.</v>
      </c>
    </row>
    <row r="145" spans="1:40" x14ac:dyDescent="0.3">
      <c r="A145" s="2" t="s">
        <v>290</v>
      </c>
      <c r="B145" s="2">
        <v>4653826</v>
      </c>
      <c r="C145" s="3" t="str">
        <f t="shared" si="139"/>
        <v>Nejasné</v>
      </c>
      <c r="D145" s="3" t="str">
        <f t="shared" si="140"/>
        <v>Nejasné</v>
      </c>
      <c r="E145" s="3" t="s">
        <v>49</v>
      </c>
      <c r="F145" s="3" t="s">
        <v>48</v>
      </c>
      <c r="G145" s="2" t="str">
        <f t="shared" si="141"/>
        <v>Malé zmluvy</v>
      </c>
      <c r="H145" s="5" t="s">
        <v>278</v>
      </c>
      <c r="I145" s="2" t="s">
        <v>279</v>
      </c>
      <c r="J145" s="2" t="s">
        <v>280</v>
      </c>
      <c r="K145" s="5">
        <v>35785284</v>
      </c>
      <c r="L145" s="2" t="s">
        <v>291</v>
      </c>
      <c r="M145" s="2" t="s">
        <v>292</v>
      </c>
      <c r="N145" s="6">
        <v>43965.576874999999</v>
      </c>
      <c r="O145" s="4">
        <v>959460</v>
      </c>
      <c r="P145" s="2">
        <v>114733</v>
      </c>
      <c r="Q145" s="2" t="s">
        <v>293</v>
      </c>
      <c r="R145" s="2" t="s">
        <v>294</v>
      </c>
      <c r="S145" s="2" t="s">
        <v>73</v>
      </c>
      <c r="T145" s="2" t="s">
        <v>90</v>
      </c>
      <c r="W145" s="4">
        <v>640</v>
      </c>
      <c r="X145" s="4">
        <v>768</v>
      </c>
      <c r="Y145" s="4">
        <f t="shared" ref="Y145" si="161">INDEX(InternalRates,MATCH($S145,InternalRates01,FALSE),2)</f>
        <v>278.98333333333335</v>
      </c>
      <c r="Z145" s="3" t="str">
        <f t="shared" si="144"/>
        <v>Nie</v>
      </c>
      <c r="AA145" s="3" t="str">
        <f t="shared" si="145"/>
        <v>ZoD</v>
      </c>
      <c r="AB145" s="4">
        <v>150</v>
      </c>
      <c r="AD145" s="3" t="s">
        <v>49</v>
      </c>
      <c r="AE145" s="6">
        <v>44420</v>
      </c>
      <c r="AF145" s="3" t="s">
        <v>59</v>
      </c>
      <c r="AG145" s="3" t="s">
        <v>60</v>
      </c>
      <c r="AH145" s="3">
        <f>YEAR(SrcDB[[#This Row],[Datum_zverejnenia]])</f>
        <v>2020</v>
      </c>
      <c r="AI145" s="3" cm="1">
        <f t="array" ref="AI145">COUNT(_xlfn.UNIQUE(_xlfn._xlws.FILTER(SrcDB[ID],SrcDB[Objednavatel_ICO]=$H145)))</f>
        <v>6</v>
      </c>
      <c r="AJ145" s="3" cm="1">
        <f t="array" ref="AJ145">COUNT(_xlfn.UNIQUE(_xlfn._xlws.FILTER(SrcDB[ID],SrcDB[Dodavatel_ICO]=$K145)))</f>
        <v>7</v>
      </c>
      <c r="AK145" s="3">
        <f t="shared" si="147"/>
        <v>0</v>
      </c>
      <c r="AL145" s="3">
        <f t="shared" si="148"/>
        <v>0</v>
      </c>
      <c r="AM145" s="17" t="str">
        <f>IF(SrcDB[[#This Row],[Pocet zmluv objednavatela]]&gt;3,SrcDB[[#This Row],[Objednavatel]],"Ostatné")</f>
        <v>Štatistický úrad SR</v>
      </c>
      <c r="AN145" s="17" t="str">
        <f>IF(SrcDB[[#This Row],[Pocet zmluv dodavatela]]&gt;3,SrcDB[[#This Row],[Dodavatel]],"Ostatné")</f>
        <v>Plaut Slovensko, s.r.o.</v>
      </c>
    </row>
    <row r="146" spans="1:40" x14ac:dyDescent="0.3">
      <c r="A146" s="2" t="s">
        <v>290</v>
      </c>
      <c r="B146" s="2">
        <v>4653826</v>
      </c>
      <c r="C146" s="3" t="str">
        <f t="shared" si="139"/>
        <v>Nejasné</v>
      </c>
      <c r="D146" s="3" t="str">
        <f t="shared" si="140"/>
        <v>Nejasné</v>
      </c>
      <c r="E146" s="3" t="s">
        <v>49</v>
      </c>
      <c r="F146" s="3" t="s">
        <v>48</v>
      </c>
      <c r="G146" s="2" t="str">
        <f t="shared" si="141"/>
        <v>Malé zmluvy</v>
      </c>
      <c r="H146" s="5" t="s">
        <v>278</v>
      </c>
      <c r="I146" s="2" t="s">
        <v>279</v>
      </c>
      <c r="J146" s="2" t="s">
        <v>280</v>
      </c>
      <c r="K146" s="5">
        <v>35785284</v>
      </c>
      <c r="L146" s="2" t="s">
        <v>291</v>
      </c>
      <c r="M146" s="2" t="s">
        <v>292</v>
      </c>
      <c r="N146" s="6">
        <v>43965</v>
      </c>
      <c r="O146" s="4">
        <v>959460</v>
      </c>
      <c r="P146" s="2">
        <v>114733</v>
      </c>
      <c r="Q146" s="2" t="s">
        <v>293</v>
      </c>
      <c r="R146" s="2" t="s">
        <v>294</v>
      </c>
      <c r="S146" s="2" t="s">
        <v>56</v>
      </c>
      <c r="T146" s="2" t="s">
        <v>94</v>
      </c>
      <c r="U146" s="2" t="s">
        <v>95</v>
      </c>
      <c r="W146" s="4">
        <v>560</v>
      </c>
      <c r="X146" s="4">
        <v>672</v>
      </c>
      <c r="Y146" s="4">
        <f t="shared" ref="Y146" si="162">INDEX(InternalRates,MATCH($S146,InternalRates01,FALSE),2)</f>
        <v>278.98333333333335</v>
      </c>
      <c r="Z146" s="3" t="str">
        <f t="shared" si="144"/>
        <v>Nie</v>
      </c>
      <c r="AA146" s="3" t="str">
        <f t="shared" si="145"/>
        <v>ZoD</v>
      </c>
      <c r="AB146" s="4">
        <v>25</v>
      </c>
      <c r="AD146" s="3" t="s">
        <v>49</v>
      </c>
      <c r="AE146" s="6">
        <v>44420</v>
      </c>
      <c r="AF146" s="3" t="s">
        <v>59</v>
      </c>
      <c r="AG146" s="3" t="s">
        <v>60</v>
      </c>
      <c r="AH146" s="3">
        <f>YEAR(SrcDB[[#This Row],[Datum_zverejnenia]])</f>
        <v>2020</v>
      </c>
      <c r="AI146" s="3" cm="1">
        <f t="array" ref="AI146">COUNT(_xlfn.UNIQUE(_xlfn._xlws.FILTER(SrcDB[ID],SrcDB[Objednavatel_ICO]=$H146)))</f>
        <v>6</v>
      </c>
      <c r="AJ146" s="3" cm="1">
        <f t="array" ref="AJ146">COUNT(_xlfn.UNIQUE(_xlfn._xlws.FILTER(SrcDB[ID],SrcDB[Dodavatel_ICO]=$K146)))</f>
        <v>7</v>
      </c>
      <c r="AK146" s="3">
        <f t="shared" si="147"/>
        <v>0</v>
      </c>
      <c r="AL146" s="3">
        <f t="shared" si="148"/>
        <v>0</v>
      </c>
      <c r="AM146" s="17" t="str">
        <f>IF(SrcDB[[#This Row],[Pocet zmluv objednavatela]]&gt;3,SrcDB[[#This Row],[Objednavatel]],"Ostatné")</f>
        <v>Štatistický úrad SR</v>
      </c>
      <c r="AN146" s="17" t="str">
        <f>IF(SrcDB[[#This Row],[Pocet zmluv dodavatela]]&gt;3,SrcDB[[#This Row],[Dodavatel]],"Ostatné")</f>
        <v>Plaut Slovensko, s.r.o.</v>
      </c>
    </row>
    <row r="147" spans="1:40" x14ac:dyDescent="0.3">
      <c r="A147" s="2" t="s">
        <v>290</v>
      </c>
      <c r="B147" s="2">
        <v>4653826</v>
      </c>
      <c r="C147" s="3" t="str">
        <f t="shared" si="139"/>
        <v>Nejasné</v>
      </c>
      <c r="D147" s="3" t="str">
        <f t="shared" si="140"/>
        <v>Nejasné</v>
      </c>
      <c r="E147" s="3" t="s">
        <v>49</v>
      </c>
      <c r="F147" s="3" t="s">
        <v>48</v>
      </c>
      <c r="G147" s="2" t="str">
        <f t="shared" si="141"/>
        <v>Malé zmluvy</v>
      </c>
      <c r="H147" s="5" t="s">
        <v>278</v>
      </c>
      <c r="I147" s="2" t="s">
        <v>279</v>
      </c>
      <c r="J147" s="2" t="s">
        <v>280</v>
      </c>
      <c r="K147" s="5">
        <v>35785284</v>
      </c>
      <c r="L147" s="2" t="s">
        <v>291</v>
      </c>
      <c r="M147" s="2" t="s">
        <v>292</v>
      </c>
      <c r="N147" s="6">
        <v>43965</v>
      </c>
      <c r="O147" s="4">
        <v>959460</v>
      </c>
      <c r="P147" s="2">
        <v>114733</v>
      </c>
      <c r="Q147" s="2" t="s">
        <v>293</v>
      </c>
      <c r="R147" s="2" t="s">
        <v>294</v>
      </c>
      <c r="S147" s="2" t="s">
        <v>56</v>
      </c>
      <c r="T147" s="2" t="s">
        <v>96</v>
      </c>
      <c r="U147" s="2" t="s">
        <v>97</v>
      </c>
      <c r="W147" s="4">
        <v>640</v>
      </c>
      <c r="X147" s="4">
        <v>768</v>
      </c>
      <c r="Y147" s="4">
        <f t="shared" ref="Y147" si="163">INDEX(InternalRates,MATCH($S147,InternalRates01,FALSE),2)</f>
        <v>278.98333333333335</v>
      </c>
      <c r="Z147" s="3" t="str">
        <f t="shared" si="144"/>
        <v>Nie</v>
      </c>
      <c r="AA147" s="3" t="str">
        <f t="shared" si="145"/>
        <v>ZoD</v>
      </c>
      <c r="AB147" s="4">
        <v>45</v>
      </c>
      <c r="AD147" s="3" t="s">
        <v>49</v>
      </c>
      <c r="AE147" s="6">
        <v>44420</v>
      </c>
      <c r="AF147" s="3" t="s">
        <v>59</v>
      </c>
      <c r="AG147" s="3" t="s">
        <v>60</v>
      </c>
      <c r="AH147" s="3">
        <f>YEAR(SrcDB[[#This Row],[Datum_zverejnenia]])</f>
        <v>2020</v>
      </c>
      <c r="AI147" s="3" cm="1">
        <f t="array" ref="AI147">COUNT(_xlfn.UNIQUE(_xlfn._xlws.FILTER(SrcDB[ID],SrcDB[Objednavatel_ICO]=$H147)))</f>
        <v>6</v>
      </c>
      <c r="AJ147" s="3" cm="1">
        <f t="array" ref="AJ147">COUNT(_xlfn.UNIQUE(_xlfn._xlws.FILTER(SrcDB[ID],SrcDB[Dodavatel_ICO]=$K147)))</f>
        <v>7</v>
      </c>
      <c r="AK147" s="3">
        <f t="shared" si="147"/>
        <v>0</v>
      </c>
      <c r="AL147" s="3">
        <f t="shared" si="148"/>
        <v>0</v>
      </c>
      <c r="AM147" s="17" t="str">
        <f>IF(SrcDB[[#This Row],[Pocet zmluv objednavatela]]&gt;3,SrcDB[[#This Row],[Objednavatel]],"Ostatné")</f>
        <v>Štatistický úrad SR</v>
      </c>
      <c r="AN147" s="17" t="str">
        <f>IF(SrcDB[[#This Row],[Pocet zmluv dodavatela]]&gt;3,SrcDB[[#This Row],[Dodavatel]],"Ostatné")</f>
        <v>Plaut Slovensko, s.r.o.</v>
      </c>
    </row>
    <row r="148" spans="1:40" x14ac:dyDescent="0.3">
      <c r="A148" s="2" t="s">
        <v>290</v>
      </c>
      <c r="B148" s="2">
        <v>4653826</v>
      </c>
      <c r="C148" s="3" t="str">
        <f t="shared" si="139"/>
        <v>Nejasné</v>
      </c>
      <c r="D148" s="3" t="str">
        <f t="shared" si="140"/>
        <v>Nejasné</v>
      </c>
      <c r="E148" s="3" t="s">
        <v>49</v>
      </c>
      <c r="F148" s="3" t="s">
        <v>48</v>
      </c>
      <c r="G148" s="2" t="str">
        <f t="shared" si="141"/>
        <v>Malé zmluvy</v>
      </c>
      <c r="H148" s="5" t="s">
        <v>278</v>
      </c>
      <c r="I148" s="2" t="s">
        <v>279</v>
      </c>
      <c r="J148" s="2" t="s">
        <v>280</v>
      </c>
      <c r="K148" s="5">
        <v>35785284</v>
      </c>
      <c r="L148" s="2" t="s">
        <v>291</v>
      </c>
      <c r="M148" s="2" t="s">
        <v>292</v>
      </c>
      <c r="N148" s="6">
        <v>43965</v>
      </c>
      <c r="O148" s="4">
        <v>959460</v>
      </c>
      <c r="P148" s="2">
        <v>114733</v>
      </c>
      <c r="Q148" s="2" t="s">
        <v>293</v>
      </c>
      <c r="R148" s="2" t="s">
        <v>294</v>
      </c>
      <c r="S148" s="2" t="s">
        <v>69</v>
      </c>
      <c r="T148" s="2" t="s">
        <v>285</v>
      </c>
      <c r="W148" s="4">
        <v>520</v>
      </c>
      <c r="X148" s="4">
        <v>624</v>
      </c>
      <c r="Y148" s="4">
        <f t="shared" ref="Y148" si="164">INDEX(InternalRates,MATCH($S148,InternalRates01,FALSE),2)</f>
        <v>278.98333333333335</v>
      </c>
      <c r="Z148" s="3" t="str">
        <f t="shared" si="144"/>
        <v>Nie</v>
      </c>
      <c r="AA148" s="3" t="str">
        <f t="shared" si="145"/>
        <v>ZoD</v>
      </c>
      <c r="AB148" s="4">
        <v>15</v>
      </c>
      <c r="AD148" s="3" t="s">
        <v>49</v>
      </c>
      <c r="AE148" s="6">
        <v>44420</v>
      </c>
      <c r="AF148" s="3" t="s">
        <v>59</v>
      </c>
      <c r="AG148" s="3" t="s">
        <v>60</v>
      </c>
      <c r="AH148" s="3">
        <f>YEAR(SrcDB[[#This Row],[Datum_zverejnenia]])</f>
        <v>2020</v>
      </c>
      <c r="AI148" s="3" cm="1">
        <f t="array" ref="AI148">COUNT(_xlfn.UNIQUE(_xlfn._xlws.FILTER(SrcDB[ID],SrcDB[Objednavatel_ICO]=$H148)))</f>
        <v>6</v>
      </c>
      <c r="AJ148" s="3" cm="1">
        <f t="array" ref="AJ148">COUNT(_xlfn.UNIQUE(_xlfn._xlws.FILTER(SrcDB[ID],SrcDB[Dodavatel_ICO]=$K148)))</f>
        <v>7</v>
      </c>
      <c r="AK148" s="3">
        <f t="shared" si="147"/>
        <v>0</v>
      </c>
      <c r="AL148" s="3">
        <f t="shared" si="148"/>
        <v>0</v>
      </c>
      <c r="AM148" s="17" t="str">
        <f>IF(SrcDB[[#This Row],[Pocet zmluv objednavatela]]&gt;3,SrcDB[[#This Row],[Objednavatel]],"Ostatné")</f>
        <v>Štatistický úrad SR</v>
      </c>
      <c r="AN148" s="17" t="str">
        <f>IF(SrcDB[[#This Row],[Pocet zmluv dodavatela]]&gt;3,SrcDB[[#This Row],[Dodavatel]],"Ostatné")</f>
        <v>Plaut Slovensko, s.r.o.</v>
      </c>
    </row>
    <row r="149" spans="1:40" x14ac:dyDescent="0.3">
      <c r="A149" s="2" t="s">
        <v>290</v>
      </c>
      <c r="B149" s="2">
        <v>4653826</v>
      </c>
      <c r="C149" s="3" t="str">
        <f t="shared" si="139"/>
        <v>Nejasné</v>
      </c>
      <c r="D149" s="3" t="str">
        <f t="shared" si="140"/>
        <v>Nejasné</v>
      </c>
      <c r="E149" s="3" t="s">
        <v>49</v>
      </c>
      <c r="F149" s="3" t="s">
        <v>48</v>
      </c>
      <c r="G149" s="2" t="str">
        <f t="shared" si="141"/>
        <v>Malé zmluvy</v>
      </c>
      <c r="H149" s="5" t="s">
        <v>278</v>
      </c>
      <c r="I149" s="2" t="s">
        <v>279</v>
      </c>
      <c r="J149" s="2" t="s">
        <v>280</v>
      </c>
      <c r="K149" s="5">
        <v>35785284</v>
      </c>
      <c r="L149" s="2" t="s">
        <v>291</v>
      </c>
      <c r="M149" s="2" t="s">
        <v>292</v>
      </c>
      <c r="N149" s="6">
        <v>43965</v>
      </c>
      <c r="O149" s="4">
        <v>959460</v>
      </c>
      <c r="P149" s="2">
        <v>114733</v>
      </c>
      <c r="Q149" s="2" t="s">
        <v>293</v>
      </c>
      <c r="R149" s="2" t="s">
        <v>294</v>
      </c>
      <c r="S149" s="2" t="s">
        <v>56</v>
      </c>
      <c r="T149" s="2" t="s">
        <v>286</v>
      </c>
      <c r="U149" s="2" t="s">
        <v>129</v>
      </c>
      <c r="W149" s="4">
        <v>560</v>
      </c>
      <c r="X149" s="4">
        <v>672</v>
      </c>
      <c r="Y149" s="4">
        <f t="shared" ref="Y149" si="165">INDEX(InternalRates,MATCH($S149,InternalRates01,FALSE),2)</f>
        <v>278.98333333333335</v>
      </c>
      <c r="Z149" s="3" t="str">
        <f t="shared" si="144"/>
        <v>Nie</v>
      </c>
      <c r="AA149" s="3" t="str">
        <f t="shared" si="145"/>
        <v>ZoD</v>
      </c>
      <c r="AB149" s="4">
        <v>60</v>
      </c>
      <c r="AD149" s="3" t="s">
        <v>49</v>
      </c>
      <c r="AE149" s="6">
        <v>44420</v>
      </c>
      <c r="AF149" s="3" t="s">
        <v>59</v>
      </c>
      <c r="AG149" s="3" t="s">
        <v>60</v>
      </c>
      <c r="AH149" s="3">
        <f>YEAR(SrcDB[[#This Row],[Datum_zverejnenia]])</f>
        <v>2020</v>
      </c>
      <c r="AI149" s="3" cm="1">
        <f t="array" ref="AI149">COUNT(_xlfn.UNIQUE(_xlfn._xlws.FILTER(SrcDB[ID],SrcDB[Objednavatel_ICO]=$H149)))</f>
        <v>6</v>
      </c>
      <c r="AJ149" s="3" cm="1">
        <f t="array" ref="AJ149">COUNT(_xlfn.UNIQUE(_xlfn._xlws.FILTER(SrcDB[ID],SrcDB[Dodavatel_ICO]=$K149)))</f>
        <v>7</v>
      </c>
      <c r="AK149" s="3">
        <f t="shared" si="147"/>
        <v>0</v>
      </c>
      <c r="AL149" s="3">
        <f t="shared" si="148"/>
        <v>0</v>
      </c>
      <c r="AM149" s="17" t="str">
        <f>IF(SrcDB[[#This Row],[Pocet zmluv objednavatela]]&gt;3,SrcDB[[#This Row],[Objednavatel]],"Ostatné")</f>
        <v>Štatistický úrad SR</v>
      </c>
      <c r="AN149" s="17" t="str">
        <f>IF(SrcDB[[#This Row],[Pocet zmluv dodavatela]]&gt;3,SrcDB[[#This Row],[Dodavatel]],"Ostatné")</f>
        <v>Plaut Slovensko, s.r.o.</v>
      </c>
    </row>
    <row r="150" spans="1:40" x14ac:dyDescent="0.3">
      <c r="A150" s="2" t="s">
        <v>290</v>
      </c>
      <c r="B150" s="2">
        <v>4653826</v>
      </c>
      <c r="C150" s="3" t="str">
        <f t="shared" si="139"/>
        <v>Nejasné</v>
      </c>
      <c r="D150" s="3" t="str">
        <f t="shared" si="140"/>
        <v>Nejasné</v>
      </c>
      <c r="E150" s="3" t="s">
        <v>49</v>
      </c>
      <c r="F150" s="3" t="s">
        <v>48</v>
      </c>
      <c r="G150" s="2" t="str">
        <f t="shared" si="141"/>
        <v>Malé zmluvy</v>
      </c>
      <c r="H150" s="5" t="s">
        <v>278</v>
      </c>
      <c r="I150" s="2" t="s">
        <v>279</v>
      </c>
      <c r="J150" s="2" t="s">
        <v>280</v>
      </c>
      <c r="K150" s="5">
        <v>35785284</v>
      </c>
      <c r="L150" s="2" t="s">
        <v>291</v>
      </c>
      <c r="M150" s="2" t="s">
        <v>292</v>
      </c>
      <c r="N150" s="6">
        <v>43965</v>
      </c>
      <c r="O150" s="4">
        <v>959460</v>
      </c>
      <c r="P150" s="2">
        <v>114733</v>
      </c>
      <c r="Q150" s="2" t="s">
        <v>293</v>
      </c>
      <c r="R150" s="2" t="s">
        <v>294</v>
      </c>
      <c r="S150" s="2" t="s">
        <v>77</v>
      </c>
      <c r="T150" s="2" t="s">
        <v>92</v>
      </c>
      <c r="W150" s="4">
        <v>630</v>
      </c>
      <c r="X150" s="4">
        <v>756</v>
      </c>
      <c r="Y150" s="4">
        <f t="shared" ref="Y150" si="166">INDEX(InternalRates,MATCH($S150,InternalRates01,FALSE),2)</f>
        <v>278.98333333333335</v>
      </c>
      <c r="Z150" s="3" t="str">
        <f t="shared" si="144"/>
        <v>Nie</v>
      </c>
      <c r="AA150" s="3" t="str">
        <f t="shared" si="145"/>
        <v>ZoD</v>
      </c>
      <c r="AB150" s="4">
        <v>5</v>
      </c>
      <c r="AD150" s="3" t="s">
        <v>49</v>
      </c>
      <c r="AE150" s="6">
        <v>44420</v>
      </c>
      <c r="AF150" s="3" t="s">
        <v>59</v>
      </c>
      <c r="AG150" s="3" t="s">
        <v>60</v>
      </c>
      <c r="AH150" s="3">
        <f>YEAR(SrcDB[[#This Row],[Datum_zverejnenia]])</f>
        <v>2020</v>
      </c>
      <c r="AI150" s="3" cm="1">
        <f t="array" ref="AI150">COUNT(_xlfn.UNIQUE(_xlfn._xlws.FILTER(SrcDB[ID],SrcDB[Objednavatel_ICO]=$H150)))</f>
        <v>6</v>
      </c>
      <c r="AJ150" s="3" cm="1">
        <f t="array" ref="AJ150">COUNT(_xlfn.UNIQUE(_xlfn._xlws.FILTER(SrcDB[ID],SrcDB[Dodavatel_ICO]=$K150)))</f>
        <v>7</v>
      </c>
      <c r="AK150" s="3">
        <f t="shared" si="147"/>
        <v>0</v>
      </c>
      <c r="AL150" s="3">
        <f t="shared" si="148"/>
        <v>0</v>
      </c>
      <c r="AM150" s="17" t="str">
        <f>IF(SrcDB[[#This Row],[Pocet zmluv objednavatela]]&gt;3,SrcDB[[#This Row],[Objednavatel]],"Ostatné")</f>
        <v>Štatistický úrad SR</v>
      </c>
      <c r="AN150" s="17" t="str">
        <f>IF(SrcDB[[#This Row],[Pocet zmluv dodavatela]]&gt;3,SrcDB[[#This Row],[Dodavatel]],"Ostatné")</f>
        <v>Plaut Slovensko, s.r.o.</v>
      </c>
    </row>
    <row r="151" spans="1:40" x14ac:dyDescent="0.3">
      <c r="A151" s="2" t="s">
        <v>290</v>
      </c>
      <c r="B151" s="2">
        <v>4653826</v>
      </c>
      <c r="C151" s="3" t="str">
        <f t="shared" si="139"/>
        <v>Nejasné</v>
      </c>
      <c r="D151" s="3" t="str">
        <f t="shared" si="140"/>
        <v>Nejasné</v>
      </c>
      <c r="E151" s="3" t="s">
        <v>49</v>
      </c>
      <c r="F151" s="3" t="s">
        <v>48</v>
      </c>
      <c r="G151" s="2" t="str">
        <f t="shared" si="141"/>
        <v>Malé zmluvy</v>
      </c>
      <c r="H151" s="5" t="s">
        <v>278</v>
      </c>
      <c r="I151" s="2" t="s">
        <v>279</v>
      </c>
      <c r="J151" s="2" t="s">
        <v>280</v>
      </c>
      <c r="K151" s="5">
        <v>35785284</v>
      </c>
      <c r="L151" s="2" t="s">
        <v>291</v>
      </c>
      <c r="M151" s="2" t="s">
        <v>292</v>
      </c>
      <c r="N151" s="6">
        <v>43965</v>
      </c>
      <c r="O151" s="4">
        <v>959460</v>
      </c>
      <c r="P151" s="2">
        <v>114733</v>
      </c>
      <c r="Q151" s="2" t="s">
        <v>293</v>
      </c>
      <c r="R151" s="2" t="s">
        <v>294</v>
      </c>
      <c r="S151" s="2" t="s">
        <v>98</v>
      </c>
      <c r="T151" s="2" t="s">
        <v>287</v>
      </c>
      <c r="W151" s="4">
        <v>400</v>
      </c>
      <c r="X151" s="4">
        <v>480</v>
      </c>
      <c r="Y151" s="4">
        <f t="shared" ref="Y151" si="167">INDEX(InternalRates,MATCH($S151,InternalRates01,FALSE),2)</f>
        <v>278.98333333333335</v>
      </c>
      <c r="Z151" s="3" t="str">
        <f t="shared" si="144"/>
        <v>Nie</v>
      </c>
      <c r="AA151" s="3" t="str">
        <f t="shared" si="145"/>
        <v>ZoD</v>
      </c>
      <c r="AB151" s="4">
        <v>15</v>
      </c>
      <c r="AD151" s="3" t="s">
        <v>49</v>
      </c>
      <c r="AE151" s="6">
        <v>44420</v>
      </c>
      <c r="AF151" s="3" t="s">
        <v>59</v>
      </c>
      <c r="AG151" s="3" t="s">
        <v>60</v>
      </c>
      <c r="AH151" s="3">
        <f>YEAR(SrcDB[[#This Row],[Datum_zverejnenia]])</f>
        <v>2020</v>
      </c>
      <c r="AI151" s="3" cm="1">
        <f t="array" ref="AI151">COUNT(_xlfn.UNIQUE(_xlfn._xlws.FILTER(SrcDB[ID],SrcDB[Objednavatel_ICO]=$H151)))</f>
        <v>6</v>
      </c>
      <c r="AJ151" s="3" cm="1">
        <f t="array" ref="AJ151">COUNT(_xlfn.UNIQUE(_xlfn._xlws.FILTER(SrcDB[ID],SrcDB[Dodavatel_ICO]=$K151)))</f>
        <v>7</v>
      </c>
      <c r="AK151" s="3">
        <f t="shared" si="147"/>
        <v>0</v>
      </c>
      <c r="AL151" s="3">
        <f t="shared" si="148"/>
        <v>0</v>
      </c>
      <c r="AM151" s="17" t="str">
        <f>IF(SrcDB[[#This Row],[Pocet zmluv objednavatela]]&gt;3,SrcDB[[#This Row],[Objednavatel]],"Ostatné")</f>
        <v>Štatistický úrad SR</v>
      </c>
      <c r="AN151" s="17" t="str">
        <f>IF(SrcDB[[#This Row],[Pocet zmluv dodavatela]]&gt;3,SrcDB[[#This Row],[Dodavatel]],"Ostatné")</f>
        <v>Plaut Slovensko, s.r.o.</v>
      </c>
    </row>
    <row r="152" spans="1:40" x14ac:dyDescent="0.3">
      <c r="A152" s="2" t="s">
        <v>290</v>
      </c>
      <c r="B152" s="2">
        <v>4653826</v>
      </c>
      <c r="C152" s="3" t="str">
        <f t="shared" si="139"/>
        <v>Nejasné</v>
      </c>
      <c r="D152" s="3" t="str">
        <f t="shared" si="140"/>
        <v>Nejasné</v>
      </c>
      <c r="E152" s="3" t="s">
        <v>49</v>
      </c>
      <c r="F152" s="3" t="s">
        <v>48</v>
      </c>
      <c r="G152" s="2" t="str">
        <f t="shared" si="141"/>
        <v>Malé zmluvy</v>
      </c>
      <c r="H152" s="5" t="s">
        <v>278</v>
      </c>
      <c r="I152" s="2" t="s">
        <v>279</v>
      </c>
      <c r="J152" s="2" t="s">
        <v>280</v>
      </c>
      <c r="K152" s="5">
        <v>35785284</v>
      </c>
      <c r="L152" s="2" t="s">
        <v>291</v>
      </c>
      <c r="M152" s="2" t="s">
        <v>292</v>
      </c>
      <c r="N152" s="6">
        <v>43965</v>
      </c>
      <c r="O152" s="4">
        <v>959460</v>
      </c>
      <c r="P152" s="2">
        <v>114733</v>
      </c>
      <c r="Q152" s="2" t="s">
        <v>293</v>
      </c>
      <c r="R152" s="2" t="s">
        <v>294</v>
      </c>
      <c r="S152" s="2" t="s">
        <v>79</v>
      </c>
      <c r="T152" s="2" t="s">
        <v>93</v>
      </c>
      <c r="W152" s="4">
        <v>400</v>
      </c>
      <c r="X152" s="4">
        <v>480</v>
      </c>
      <c r="Y152" s="4">
        <f t="shared" ref="Y152" si="168">INDEX(InternalRates,MATCH($S152,InternalRates01,FALSE),2)</f>
        <v>278.98333333333335</v>
      </c>
      <c r="Z152" s="3" t="str">
        <f t="shared" si="144"/>
        <v>Nie</v>
      </c>
      <c r="AA152" s="3" t="str">
        <f t="shared" si="145"/>
        <v>ZoD</v>
      </c>
      <c r="AB152" s="4">
        <v>80</v>
      </c>
      <c r="AD152" s="3" t="s">
        <v>49</v>
      </c>
      <c r="AE152" s="6">
        <v>44420</v>
      </c>
      <c r="AF152" s="3" t="s">
        <v>59</v>
      </c>
      <c r="AG152" s="3" t="s">
        <v>60</v>
      </c>
      <c r="AH152" s="3">
        <f>YEAR(SrcDB[[#This Row],[Datum_zverejnenia]])</f>
        <v>2020</v>
      </c>
      <c r="AI152" s="3" cm="1">
        <f t="array" ref="AI152">COUNT(_xlfn.UNIQUE(_xlfn._xlws.FILTER(SrcDB[ID],SrcDB[Objednavatel_ICO]=$H152)))</f>
        <v>6</v>
      </c>
      <c r="AJ152" s="3" cm="1">
        <f t="array" ref="AJ152">COUNT(_xlfn.UNIQUE(_xlfn._xlws.FILTER(SrcDB[ID],SrcDB[Dodavatel_ICO]=$K152)))</f>
        <v>7</v>
      </c>
      <c r="AK152" s="3">
        <f t="shared" si="147"/>
        <v>0</v>
      </c>
      <c r="AL152" s="3">
        <f t="shared" si="148"/>
        <v>0</v>
      </c>
      <c r="AM152" s="17" t="str">
        <f>IF(SrcDB[[#This Row],[Pocet zmluv objednavatela]]&gt;3,SrcDB[[#This Row],[Objednavatel]],"Ostatné")</f>
        <v>Štatistický úrad SR</v>
      </c>
      <c r="AN152" s="17" t="str">
        <f>IF(SrcDB[[#This Row],[Pocet zmluv dodavatela]]&gt;3,SrcDB[[#This Row],[Dodavatel]],"Ostatné")</f>
        <v>Plaut Slovensko, s.r.o.</v>
      </c>
    </row>
    <row r="153" spans="1:40" x14ac:dyDescent="0.3">
      <c r="A153" s="2" t="s">
        <v>290</v>
      </c>
      <c r="B153" s="2">
        <v>4653826</v>
      </c>
      <c r="C153" s="3" t="str">
        <f t="shared" si="139"/>
        <v>Nejasné</v>
      </c>
      <c r="D153" s="3" t="str">
        <f t="shared" si="140"/>
        <v>Nejasné</v>
      </c>
      <c r="E153" s="3" t="s">
        <v>49</v>
      </c>
      <c r="F153" s="3" t="s">
        <v>48</v>
      </c>
      <c r="G153" s="2" t="str">
        <f t="shared" si="141"/>
        <v>Malé zmluvy</v>
      </c>
      <c r="H153" s="5" t="s">
        <v>278</v>
      </c>
      <c r="I153" s="2" t="s">
        <v>279</v>
      </c>
      <c r="J153" s="2" t="s">
        <v>280</v>
      </c>
      <c r="K153" s="5">
        <v>35785284</v>
      </c>
      <c r="L153" s="2" t="s">
        <v>291</v>
      </c>
      <c r="M153" s="2" t="s">
        <v>292</v>
      </c>
      <c r="N153" s="6">
        <v>43965</v>
      </c>
      <c r="O153" s="4">
        <v>959460</v>
      </c>
      <c r="P153" s="2">
        <v>114733</v>
      </c>
      <c r="Q153" s="2" t="s">
        <v>293</v>
      </c>
      <c r="R153" s="2" t="s">
        <v>294</v>
      </c>
      <c r="S153" s="2" t="s">
        <v>56</v>
      </c>
      <c r="T153" s="2" t="s">
        <v>288</v>
      </c>
      <c r="U153" s="2" t="s">
        <v>289</v>
      </c>
      <c r="W153" s="4">
        <v>580</v>
      </c>
      <c r="X153" s="4">
        <v>696</v>
      </c>
      <c r="Y153" s="4">
        <f t="shared" ref="Y153" si="169">INDEX(InternalRates,MATCH($S153,InternalRates01,FALSE),2)</f>
        <v>278.98333333333335</v>
      </c>
      <c r="Z153" s="3" t="str">
        <f t="shared" si="144"/>
        <v>Nie</v>
      </c>
      <c r="AA153" s="3" t="str">
        <f t="shared" si="145"/>
        <v>ZoD</v>
      </c>
      <c r="AB153" s="4">
        <v>10</v>
      </c>
      <c r="AD153" s="3" t="s">
        <v>49</v>
      </c>
      <c r="AE153" s="6">
        <v>44420</v>
      </c>
      <c r="AF153" s="3" t="s">
        <v>59</v>
      </c>
      <c r="AG153" s="3" t="s">
        <v>60</v>
      </c>
      <c r="AH153" s="3">
        <f>YEAR(SrcDB[[#This Row],[Datum_zverejnenia]])</f>
        <v>2020</v>
      </c>
      <c r="AI153" s="3" cm="1">
        <f t="array" ref="AI153">COUNT(_xlfn.UNIQUE(_xlfn._xlws.FILTER(SrcDB[ID],SrcDB[Objednavatel_ICO]=$H153)))</f>
        <v>6</v>
      </c>
      <c r="AJ153" s="3" cm="1">
        <f t="array" ref="AJ153">COUNT(_xlfn.UNIQUE(_xlfn._xlws.FILTER(SrcDB[ID],SrcDB[Dodavatel_ICO]=$K153)))</f>
        <v>7</v>
      </c>
      <c r="AK153" s="3">
        <f t="shared" si="147"/>
        <v>0</v>
      </c>
      <c r="AL153" s="3">
        <f t="shared" si="148"/>
        <v>0</v>
      </c>
      <c r="AM153" s="17" t="str">
        <f>IF(SrcDB[[#This Row],[Pocet zmluv objednavatela]]&gt;3,SrcDB[[#This Row],[Objednavatel]],"Ostatné")</f>
        <v>Štatistický úrad SR</v>
      </c>
      <c r="AN153" s="17" t="str">
        <f>IF(SrcDB[[#This Row],[Pocet zmluv dodavatela]]&gt;3,SrcDB[[#This Row],[Dodavatel]],"Ostatné")</f>
        <v>Plaut Slovensko, s.r.o.</v>
      </c>
    </row>
    <row r="154" spans="1:40" x14ac:dyDescent="0.3">
      <c r="A154" s="2" t="s">
        <v>295</v>
      </c>
      <c r="B154" s="2">
        <v>4706022</v>
      </c>
      <c r="C154" s="3" t="str">
        <f t="shared" si="139"/>
        <v>Nie</v>
      </c>
      <c r="D154" s="3" t="str">
        <f t="shared" si="140"/>
        <v>Áno</v>
      </c>
      <c r="E154" s="3" t="s">
        <v>48</v>
      </c>
      <c r="F154" s="3" t="s">
        <v>49</v>
      </c>
      <c r="G154" s="2" t="str">
        <f t="shared" si="141"/>
        <v>Stredné zmluvy</v>
      </c>
      <c r="H154" s="5">
        <v>36631124</v>
      </c>
      <c r="I154" s="2" t="s">
        <v>104</v>
      </c>
      <c r="J154" s="2" t="s">
        <v>105</v>
      </c>
      <c r="K154" s="5">
        <v>36033987</v>
      </c>
      <c r="L154" s="2" t="s">
        <v>296</v>
      </c>
      <c r="M154" s="2" t="s">
        <v>297</v>
      </c>
      <c r="N154" s="6">
        <v>43976.585740740738</v>
      </c>
      <c r="O154" s="4">
        <v>4404320</v>
      </c>
      <c r="P154" s="2">
        <v>114573</v>
      </c>
      <c r="Q154" s="2" t="s">
        <v>298</v>
      </c>
      <c r="R154" s="2" t="s">
        <v>299</v>
      </c>
      <c r="S154" s="2" t="s">
        <v>183</v>
      </c>
      <c r="T154" s="2" t="s">
        <v>300</v>
      </c>
      <c r="W154" s="4">
        <v>696</v>
      </c>
      <c r="X154" s="4">
        <v>835.19999999999993</v>
      </c>
      <c r="Y154" s="4">
        <f t="shared" ref="Y154" si="170">INDEX(InternalRates,MATCH($S154,InternalRates01,FALSE),2)</f>
        <v>278.98333333333335</v>
      </c>
      <c r="Z154" s="3" t="str">
        <f t="shared" si="144"/>
        <v>Nie</v>
      </c>
      <c r="AA154" s="3" t="str">
        <f t="shared" si="145"/>
        <v>SLA</v>
      </c>
      <c r="AD154" s="3" t="s">
        <v>49</v>
      </c>
      <c r="AE154" s="6">
        <v>44418</v>
      </c>
      <c r="AF154" s="3" t="s">
        <v>59</v>
      </c>
      <c r="AG154" s="3" t="s">
        <v>49</v>
      </c>
      <c r="AH154" s="3">
        <f>YEAR(SrcDB[[#This Row],[Datum_zverejnenia]])</f>
        <v>2020</v>
      </c>
      <c r="AI154" s="3" cm="1">
        <f t="array" ref="AI154">COUNT(_xlfn.UNIQUE(_xlfn._xlws.FILTER(SrcDB[ID],SrcDB[Objednavatel_ICO]=$H154)))</f>
        <v>17</v>
      </c>
      <c r="AJ154" s="3" cm="1">
        <f t="array" ref="AJ154">COUNT(_xlfn.UNIQUE(_xlfn._xlws.FILTER(SrcDB[ID],SrcDB[Dodavatel_ICO]=$K154)))</f>
        <v>3</v>
      </c>
      <c r="AK154" s="3">
        <f t="shared" si="147"/>
        <v>1</v>
      </c>
      <c r="AL154" s="3">
        <f t="shared" si="148"/>
        <v>1</v>
      </c>
      <c r="AM154" s="17" t="str">
        <f>IF(SrcDB[[#This Row],[Pocet zmluv objednavatela]]&gt;3,SrcDB[[#This Row],[Objednavatel]],"Ostatné")</f>
        <v>Slovenská pošta, a. s.</v>
      </c>
      <c r="AN154" s="17" t="str">
        <f>IF(SrcDB[[#This Row],[Pocet zmluv dodavatela]]&gt;3,SrcDB[[#This Row],[Dodavatel]],"Ostatné")</f>
        <v>Ostatné</v>
      </c>
    </row>
    <row r="155" spans="1:40" x14ac:dyDescent="0.3">
      <c r="A155" s="2" t="s">
        <v>295</v>
      </c>
      <c r="B155" s="2">
        <v>4706022</v>
      </c>
      <c r="C155" s="3" t="str">
        <f t="shared" si="139"/>
        <v>Nie</v>
      </c>
      <c r="D155" s="3" t="str">
        <f t="shared" si="140"/>
        <v>Áno</v>
      </c>
      <c r="E155" s="3" t="s">
        <v>48</v>
      </c>
      <c r="F155" s="3" t="s">
        <v>49</v>
      </c>
      <c r="G155" s="2" t="str">
        <f t="shared" si="141"/>
        <v>Stredné zmluvy</v>
      </c>
      <c r="H155" s="5">
        <v>36631124</v>
      </c>
      <c r="I155" s="2" t="s">
        <v>104</v>
      </c>
      <c r="J155" s="2" t="s">
        <v>105</v>
      </c>
      <c r="K155" s="5">
        <v>36033987</v>
      </c>
      <c r="L155" s="2" t="s">
        <v>296</v>
      </c>
      <c r="M155" s="2" t="s">
        <v>297</v>
      </c>
      <c r="N155" s="6">
        <v>43976.585740740738</v>
      </c>
      <c r="O155" s="4">
        <v>4404320</v>
      </c>
      <c r="P155" s="2">
        <v>114573</v>
      </c>
      <c r="Q155" s="2" t="s">
        <v>298</v>
      </c>
      <c r="R155" s="2" t="s">
        <v>299</v>
      </c>
      <c r="S155" s="2" t="s">
        <v>183</v>
      </c>
      <c r="T155" s="2" t="s">
        <v>300</v>
      </c>
      <c r="W155" s="4">
        <v>580</v>
      </c>
      <c r="X155" s="4">
        <v>696</v>
      </c>
      <c r="Y155" s="4">
        <f t="shared" ref="Y155" si="171">INDEX(InternalRates,MATCH($S155,InternalRates01,FALSE),2)</f>
        <v>278.98333333333335</v>
      </c>
      <c r="Z155" s="3" t="str">
        <f t="shared" si="144"/>
        <v>Nie</v>
      </c>
      <c r="AA155" s="3" t="str">
        <f t="shared" si="145"/>
        <v>SLA</v>
      </c>
      <c r="AD155" s="3" t="s">
        <v>49</v>
      </c>
      <c r="AE155" s="6">
        <v>44418</v>
      </c>
      <c r="AF155" s="3" t="s">
        <v>59</v>
      </c>
      <c r="AG155" s="3" t="s">
        <v>49</v>
      </c>
      <c r="AH155" s="3">
        <f>YEAR(SrcDB[[#This Row],[Datum_zverejnenia]])</f>
        <v>2020</v>
      </c>
      <c r="AI155" s="3" cm="1">
        <f t="array" ref="AI155">COUNT(_xlfn.UNIQUE(_xlfn._xlws.FILTER(SrcDB[ID],SrcDB[Objednavatel_ICO]=$H155)))</f>
        <v>17</v>
      </c>
      <c r="AJ155" s="3" cm="1">
        <f t="array" ref="AJ155">COUNT(_xlfn.UNIQUE(_xlfn._xlws.FILTER(SrcDB[ID],SrcDB[Dodavatel_ICO]=$K155)))</f>
        <v>3</v>
      </c>
      <c r="AK155" s="3">
        <f t="shared" si="147"/>
        <v>0</v>
      </c>
      <c r="AL155" s="3">
        <f t="shared" si="148"/>
        <v>0</v>
      </c>
      <c r="AM155" s="17" t="str">
        <f>IF(SrcDB[[#This Row],[Pocet zmluv objednavatela]]&gt;3,SrcDB[[#This Row],[Objednavatel]],"Ostatné")</f>
        <v>Slovenská pošta, a. s.</v>
      </c>
      <c r="AN155" s="17" t="str">
        <f>IF(SrcDB[[#This Row],[Pocet zmluv dodavatela]]&gt;3,SrcDB[[#This Row],[Dodavatel]],"Ostatné")</f>
        <v>Ostatné</v>
      </c>
    </row>
    <row r="156" spans="1:40" x14ac:dyDescent="0.3">
      <c r="A156" s="2" t="s">
        <v>301</v>
      </c>
      <c r="B156" s="2">
        <v>4756698</v>
      </c>
      <c r="C156" s="3" t="str">
        <f t="shared" si="139"/>
        <v>Nejasné</v>
      </c>
      <c r="D156" s="3" t="str">
        <f t="shared" si="140"/>
        <v>Nejasné</v>
      </c>
      <c r="E156" s="3" t="s">
        <v>48</v>
      </c>
      <c r="F156" s="3" t="s">
        <v>49</v>
      </c>
      <c r="G156" s="2" t="str">
        <f t="shared" si="141"/>
        <v>Stredné zmluvy</v>
      </c>
      <c r="H156" s="5" t="s">
        <v>278</v>
      </c>
      <c r="I156" s="2" t="s">
        <v>279</v>
      </c>
      <c r="J156" s="2" t="s">
        <v>280</v>
      </c>
      <c r="K156" s="5">
        <v>44694695</v>
      </c>
      <c r="L156" s="2" t="s">
        <v>302</v>
      </c>
      <c r="M156" s="2" t="s">
        <v>303</v>
      </c>
      <c r="N156" s="6">
        <v>43986.391030092593</v>
      </c>
      <c r="O156" s="4">
        <v>2939784</v>
      </c>
      <c r="P156" s="2">
        <v>114733</v>
      </c>
      <c r="Q156" s="2" t="s">
        <v>304</v>
      </c>
      <c r="R156" s="2" t="s">
        <v>305</v>
      </c>
      <c r="S156" s="2" t="s">
        <v>73</v>
      </c>
      <c r="T156" s="2" t="s">
        <v>90</v>
      </c>
      <c r="W156" s="4">
        <v>590</v>
      </c>
      <c r="X156" s="4">
        <v>708</v>
      </c>
      <c r="Y156" s="4">
        <f t="shared" ref="Y156" si="172">INDEX(InternalRates,MATCH($S156,InternalRates01,FALSE),2)</f>
        <v>278.98333333333335</v>
      </c>
      <c r="Z156" s="3" t="str">
        <f t="shared" si="144"/>
        <v>Nie</v>
      </c>
      <c r="AA156" s="3" t="str">
        <f t="shared" si="145"/>
        <v>SLA</v>
      </c>
      <c r="AB156" s="4">
        <v>323</v>
      </c>
      <c r="AD156" s="3" t="s">
        <v>49</v>
      </c>
      <c r="AE156" s="6">
        <v>44418</v>
      </c>
      <c r="AF156" s="3" t="s">
        <v>59</v>
      </c>
      <c r="AG156" s="3" t="s">
        <v>48</v>
      </c>
      <c r="AH156" s="3">
        <f>YEAR(SrcDB[[#This Row],[Datum_zverejnenia]])</f>
        <v>2020</v>
      </c>
      <c r="AI156" s="3" cm="1">
        <f t="array" ref="AI156">COUNT(_xlfn.UNIQUE(_xlfn._xlws.FILTER(SrcDB[ID],SrcDB[Objednavatel_ICO]=$H156)))</f>
        <v>6</v>
      </c>
      <c r="AJ156" s="3" cm="1">
        <f t="array" ref="AJ156">COUNT(_xlfn.UNIQUE(_xlfn._xlws.FILTER(SrcDB[ID],SrcDB[Dodavatel_ICO]=$K156)))</f>
        <v>4</v>
      </c>
      <c r="AK156" s="3">
        <f t="shared" si="147"/>
        <v>1</v>
      </c>
      <c r="AL156" s="3">
        <f t="shared" si="148"/>
        <v>1</v>
      </c>
      <c r="AM156" s="17" t="str">
        <f>IF(SrcDB[[#This Row],[Pocet zmluv objednavatela]]&gt;3,SrcDB[[#This Row],[Objednavatel]],"Ostatné")</f>
        <v>Štatistický úrad SR</v>
      </c>
      <c r="AN156" s="17" t="str">
        <f>IF(SrcDB[[#This Row],[Pocet zmluv dodavatela]]&gt;3,SrcDB[[#This Row],[Dodavatel]],"Ostatné")</f>
        <v>NextIT s.r.o.</v>
      </c>
    </row>
    <row r="157" spans="1:40" x14ac:dyDescent="0.3">
      <c r="A157" s="2" t="s">
        <v>301</v>
      </c>
      <c r="B157" s="2">
        <v>4756698</v>
      </c>
      <c r="C157" s="3" t="str">
        <f t="shared" si="139"/>
        <v>Nejasné</v>
      </c>
      <c r="D157" s="3" t="str">
        <f t="shared" si="140"/>
        <v>Nejasné</v>
      </c>
      <c r="E157" s="3" t="s">
        <v>48</v>
      </c>
      <c r="F157" s="3" t="s">
        <v>49</v>
      </c>
      <c r="G157" s="2" t="str">
        <f t="shared" si="141"/>
        <v>Stredné zmluvy</v>
      </c>
      <c r="H157" s="5" t="s">
        <v>278</v>
      </c>
      <c r="I157" s="2" t="s">
        <v>279</v>
      </c>
      <c r="J157" s="2" t="s">
        <v>280</v>
      </c>
      <c r="K157" s="5">
        <v>44694695</v>
      </c>
      <c r="L157" s="2" t="s">
        <v>302</v>
      </c>
      <c r="M157" s="2" t="s">
        <v>303</v>
      </c>
      <c r="N157" s="6">
        <v>43986.391030092593</v>
      </c>
      <c r="O157" s="4">
        <v>2939784</v>
      </c>
      <c r="P157" s="2">
        <v>114733</v>
      </c>
      <c r="Q157" s="2" t="s">
        <v>304</v>
      </c>
      <c r="R157" s="2" t="s">
        <v>305</v>
      </c>
      <c r="S157" s="2" t="s">
        <v>71</v>
      </c>
      <c r="T157" s="2" t="s">
        <v>196</v>
      </c>
      <c r="W157" s="4">
        <v>670</v>
      </c>
      <c r="X157" s="4">
        <v>804</v>
      </c>
      <c r="Y157" s="4">
        <f t="shared" ref="Y157" si="173">INDEX(InternalRates,MATCH($S157,InternalRates01,FALSE),2)</f>
        <v>354.0333333333333</v>
      </c>
      <c r="Z157" s="3" t="str">
        <f t="shared" si="144"/>
        <v>Nie</v>
      </c>
      <c r="AA157" s="3" t="str">
        <f t="shared" si="145"/>
        <v>SLA</v>
      </c>
      <c r="AB157" s="4">
        <v>49</v>
      </c>
      <c r="AD157" s="3" t="s">
        <v>49</v>
      </c>
      <c r="AE157" s="6">
        <v>44418</v>
      </c>
      <c r="AF157" s="3" t="s">
        <v>59</v>
      </c>
      <c r="AG157" s="3" t="s">
        <v>48</v>
      </c>
      <c r="AH157" s="3">
        <f>YEAR(SrcDB[[#This Row],[Datum_zverejnenia]])</f>
        <v>2020</v>
      </c>
      <c r="AI157" s="3" cm="1">
        <f t="array" ref="AI157">COUNT(_xlfn.UNIQUE(_xlfn._xlws.FILTER(SrcDB[ID],SrcDB[Objednavatel_ICO]=$H157)))</f>
        <v>6</v>
      </c>
      <c r="AJ157" s="3" cm="1">
        <f t="array" ref="AJ157">COUNT(_xlfn.UNIQUE(_xlfn._xlws.FILTER(SrcDB[ID],SrcDB[Dodavatel_ICO]=$K157)))</f>
        <v>4</v>
      </c>
      <c r="AK157" s="3">
        <f t="shared" si="147"/>
        <v>0</v>
      </c>
      <c r="AL157" s="3">
        <f t="shared" si="148"/>
        <v>0</v>
      </c>
      <c r="AM157" s="17" t="str">
        <f>IF(SrcDB[[#This Row],[Pocet zmluv objednavatela]]&gt;3,SrcDB[[#This Row],[Objednavatel]],"Ostatné")</f>
        <v>Štatistický úrad SR</v>
      </c>
      <c r="AN157" s="17" t="str">
        <f>IF(SrcDB[[#This Row],[Pocet zmluv dodavatela]]&gt;3,SrcDB[[#This Row],[Dodavatel]],"Ostatné")</f>
        <v>NextIT s.r.o.</v>
      </c>
    </row>
    <row r="158" spans="1:40" x14ac:dyDescent="0.3">
      <c r="A158" s="2" t="s">
        <v>301</v>
      </c>
      <c r="B158" s="2">
        <v>4756698</v>
      </c>
      <c r="C158" s="3" t="str">
        <f t="shared" si="139"/>
        <v>Nejasné</v>
      </c>
      <c r="D158" s="3" t="str">
        <f t="shared" si="140"/>
        <v>Nejasné</v>
      </c>
      <c r="E158" s="3" t="s">
        <v>48</v>
      </c>
      <c r="F158" s="3" t="s">
        <v>49</v>
      </c>
      <c r="G158" s="2" t="str">
        <f t="shared" si="141"/>
        <v>Stredné zmluvy</v>
      </c>
      <c r="H158" s="5" t="s">
        <v>278</v>
      </c>
      <c r="I158" s="2" t="s">
        <v>279</v>
      </c>
      <c r="J158" s="2" t="s">
        <v>280</v>
      </c>
      <c r="K158" s="5">
        <v>44694695</v>
      </c>
      <c r="L158" s="2" t="s">
        <v>302</v>
      </c>
      <c r="M158" s="2" t="s">
        <v>303</v>
      </c>
      <c r="N158" s="6">
        <v>43986</v>
      </c>
      <c r="O158" s="4">
        <v>2939784</v>
      </c>
      <c r="P158" s="2">
        <v>114733</v>
      </c>
      <c r="Q158" s="2" t="s">
        <v>304</v>
      </c>
      <c r="R158" s="2" t="s">
        <v>305</v>
      </c>
      <c r="S158" s="2" t="s">
        <v>69</v>
      </c>
      <c r="T158" s="2" t="s">
        <v>285</v>
      </c>
      <c r="W158" s="4">
        <v>600</v>
      </c>
      <c r="X158" s="4">
        <v>720</v>
      </c>
      <c r="Y158" s="4">
        <f t="shared" ref="Y158" si="174">INDEX(InternalRates,MATCH($S158,InternalRates01,FALSE),2)</f>
        <v>278.98333333333335</v>
      </c>
      <c r="Z158" s="3" t="str">
        <f t="shared" si="144"/>
        <v>Nie</v>
      </c>
      <c r="AA158" s="3" t="str">
        <f t="shared" si="145"/>
        <v>SLA</v>
      </c>
      <c r="AB158" s="4">
        <v>15</v>
      </c>
      <c r="AD158" s="3" t="s">
        <v>49</v>
      </c>
      <c r="AE158" s="6">
        <v>44418</v>
      </c>
      <c r="AF158" s="3" t="s">
        <v>59</v>
      </c>
      <c r="AG158" s="3" t="s">
        <v>48</v>
      </c>
      <c r="AH158" s="3">
        <f>YEAR(SrcDB[[#This Row],[Datum_zverejnenia]])</f>
        <v>2020</v>
      </c>
      <c r="AI158" s="3" cm="1">
        <f t="array" ref="AI158">COUNT(_xlfn.UNIQUE(_xlfn._xlws.FILTER(SrcDB[ID],SrcDB[Objednavatel_ICO]=$H158)))</f>
        <v>6</v>
      </c>
      <c r="AJ158" s="3" cm="1">
        <f t="array" ref="AJ158">COUNT(_xlfn.UNIQUE(_xlfn._xlws.FILTER(SrcDB[ID],SrcDB[Dodavatel_ICO]=$K158)))</f>
        <v>4</v>
      </c>
      <c r="AK158" s="3">
        <f t="shared" si="147"/>
        <v>0</v>
      </c>
      <c r="AL158" s="3">
        <f t="shared" si="148"/>
        <v>0</v>
      </c>
      <c r="AM158" s="17" t="str">
        <f>IF(SrcDB[[#This Row],[Pocet zmluv objednavatela]]&gt;3,SrcDB[[#This Row],[Objednavatel]],"Ostatné")</f>
        <v>Štatistický úrad SR</v>
      </c>
      <c r="AN158" s="17" t="str">
        <f>IF(SrcDB[[#This Row],[Pocet zmluv dodavatela]]&gt;3,SrcDB[[#This Row],[Dodavatel]],"Ostatné")</f>
        <v>NextIT s.r.o.</v>
      </c>
    </row>
    <row r="159" spans="1:40" x14ac:dyDescent="0.3">
      <c r="A159" s="2" t="s">
        <v>301</v>
      </c>
      <c r="B159" s="2">
        <v>4756698</v>
      </c>
      <c r="C159" s="3" t="str">
        <f t="shared" si="139"/>
        <v>Nejasné</v>
      </c>
      <c r="D159" s="3" t="str">
        <f t="shared" si="140"/>
        <v>Nejasné</v>
      </c>
      <c r="E159" s="3" t="s">
        <v>48</v>
      </c>
      <c r="F159" s="3" t="s">
        <v>49</v>
      </c>
      <c r="G159" s="2" t="str">
        <f t="shared" si="141"/>
        <v>Stredné zmluvy</v>
      </c>
      <c r="H159" s="5" t="s">
        <v>278</v>
      </c>
      <c r="I159" s="2" t="s">
        <v>279</v>
      </c>
      <c r="J159" s="2" t="s">
        <v>280</v>
      </c>
      <c r="K159" s="5">
        <v>44694695</v>
      </c>
      <c r="L159" s="2" t="s">
        <v>302</v>
      </c>
      <c r="M159" s="2" t="s">
        <v>303</v>
      </c>
      <c r="N159" s="6">
        <v>43986</v>
      </c>
      <c r="O159" s="4">
        <v>2939784</v>
      </c>
      <c r="P159" s="2">
        <v>114733</v>
      </c>
      <c r="Q159" s="2" t="s">
        <v>304</v>
      </c>
      <c r="R159" s="2" t="s">
        <v>305</v>
      </c>
      <c r="S159" s="2" t="s">
        <v>56</v>
      </c>
      <c r="T159" s="2" t="s">
        <v>94</v>
      </c>
      <c r="U159" s="2" t="s">
        <v>95</v>
      </c>
      <c r="W159" s="4">
        <v>650</v>
      </c>
      <c r="X159" s="4">
        <v>780</v>
      </c>
      <c r="Y159" s="4">
        <f t="shared" ref="Y159" si="175">INDEX(InternalRates,MATCH($S159,InternalRates01,FALSE),2)</f>
        <v>278.98333333333335</v>
      </c>
      <c r="Z159" s="3" t="str">
        <f t="shared" si="144"/>
        <v>Nie</v>
      </c>
      <c r="AA159" s="3" t="str">
        <f t="shared" si="145"/>
        <v>SLA</v>
      </c>
      <c r="AB159" s="4">
        <v>10</v>
      </c>
      <c r="AD159" s="3" t="s">
        <v>49</v>
      </c>
      <c r="AE159" s="6">
        <v>44418</v>
      </c>
      <c r="AF159" s="3" t="s">
        <v>59</v>
      </c>
      <c r="AG159" s="3" t="s">
        <v>48</v>
      </c>
      <c r="AH159" s="3">
        <f>YEAR(SrcDB[[#This Row],[Datum_zverejnenia]])</f>
        <v>2020</v>
      </c>
      <c r="AI159" s="3" cm="1">
        <f t="array" ref="AI159">COUNT(_xlfn.UNIQUE(_xlfn._xlws.FILTER(SrcDB[ID],SrcDB[Objednavatel_ICO]=$H159)))</f>
        <v>6</v>
      </c>
      <c r="AJ159" s="3" cm="1">
        <f t="array" ref="AJ159">COUNT(_xlfn.UNIQUE(_xlfn._xlws.FILTER(SrcDB[ID],SrcDB[Dodavatel_ICO]=$K159)))</f>
        <v>4</v>
      </c>
      <c r="AK159" s="3">
        <f t="shared" si="147"/>
        <v>0</v>
      </c>
      <c r="AL159" s="3">
        <f t="shared" si="148"/>
        <v>0</v>
      </c>
      <c r="AM159" s="17" t="str">
        <f>IF(SrcDB[[#This Row],[Pocet zmluv objednavatela]]&gt;3,SrcDB[[#This Row],[Objednavatel]],"Ostatné")</f>
        <v>Štatistický úrad SR</v>
      </c>
      <c r="AN159" s="17" t="str">
        <f>IF(SrcDB[[#This Row],[Pocet zmluv dodavatela]]&gt;3,SrcDB[[#This Row],[Dodavatel]],"Ostatné")</f>
        <v>NextIT s.r.o.</v>
      </c>
    </row>
    <row r="160" spans="1:40" x14ac:dyDescent="0.3">
      <c r="A160" s="2" t="s">
        <v>301</v>
      </c>
      <c r="B160" s="2">
        <v>4756698</v>
      </c>
      <c r="C160" s="3" t="str">
        <f t="shared" si="139"/>
        <v>Nejasné</v>
      </c>
      <c r="D160" s="3" t="str">
        <f t="shared" si="140"/>
        <v>Nejasné</v>
      </c>
      <c r="E160" s="3" t="s">
        <v>48</v>
      </c>
      <c r="F160" s="3" t="s">
        <v>49</v>
      </c>
      <c r="G160" s="2" t="str">
        <f t="shared" si="141"/>
        <v>Stredné zmluvy</v>
      </c>
      <c r="H160" s="5" t="s">
        <v>278</v>
      </c>
      <c r="I160" s="2" t="s">
        <v>279</v>
      </c>
      <c r="J160" s="2" t="s">
        <v>280</v>
      </c>
      <c r="K160" s="5">
        <v>44694695</v>
      </c>
      <c r="L160" s="2" t="s">
        <v>302</v>
      </c>
      <c r="M160" s="2" t="s">
        <v>303</v>
      </c>
      <c r="N160" s="6">
        <v>43986</v>
      </c>
      <c r="O160" s="4">
        <v>2939784</v>
      </c>
      <c r="P160" s="2">
        <v>114733</v>
      </c>
      <c r="Q160" s="2" t="s">
        <v>304</v>
      </c>
      <c r="R160" s="2" t="s">
        <v>305</v>
      </c>
      <c r="S160" s="2" t="s">
        <v>77</v>
      </c>
      <c r="T160" s="2" t="s">
        <v>92</v>
      </c>
      <c r="W160" s="4">
        <v>640</v>
      </c>
      <c r="X160" s="4">
        <v>768</v>
      </c>
      <c r="Y160" s="4">
        <f t="shared" ref="Y160" si="176">INDEX(InternalRates,MATCH($S160,InternalRates01,FALSE),2)</f>
        <v>278.98333333333335</v>
      </c>
      <c r="Z160" s="3" t="str">
        <f t="shared" si="144"/>
        <v>Nie</v>
      </c>
      <c r="AA160" s="3" t="str">
        <f t="shared" si="145"/>
        <v>SLA</v>
      </c>
      <c r="AB160" s="4">
        <v>835</v>
      </c>
      <c r="AD160" s="3" t="s">
        <v>49</v>
      </c>
      <c r="AE160" s="6">
        <v>44418</v>
      </c>
      <c r="AF160" s="3" t="s">
        <v>59</v>
      </c>
      <c r="AG160" s="3" t="s">
        <v>48</v>
      </c>
      <c r="AH160" s="3">
        <f>YEAR(SrcDB[[#This Row],[Datum_zverejnenia]])</f>
        <v>2020</v>
      </c>
      <c r="AI160" s="3" cm="1">
        <f t="array" ref="AI160">COUNT(_xlfn.UNIQUE(_xlfn._xlws.FILTER(SrcDB[ID],SrcDB[Objednavatel_ICO]=$H160)))</f>
        <v>6</v>
      </c>
      <c r="AJ160" s="3" cm="1">
        <f t="array" ref="AJ160">COUNT(_xlfn.UNIQUE(_xlfn._xlws.FILTER(SrcDB[ID],SrcDB[Dodavatel_ICO]=$K160)))</f>
        <v>4</v>
      </c>
      <c r="AK160" s="3">
        <f t="shared" si="147"/>
        <v>0</v>
      </c>
      <c r="AL160" s="3">
        <f t="shared" si="148"/>
        <v>0</v>
      </c>
      <c r="AM160" s="17" t="str">
        <f>IF(SrcDB[[#This Row],[Pocet zmluv objednavatela]]&gt;3,SrcDB[[#This Row],[Objednavatel]],"Ostatné")</f>
        <v>Štatistický úrad SR</v>
      </c>
      <c r="AN160" s="17" t="str">
        <f>IF(SrcDB[[#This Row],[Pocet zmluv dodavatela]]&gt;3,SrcDB[[#This Row],[Dodavatel]],"Ostatné")</f>
        <v>NextIT s.r.o.</v>
      </c>
    </row>
    <row r="161" spans="1:40" x14ac:dyDescent="0.3">
      <c r="A161" s="2" t="s">
        <v>301</v>
      </c>
      <c r="B161" s="2">
        <v>4756698</v>
      </c>
      <c r="C161" s="3" t="str">
        <f t="shared" si="139"/>
        <v>Nejasné</v>
      </c>
      <c r="D161" s="3" t="str">
        <f t="shared" si="140"/>
        <v>Nejasné</v>
      </c>
      <c r="E161" s="3" t="s">
        <v>48</v>
      </c>
      <c r="F161" s="3" t="s">
        <v>49</v>
      </c>
      <c r="G161" s="2" t="str">
        <f t="shared" si="141"/>
        <v>Stredné zmluvy</v>
      </c>
      <c r="H161" s="5" t="s">
        <v>278</v>
      </c>
      <c r="I161" s="2" t="s">
        <v>279</v>
      </c>
      <c r="J161" s="2" t="s">
        <v>280</v>
      </c>
      <c r="K161" s="5">
        <v>44694695</v>
      </c>
      <c r="L161" s="2" t="s">
        <v>302</v>
      </c>
      <c r="M161" s="2" t="s">
        <v>303</v>
      </c>
      <c r="N161" s="6">
        <v>43986</v>
      </c>
      <c r="O161" s="4">
        <v>2939784</v>
      </c>
      <c r="P161" s="2">
        <v>114733</v>
      </c>
      <c r="Q161" s="2" t="s">
        <v>304</v>
      </c>
      <c r="R161" s="2" t="s">
        <v>305</v>
      </c>
      <c r="S161" s="2" t="s">
        <v>79</v>
      </c>
      <c r="T161" s="2" t="s">
        <v>93</v>
      </c>
      <c r="W161" s="4">
        <v>500</v>
      </c>
      <c r="X161" s="4">
        <v>600</v>
      </c>
      <c r="Y161" s="4">
        <f t="shared" ref="Y161" si="177">INDEX(InternalRates,MATCH($S161,InternalRates01,FALSE),2)</f>
        <v>278.98333333333335</v>
      </c>
      <c r="Z161" s="3" t="str">
        <f t="shared" si="144"/>
        <v>Nie</v>
      </c>
      <c r="AA161" s="3" t="str">
        <f t="shared" si="145"/>
        <v>SLA</v>
      </c>
      <c r="AB161" s="4">
        <v>170</v>
      </c>
      <c r="AD161" s="3" t="s">
        <v>49</v>
      </c>
      <c r="AE161" s="6">
        <v>44418</v>
      </c>
      <c r="AF161" s="3" t="s">
        <v>59</v>
      </c>
      <c r="AG161" s="3" t="s">
        <v>48</v>
      </c>
      <c r="AH161" s="3">
        <f>YEAR(SrcDB[[#This Row],[Datum_zverejnenia]])</f>
        <v>2020</v>
      </c>
      <c r="AI161" s="3" cm="1">
        <f t="array" ref="AI161">COUNT(_xlfn.UNIQUE(_xlfn._xlws.FILTER(SrcDB[ID],SrcDB[Objednavatel_ICO]=$H161)))</f>
        <v>6</v>
      </c>
      <c r="AJ161" s="3" cm="1">
        <f t="array" ref="AJ161">COUNT(_xlfn.UNIQUE(_xlfn._xlws.FILTER(SrcDB[ID],SrcDB[Dodavatel_ICO]=$K161)))</f>
        <v>4</v>
      </c>
      <c r="AK161" s="3">
        <f t="shared" si="147"/>
        <v>0</v>
      </c>
      <c r="AL161" s="3">
        <f t="shared" si="148"/>
        <v>0</v>
      </c>
      <c r="AM161" s="17" t="str">
        <f>IF(SrcDB[[#This Row],[Pocet zmluv objednavatela]]&gt;3,SrcDB[[#This Row],[Objednavatel]],"Ostatné")</f>
        <v>Štatistický úrad SR</v>
      </c>
      <c r="AN161" s="17" t="str">
        <f>IF(SrcDB[[#This Row],[Pocet zmluv dodavatela]]&gt;3,SrcDB[[#This Row],[Dodavatel]],"Ostatné")</f>
        <v>NextIT s.r.o.</v>
      </c>
    </row>
    <row r="162" spans="1:40" x14ac:dyDescent="0.3">
      <c r="A162" s="2" t="s">
        <v>301</v>
      </c>
      <c r="B162" s="2">
        <v>4756698</v>
      </c>
      <c r="C162" s="3" t="str">
        <f t="shared" si="139"/>
        <v>Nejasné</v>
      </c>
      <c r="D162" s="3" t="str">
        <f t="shared" si="140"/>
        <v>Nejasné</v>
      </c>
      <c r="E162" s="3" t="s">
        <v>48</v>
      </c>
      <c r="F162" s="3" t="s">
        <v>49</v>
      </c>
      <c r="G162" s="2" t="str">
        <f t="shared" si="141"/>
        <v>Stredné zmluvy</v>
      </c>
      <c r="H162" s="5" t="s">
        <v>278</v>
      </c>
      <c r="I162" s="2" t="s">
        <v>279</v>
      </c>
      <c r="J162" s="2" t="s">
        <v>280</v>
      </c>
      <c r="K162" s="5">
        <v>44694695</v>
      </c>
      <c r="L162" s="2" t="s">
        <v>302</v>
      </c>
      <c r="M162" s="2" t="s">
        <v>303</v>
      </c>
      <c r="N162" s="6">
        <v>43986</v>
      </c>
      <c r="O162" s="4">
        <v>2939784</v>
      </c>
      <c r="P162" s="2">
        <v>114733</v>
      </c>
      <c r="Q162" s="2" t="s">
        <v>304</v>
      </c>
      <c r="R162" s="2" t="s">
        <v>305</v>
      </c>
      <c r="S162" s="2" t="s">
        <v>102</v>
      </c>
      <c r="T162" s="2" t="s">
        <v>306</v>
      </c>
      <c r="W162" s="4">
        <v>550</v>
      </c>
      <c r="X162" s="4">
        <v>660</v>
      </c>
      <c r="Y162" s="4">
        <f t="shared" ref="Y162" si="178">INDEX(InternalRates,MATCH($S162,InternalRates01,FALSE),2)</f>
        <v>278.98333333333335</v>
      </c>
      <c r="Z162" s="3" t="str">
        <f t="shared" si="144"/>
        <v>Nie</v>
      </c>
      <c r="AA162" s="3" t="str">
        <f t="shared" si="145"/>
        <v>SLA</v>
      </c>
      <c r="AB162" s="4">
        <v>60</v>
      </c>
      <c r="AD162" s="3" t="s">
        <v>49</v>
      </c>
      <c r="AE162" s="6">
        <v>44418</v>
      </c>
      <c r="AF162" s="3" t="s">
        <v>59</v>
      </c>
      <c r="AG162" s="3" t="s">
        <v>48</v>
      </c>
      <c r="AH162" s="3">
        <f>YEAR(SrcDB[[#This Row],[Datum_zverejnenia]])</f>
        <v>2020</v>
      </c>
      <c r="AI162" s="3" cm="1">
        <f t="array" ref="AI162">COUNT(_xlfn.UNIQUE(_xlfn._xlws.FILTER(SrcDB[ID],SrcDB[Objednavatel_ICO]=$H162)))</f>
        <v>6</v>
      </c>
      <c r="AJ162" s="3" cm="1">
        <f t="array" ref="AJ162">COUNT(_xlfn.UNIQUE(_xlfn._xlws.FILTER(SrcDB[ID],SrcDB[Dodavatel_ICO]=$K162)))</f>
        <v>4</v>
      </c>
      <c r="AK162" s="3">
        <f t="shared" si="147"/>
        <v>0</v>
      </c>
      <c r="AL162" s="3">
        <f t="shared" si="148"/>
        <v>0</v>
      </c>
      <c r="AM162" s="17" t="str">
        <f>IF(SrcDB[[#This Row],[Pocet zmluv objednavatela]]&gt;3,SrcDB[[#This Row],[Objednavatel]],"Ostatné")</f>
        <v>Štatistický úrad SR</v>
      </c>
      <c r="AN162" s="17" t="str">
        <f>IF(SrcDB[[#This Row],[Pocet zmluv dodavatela]]&gt;3,SrcDB[[#This Row],[Dodavatel]],"Ostatné")</f>
        <v>NextIT s.r.o.</v>
      </c>
    </row>
    <row r="163" spans="1:40" x14ac:dyDescent="0.3">
      <c r="A163" s="2" t="s">
        <v>301</v>
      </c>
      <c r="B163" s="2">
        <v>4756698</v>
      </c>
      <c r="C163" s="3" t="str">
        <f t="shared" si="139"/>
        <v>Nejasné</v>
      </c>
      <c r="D163" s="3" t="str">
        <f t="shared" si="140"/>
        <v>Nejasné</v>
      </c>
      <c r="E163" s="3" t="s">
        <v>48</v>
      </c>
      <c r="F163" s="3" t="s">
        <v>49</v>
      </c>
      <c r="G163" s="2" t="str">
        <f t="shared" si="141"/>
        <v>Stredné zmluvy</v>
      </c>
      <c r="H163" s="5" t="s">
        <v>278</v>
      </c>
      <c r="I163" s="2" t="s">
        <v>279</v>
      </c>
      <c r="J163" s="2" t="s">
        <v>280</v>
      </c>
      <c r="K163" s="5">
        <v>44694695</v>
      </c>
      <c r="L163" s="2" t="s">
        <v>302</v>
      </c>
      <c r="M163" s="2" t="s">
        <v>303</v>
      </c>
      <c r="N163" s="6">
        <v>43986</v>
      </c>
      <c r="O163" s="4">
        <v>2939784</v>
      </c>
      <c r="P163" s="2">
        <v>114733</v>
      </c>
      <c r="Q163" s="2" t="s">
        <v>304</v>
      </c>
      <c r="R163" s="2" t="s">
        <v>305</v>
      </c>
      <c r="S163" s="2" t="s">
        <v>98</v>
      </c>
      <c r="T163" s="2" t="s">
        <v>99</v>
      </c>
      <c r="W163" s="4">
        <v>500</v>
      </c>
      <c r="X163" s="4">
        <v>600</v>
      </c>
      <c r="Y163" s="4">
        <f t="shared" ref="Y163" si="179">INDEX(InternalRates,MATCH($S163,InternalRates01,FALSE),2)</f>
        <v>278.98333333333335</v>
      </c>
      <c r="Z163" s="3" t="str">
        <f t="shared" si="144"/>
        <v>Nie</v>
      </c>
      <c r="AA163" s="3" t="str">
        <f t="shared" si="145"/>
        <v>SLA</v>
      </c>
      <c r="AB163" s="4">
        <v>10</v>
      </c>
      <c r="AD163" s="3" t="s">
        <v>49</v>
      </c>
      <c r="AE163" s="6">
        <v>44418</v>
      </c>
      <c r="AF163" s="3" t="s">
        <v>59</v>
      </c>
      <c r="AG163" s="3" t="s">
        <v>48</v>
      </c>
      <c r="AH163" s="3">
        <f>YEAR(SrcDB[[#This Row],[Datum_zverejnenia]])</f>
        <v>2020</v>
      </c>
      <c r="AI163" s="3" cm="1">
        <f t="array" ref="AI163">COUNT(_xlfn.UNIQUE(_xlfn._xlws.FILTER(SrcDB[ID],SrcDB[Objednavatel_ICO]=$H163)))</f>
        <v>6</v>
      </c>
      <c r="AJ163" s="3" cm="1">
        <f t="array" ref="AJ163">COUNT(_xlfn.UNIQUE(_xlfn._xlws.FILTER(SrcDB[ID],SrcDB[Dodavatel_ICO]=$K163)))</f>
        <v>4</v>
      </c>
      <c r="AK163" s="3">
        <f t="shared" si="147"/>
        <v>0</v>
      </c>
      <c r="AL163" s="3">
        <f t="shared" si="148"/>
        <v>0</v>
      </c>
      <c r="AM163" s="17" t="str">
        <f>IF(SrcDB[[#This Row],[Pocet zmluv objednavatela]]&gt;3,SrcDB[[#This Row],[Objednavatel]],"Ostatné")</f>
        <v>Štatistický úrad SR</v>
      </c>
      <c r="AN163" s="17" t="str">
        <f>IF(SrcDB[[#This Row],[Pocet zmluv dodavatela]]&gt;3,SrcDB[[#This Row],[Dodavatel]],"Ostatné")</f>
        <v>NextIT s.r.o.</v>
      </c>
    </row>
    <row r="164" spans="1:40" x14ac:dyDescent="0.3">
      <c r="A164" s="2" t="s">
        <v>307</v>
      </c>
      <c r="B164" s="2">
        <v>4805523</v>
      </c>
      <c r="C164" s="3" t="str">
        <f t="shared" si="139"/>
        <v>Nejasné</v>
      </c>
      <c r="D164" s="3" t="str">
        <f t="shared" si="140"/>
        <v>Nejasné</v>
      </c>
      <c r="E164" s="3" t="s">
        <v>49</v>
      </c>
      <c r="F164" s="3" t="s">
        <v>48</v>
      </c>
      <c r="G164" s="2" t="str">
        <f t="shared" si="141"/>
        <v>Malé zmluvy</v>
      </c>
      <c r="H164" s="5">
        <v>30794536</v>
      </c>
      <c r="I164" s="2" t="s">
        <v>308</v>
      </c>
      <c r="J164" s="2" t="s">
        <v>309</v>
      </c>
      <c r="K164" s="5">
        <v>35728531</v>
      </c>
      <c r="L164" s="2" t="s">
        <v>310</v>
      </c>
      <c r="M164" s="2" t="s">
        <v>311</v>
      </c>
      <c r="N164" s="6">
        <v>44001.559618055559</v>
      </c>
      <c r="O164" s="4">
        <v>889690.56</v>
      </c>
      <c r="P164" s="2">
        <v>114533</v>
      </c>
      <c r="Q164" s="2" t="s">
        <v>312</v>
      </c>
      <c r="R164" s="2" t="s">
        <v>313</v>
      </c>
      <c r="S164" s="2" t="s">
        <v>160</v>
      </c>
      <c r="T164" s="2" t="s">
        <v>314</v>
      </c>
      <c r="W164" s="4">
        <v>760</v>
      </c>
      <c r="X164" s="4">
        <v>912</v>
      </c>
      <c r="Y164" s="4">
        <f t="shared" ref="Y164" si="180">INDEX(InternalRates,MATCH($S164,InternalRates01,FALSE),2)</f>
        <v>231.85833333333335</v>
      </c>
      <c r="Z164" s="3" t="str">
        <f t="shared" si="144"/>
        <v>Nie</v>
      </c>
      <c r="AA164" s="3" t="str">
        <f t="shared" si="145"/>
        <v>ZoD</v>
      </c>
      <c r="AB164" s="4">
        <v>50</v>
      </c>
      <c r="AD164" s="3" t="s">
        <v>48</v>
      </c>
      <c r="AE164" s="6">
        <v>44424</v>
      </c>
      <c r="AF164" s="3" t="s">
        <v>59</v>
      </c>
      <c r="AG164" s="3" t="s">
        <v>60</v>
      </c>
      <c r="AH164" s="3">
        <f>YEAR(SrcDB[[#This Row],[Datum_zverejnenia]])</f>
        <v>2020</v>
      </c>
      <c r="AI164" s="3" cm="1">
        <f t="array" ref="AI164">COUNT(_xlfn.UNIQUE(_xlfn._xlws.FILTER(SrcDB[ID],SrcDB[Objednavatel_ICO]=$H164)))</f>
        <v>2</v>
      </c>
      <c r="AJ164" s="3" cm="1">
        <f t="array" ref="AJ164">COUNT(_xlfn.UNIQUE(_xlfn._xlws.FILTER(SrcDB[ID],SrcDB[Dodavatel_ICO]=$K164)))</f>
        <v>8</v>
      </c>
      <c r="AK164" s="3">
        <f t="shared" si="147"/>
        <v>1</v>
      </c>
      <c r="AL164" s="3">
        <f t="shared" si="148"/>
        <v>1</v>
      </c>
      <c r="AM164" s="17" t="str">
        <f>IF(SrcDB[[#This Row],[Pocet zmluv objednavatela]]&gt;3,SrcDB[[#This Row],[Objednavatel]],"Ostatné")</f>
        <v>Ostatné</v>
      </c>
      <c r="AN164" s="17" t="str">
        <f>IF(SrcDB[[#This Row],[Pocet zmluv dodavatela]]&gt;3,SrcDB[[#This Row],[Dodavatel]],"Ostatné")</f>
        <v>InterWay, a.s.</v>
      </c>
    </row>
    <row r="165" spans="1:40" x14ac:dyDescent="0.3">
      <c r="A165" s="2" t="s">
        <v>315</v>
      </c>
      <c r="B165" s="2">
        <v>4812199</v>
      </c>
      <c r="C165" s="3" t="str">
        <f t="shared" si="139"/>
        <v>Nie</v>
      </c>
      <c r="D165" s="3" t="str">
        <f t="shared" si="140"/>
        <v>Áno</v>
      </c>
      <c r="E165" s="3" t="s">
        <v>48</v>
      </c>
      <c r="F165" s="3" t="s">
        <v>49</v>
      </c>
      <c r="G165" s="2" t="str">
        <f t="shared" si="141"/>
        <v>Malé zmluvy</v>
      </c>
      <c r="H165" s="5">
        <v>36631124</v>
      </c>
      <c r="I165" s="2" t="s">
        <v>104</v>
      </c>
      <c r="J165" s="2" t="s">
        <v>105</v>
      </c>
      <c r="K165" s="5">
        <v>36844616</v>
      </c>
      <c r="L165" s="2" t="s">
        <v>316</v>
      </c>
      <c r="M165" s="2" t="s">
        <v>317</v>
      </c>
      <c r="N165" s="6">
        <v>44005.624282407407</v>
      </c>
      <c r="O165" s="4">
        <v>260000</v>
      </c>
      <c r="P165" s="2">
        <v>114573</v>
      </c>
      <c r="Q165" s="2" t="s">
        <v>318</v>
      </c>
      <c r="R165" s="2" t="s">
        <v>319</v>
      </c>
      <c r="S165" s="2" t="s">
        <v>71</v>
      </c>
      <c r="T165" s="2" t="s">
        <v>320</v>
      </c>
      <c r="W165" s="4">
        <v>680</v>
      </c>
      <c r="X165" s="4">
        <v>816</v>
      </c>
      <c r="Y165" s="4">
        <f t="shared" ref="Y165" si="181">INDEX(InternalRates,MATCH($S165,InternalRates01,FALSE),2)</f>
        <v>354.0333333333333</v>
      </c>
      <c r="Z165" s="3" t="str">
        <f t="shared" si="144"/>
        <v>Nie</v>
      </c>
      <c r="AA165" s="3" t="str">
        <f t="shared" si="145"/>
        <v>SLA</v>
      </c>
      <c r="AD165" s="3" t="s">
        <v>48</v>
      </c>
      <c r="AE165" s="6">
        <v>44510</v>
      </c>
      <c r="AF165" s="3" t="s">
        <v>59</v>
      </c>
      <c r="AG165" s="3" t="s">
        <v>48</v>
      </c>
      <c r="AH165" s="3">
        <f>YEAR(SrcDB[[#This Row],[Datum_zverejnenia]])</f>
        <v>2020</v>
      </c>
      <c r="AI165" s="3" cm="1">
        <f t="array" ref="AI165">COUNT(_xlfn.UNIQUE(_xlfn._xlws.FILTER(SrcDB[ID],SrcDB[Objednavatel_ICO]=$H165)))</f>
        <v>17</v>
      </c>
      <c r="AJ165" s="3" cm="1">
        <f t="array" ref="AJ165">COUNT(_xlfn.UNIQUE(_xlfn._xlws.FILTER(SrcDB[ID],SrcDB[Dodavatel_ICO]=$K165)))</f>
        <v>2</v>
      </c>
      <c r="AK165" s="3">
        <f t="shared" si="147"/>
        <v>1</v>
      </c>
      <c r="AL165" s="3">
        <f t="shared" si="148"/>
        <v>1</v>
      </c>
      <c r="AM165" s="17" t="str">
        <f>IF(SrcDB[[#This Row],[Pocet zmluv objednavatela]]&gt;3,SrcDB[[#This Row],[Objednavatel]],"Ostatné")</f>
        <v>Slovenská pošta, a. s.</v>
      </c>
      <c r="AN165" s="17" t="str">
        <f>IF(SrcDB[[#This Row],[Pocet zmluv dodavatela]]&gt;3,SrcDB[[#This Row],[Dodavatel]],"Ostatné")</f>
        <v>Ostatné</v>
      </c>
    </row>
    <row r="166" spans="1:40" x14ac:dyDescent="0.3">
      <c r="A166" s="2" t="s">
        <v>315</v>
      </c>
      <c r="B166" s="2">
        <v>4812199</v>
      </c>
      <c r="C166" s="3" t="str">
        <f t="shared" si="139"/>
        <v>Nie</v>
      </c>
      <c r="D166" s="3" t="str">
        <f t="shared" si="140"/>
        <v>Áno</v>
      </c>
      <c r="E166" s="3" t="s">
        <v>48</v>
      </c>
      <c r="F166" s="3" t="s">
        <v>49</v>
      </c>
      <c r="G166" s="2" t="str">
        <f t="shared" si="141"/>
        <v>Malé zmluvy</v>
      </c>
      <c r="H166" s="5">
        <v>36631124</v>
      </c>
      <c r="I166" s="2" t="s">
        <v>104</v>
      </c>
      <c r="J166" s="2" t="s">
        <v>105</v>
      </c>
      <c r="K166" s="5">
        <v>36844616</v>
      </c>
      <c r="L166" s="2" t="s">
        <v>316</v>
      </c>
      <c r="M166" s="2" t="s">
        <v>317</v>
      </c>
      <c r="N166" s="6">
        <v>44005.624282407407</v>
      </c>
      <c r="O166" s="4">
        <v>260000</v>
      </c>
      <c r="P166" s="2">
        <v>114573</v>
      </c>
      <c r="Q166" s="2" t="s">
        <v>318</v>
      </c>
      <c r="R166" s="2" t="s">
        <v>321</v>
      </c>
      <c r="S166" s="2" t="s">
        <v>71</v>
      </c>
      <c r="T166" s="2" t="s">
        <v>322</v>
      </c>
      <c r="W166" s="4">
        <v>680</v>
      </c>
      <c r="X166" s="4">
        <v>816</v>
      </c>
      <c r="Y166" s="4">
        <f t="shared" ref="Y166" si="182">INDEX(InternalRates,MATCH($S166,InternalRates01,FALSE),2)</f>
        <v>354.0333333333333</v>
      </c>
      <c r="Z166" s="3" t="str">
        <f t="shared" si="144"/>
        <v>Nie</v>
      </c>
      <c r="AA166" s="3" t="str">
        <f t="shared" si="145"/>
        <v>SLA</v>
      </c>
      <c r="AD166" s="3" t="s">
        <v>48</v>
      </c>
      <c r="AE166" s="6">
        <v>44510</v>
      </c>
      <c r="AF166" s="3" t="s">
        <v>59</v>
      </c>
      <c r="AG166" s="3" t="s">
        <v>48</v>
      </c>
      <c r="AH166" s="3">
        <f>YEAR(SrcDB[[#This Row],[Datum_zverejnenia]])</f>
        <v>2020</v>
      </c>
      <c r="AI166" s="3" cm="1">
        <f t="array" ref="AI166">COUNT(_xlfn.UNIQUE(_xlfn._xlws.FILTER(SrcDB[ID],SrcDB[Objednavatel_ICO]=$H166)))</f>
        <v>17</v>
      </c>
      <c r="AJ166" s="3" cm="1">
        <f t="array" ref="AJ166">COUNT(_xlfn.UNIQUE(_xlfn._xlws.FILTER(SrcDB[ID],SrcDB[Dodavatel_ICO]=$K166)))</f>
        <v>2</v>
      </c>
      <c r="AK166" s="3">
        <f t="shared" si="147"/>
        <v>0</v>
      </c>
      <c r="AL166" s="3">
        <f t="shared" si="148"/>
        <v>0</v>
      </c>
      <c r="AM166" s="17" t="str">
        <f>IF(SrcDB[[#This Row],[Pocet zmluv objednavatela]]&gt;3,SrcDB[[#This Row],[Objednavatel]],"Ostatné")</f>
        <v>Slovenská pošta, a. s.</v>
      </c>
      <c r="AN166" s="17" t="str">
        <f>IF(SrcDB[[#This Row],[Pocet zmluv dodavatela]]&gt;3,SrcDB[[#This Row],[Dodavatel]],"Ostatné")</f>
        <v>Ostatné</v>
      </c>
    </row>
    <row r="167" spans="1:40" x14ac:dyDescent="0.3">
      <c r="A167" s="2" t="s">
        <v>315</v>
      </c>
      <c r="B167" s="2">
        <v>4812199</v>
      </c>
      <c r="C167" s="3" t="str">
        <f t="shared" si="139"/>
        <v>Nie</v>
      </c>
      <c r="D167" s="3" t="str">
        <f t="shared" si="140"/>
        <v>Áno</v>
      </c>
      <c r="E167" s="3" t="s">
        <v>48</v>
      </c>
      <c r="F167" s="3" t="s">
        <v>49</v>
      </c>
      <c r="G167" s="2" t="str">
        <f t="shared" si="141"/>
        <v>Malé zmluvy</v>
      </c>
      <c r="H167" s="5">
        <v>36631124</v>
      </c>
      <c r="I167" s="2" t="s">
        <v>104</v>
      </c>
      <c r="J167" s="2" t="s">
        <v>105</v>
      </c>
      <c r="K167" s="5">
        <v>36844616</v>
      </c>
      <c r="L167" s="2" t="s">
        <v>316</v>
      </c>
      <c r="M167" s="2" t="s">
        <v>317</v>
      </c>
      <c r="N167" s="6">
        <v>44005.624282407407</v>
      </c>
      <c r="O167" s="4">
        <v>260000</v>
      </c>
      <c r="P167" s="2">
        <v>114573</v>
      </c>
      <c r="Q167" s="2" t="s">
        <v>318</v>
      </c>
      <c r="R167" s="2" t="s">
        <v>323</v>
      </c>
      <c r="S167" s="2" t="s">
        <v>69</v>
      </c>
      <c r="T167" s="2" t="s">
        <v>70</v>
      </c>
      <c r="W167" s="4">
        <v>680</v>
      </c>
      <c r="X167" s="4">
        <v>816</v>
      </c>
      <c r="Y167" s="4">
        <f t="shared" ref="Y167" si="183">INDEX(InternalRates,MATCH($S167,InternalRates01,FALSE),2)</f>
        <v>278.98333333333335</v>
      </c>
      <c r="Z167" s="3" t="str">
        <f t="shared" si="144"/>
        <v>Nie</v>
      </c>
      <c r="AA167" s="3" t="str">
        <f t="shared" si="145"/>
        <v>SLA</v>
      </c>
      <c r="AD167" s="3" t="s">
        <v>48</v>
      </c>
      <c r="AE167" s="6">
        <v>44510</v>
      </c>
      <c r="AF167" s="3" t="s">
        <v>59</v>
      </c>
      <c r="AG167" s="3" t="s">
        <v>48</v>
      </c>
      <c r="AH167" s="3">
        <f>YEAR(SrcDB[[#This Row],[Datum_zverejnenia]])</f>
        <v>2020</v>
      </c>
      <c r="AI167" s="3" cm="1">
        <f t="array" ref="AI167">COUNT(_xlfn.UNIQUE(_xlfn._xlws.FILTER(SrcDB[ID],SrcDB[Objednavatel_ICO]=$H167)))</f>
        <v>17</v>
      </c>
      <c r="AJ167" s="3" cm="1">
        <f t="array" ref="AJ167">COUNT(_xlfn.UNIQUE(_xlfn._xlws.FILTER(SrcDB[ID],SrcDB[Dodavatel_ICO]=$K167)))</f>
        <v>2</v>
      </c>
      <c r="AK167" s="3">
        <f t="shared" si="147"/>
        <v>0</v>
      </c>
      <c r="AL167" s="3">
        <f t="shared" si="148"/>
        <v>0</v>
      </c>
      <c r="AM167" s="17" t="str">
        <f>IF(SrcDB[[#This Row],[Pocet zmluv objednavatela]]&gt;3,SrcDB[[#This Row],[Objednavatel]],"Ostatné")</f>
        <v>Slovenská pošta, a. s.</v>
      </c>
      <c r="AN167" s="17" t="str">
        <f>IF(SrcDB[[#This Row],[Pocet zmluv dodavatela]]&gt;3,SrcDB[[#This Row],[Dodavatel]],"Ostatné")</f>
        <v>Ostatné</v>
      </c>
    </row>
    <row r="168" spans="1:40" x14ac:dyDescent="0.3">
      <c r="A168" s="2" t="s">
        <v>315</v>
      </c>
      <c r="B168" s="2">
        <v>4812199</v>
      </c>
      <c r="C168" s="3" t="str">
        <f t="shared" si="139"/>
        <v>Nie</v>
      </c>
      <c r="D168" s="3" t="str">
        <f t="shared" si="140"/>
        <v>Áno</v>
      </c>
      <c r="E168" s="3" t="s">
        <v>48</v>
      </c>
      <c r="F168" s="3" t="s">
        <v>49</v>
      </c>
      <c r="G168" s="2" t="str">
        <f t="shared" si="141"/>
        <v>Malé zmluvy</v>
      </c>
      <c r="H168" s="5">
        <v>36631124</v>
      </c>
      <c r="I168" s="2" t="s">
        <v>104</v>
      </c>
      <c r="J168" s="2" t="s">
        <v>105</v>
      </c>
      <c r="K168" s="5">
        <v>36844616</v>
      </c>
      <c r="L168" s="2" t="s">
        <v>316</v>
      </c>
      <c r="M168" s="2" t="s">
        <v>317</v>
      </c>
      <c r="N168" s="6">
        <v>44005.624282407407</v>
      </c>
      <c r="O168" s="4">
        <v>260000</v>
      </c>
      <c r="P168" s="2">
        <v>114573</v>
      </c>
      <c r="Q168" s="2" t="s">
        <v>318</v>
      </c>
      <c r="R168" s="2" t="s">
        <v>324</v>
      </c>
      <c r="S168" s="2" t="s">
        <v>102</v>
      </c>
      <c r="T168" s="2" t="s">
        <v>325</v>
      </c>
      <c r="W168" s="4">
        <v>680</v>
      </c>
      <c r="X168" s="4">
        <v>816</v>
      </c>
      <c r="Y168" s="4">
        <f t="shared" ref="Y168" si="184">INDEX(InternalRates,MATCH($S168,InternalRates01,FALSE),2)</f>
        <v>278.98333333333335</v>
      </c>
      <c r="Z168" s="3" t="str">
        <f t="shared" si="144"/>
        <v>Nie</v>
      </c>
      <c r="AA168" s="3" t="str">
        <f t="shared" si="145"/>
        <v>SLA</v>
      </c>
      <c r="AD168" s="3" t="s">
        <v>48</v>
      </c>
      <c r="AE168" s="6">
        <v>44510</v>
      </c>
      <c r="AF168" s="3" t="s">
        <v>59</v>
      </c>
      <c r="AG168" s="3" t="s">
        <v>48</v>
      </c>
      <c r="AH168" s="3">
        <f>YEAR(SrcDB[[#This Row],[Datum_zverejnenia]])</f>
        <v>2020</v>
      </c>
      <c r="AI168" s="3" cm="1">
        <f t="array" ref="AI168">COUNT(_xlfn.UNIQUE(_xlfn._xlws.FILTER(SrcDB[ID],SrcDB[Objednavatel_ICO]=$H168)))</f>
        <v>17</v>
      </c>
      <c r="AJ168" s="3" cm="1">
        <f t="array" ref="AJ168">COUNT(_xlfn.UNIQUE(_xlfn._xlws.FILTER(SrcDB[ID],SrcDB[Dodavatel_ICO]=$K168)))</f>
        <v>2</v>
      </c>
      <c r="AK168" s="3">
        <f t="shared" si="147"/>
        <v>0</v>
      </c>
      <c r="AL168" s="3">
        <f t="shared" si="148"/>
        <v>0</v>
      </c>
      <c r="AM168" s="17" t="str">
        <f>IF(SrcDB[[#This Row],[Pocet zmluv objednavatela]]&gt;3,SrcDB[[#This Row],[Objednavatel]],"Ostatné")</f>
        <v>Slovenská pošta, a. s.</v>
      </c>
      <c r="AN168" s="17" t="str">
        <f>IF(SrcDB[[#This Row],[Pocet zmluv dodavatela]]&gt;3,SrcDB[[#This Row],[Dodavatel]],"Ostatné")</f>
        <v>Ostatné</v>
      </c>
    </row>
    <row r="169" spans="1:40" x14ac:dyDescent="0.3">
      <c r="A169" s="2" t="s">
        <v>315</v>
      </c>
      <c r="B169" s="2">
        <v>4812199</v>
      </c>
      <c r="C169" s="3" t="str">
        <f t="shared" si="139"/>
        <v>Nie</v>
      </c>
      <c r="D169" s="3" t="str">
        <f t="shared" si="140"/>
        <v>Áno</v>
      </c>
      <c r="E169" s="3" t="s">
        <v>48</v>
      </c>
      <c r="F169" s="3" t="s">
        <v>49</v>
      </c>
      <c r="G169" s="2" t="str">
        <f t="shared" si="141"/>
        <v>Malé zmluvy</v>
      </c>
      <c r="H169" s="5">
        <v>36631124</v>
      </c>
      <c r="I169" s="2" t="s">
        <v>104</v>
      </c>
      <c r="J169" s="2" t="s">
        <v>105</v>
      </c>
      <c r="K169" s="5">
        <v>36844616</v>
      </c>
      <c r="L169" s="2" t="s">
        <v>316</v>
      </c>
      <c r="M169" s="2" t="s">
        <v>317</v>
      </c>
      <c r="N169" s="6">
        <v>44005.624282407407</v>
      </c>
      <c r="O169" s="4">
        <v>260000</v>
      </c>
      <c r="P169" s="2">
        <v>114573</v>
      </c>
      <c r="Q169" s="2" t="s">
        <v>318</v>
      </c>
      <c r="R169" s="2" t="s">
        <v>326</v>
      </c>
      <c r="S169" s="2" t="s">
        <v>73</v>
      </c>
      <c r="T169" s="2" t="s">
        <v>73</v>
      </c>
      <c r="W169" s="4">
        <v>680</v>
      </c>
      <c r="X169" s="4">
        <v>816</v>
      </c>
      <c r="Y169" s="4">
        <f t="shared" ref="Y169" si="185">INDEX(InternalRates,MATCH($S169,InternalRates01,FALSE),2)</f>
        <v>278.98333333333335</v>
      </c>
      <c r="Z169" s="3" t="str">
        <f t="shared" si="144"/>
        <v>Nie</v>
      </c>
      <c r="AA169" s="3" t="str">
        <f t="shared" si="145"/>
        <v>SLA</v>
      </c>
      <c r="AD169" s="3" t="s">
        <v>48</v>
      </c>
      <c r="AE169" s="6">
        <v>44510</v>
      </c>
      <c r="AF169" s="3" t="s">
        <v>59</v>
      </c>
      <c r="AG169" s="3" t="s">
        <v>48</v>
      </c>
      <c r="AH169" s="3">
        <f>YEAR(SrcDB[[#This Row],[Datum_zverejnenia]])</f>
        <v>2020</v>
      </c>
      <c r="AI169" s="3" cm="1">
        <f t="array" ref="AI169">COUNT(_xlfn.UNIQUE(_xlfn._xlws.FILTER(SrcDB[ID],SrcDB[Objednavatel_ICO]=$H169)))</f>
        <v>17</v>
      </c>
      <c r="AJ169" s="3" cm="1">
        <f t="array" ref="AJ169">COUNT(_xlfn.UNIQUE(_xlfn._xlws.FILTER(SrcDB[ID],SrcDB[Dodavatel_ICO]=$K169)))</f>
        <v>2</v>
      </c>
      <c r="AK169" s="3">
        <f t="shared" si="147"/>
        <v>0</v>
      </c>
      <c r="AL169" s="3">
        <f t="shared" si="148"/>
        <v>0</v>
      </c>
      <c r="AM169" s="17" t="str">
        <f>IF(SrcDB[[#This Row],[Pocet zmluv objednavatela]]&gt;3,SrcDB[[#This Row],[Objednavatel]],"Ostatné")</f>
        <v>Slovenská pošta, a. s.</v>
      </c>
      <c r="AN169" s="17" t="str">
        <f>IF(SrcDB[[#This Row],[Pocet zmluv dodavatela]]&gt;3,SrcDB[[#This Row],[Dodavatel]],"Ostatné")</f>
        <v>Ostatné</v>
      </c>
    </row>
    <row r="170" spans="1:40" x14ac:dyDescent="0.3">
      <c r="A170" s="2" t="s">
        <v>315</v>
      </c>
      <c r="B170" s="2">
        <v>4812199</v>
      </c>
      <c r="C170" s="3" t="str">
        <f t="shared" si="139"/>
        <v>Nie</v>
      </c>
      <c r="D170" s="3" t="str">
        <f t="shared" si="140"/>
        <v>Áno</v>
      </c>
      <c r="E170" s="3" t="s">
        <v>48</v>
      </c>
      <c r="F170" s="3" t="s">
        <v>49</v>
      </c>
      <c r="G170" s="2" t="str">
        <f t="shared" si="141"/>
        <v>Malé zmluvy</v>
      </c>
      <c r="H170" s="5">
        <v>36631124</v>
      </c>
      <c r="I170" s="2" t="s">
        <v>104</v>
      </c>
      <c r="J170" s="2" t="s">
        <v>105</v>
      </c>
      <c r="K170" s="5">
        <v>36844616</v>
      </c>
      <c r="L170" s="2" t="s">
        <v>316</v>
      </c>
      <c r="M170" s="2" t="s">
        <v>317</v>
      </c>
      <c r="N170" s="6">
        <v>44005.624282407407</v>
      </c>
      <c r="O170" s="4">
        <v>260000</v>
      </c>
      <c r="P170" s="2">
        <v>114573</v>
      </c>
      <c r="Q170" s="2" t="s">
        <v>318</v>
      </c>
      <c r="R170" s="2" t="s">
        <v>327</v>
      </c>
      <c r="S170" s="2" t="s">
        <v>56</v>
      </c>
      <c r="T170" s="2" t="s">
        <v>328</v>
      </c>
      <c r="U170" s="2" t="s">
        <v>113</v>
      </c>
      <c r="W170" s="4">
        <v>680</v>
      </c>
      <c r="X170" s="4">
        <v>816</v>
      </c>
      <c r="Y170" s="4">
        <f t="shared" ref="Y170" si="186">INDEX(InternalRates,MATCH($S170,InternalRates01,FALSE),2)</f>
        <v>278.98333333333335</v>
      </c>
      <c r="Z170" s="3" t="str">
        <f t="shared" si="144"/>
        <v>Nie</v>
      </c>
      <c r="AA170" s="3" t="str">
        <f t="shared" si="145"/>
        <v>SLA</v>
      </c>
      <c r="AD170" s="3" t="s">
        <v>48</v>
      </c>
      <c r="AE170" s="6">
        <v>44510</v>
      </c>
      <c r="AF170" s="3" t="s">
        <v>59</v>
      </c>
      <c r="AG170" s="3" t="s">
        <v>48</v>
      </c>
      <c r="AH170" s="3">
        <f>YEAR(SrcDB[[#This Row],[Datum_zverejnenia]])</f>
        <v>2020</v>
      </c>
      <c r="AI170" s="3" cm="1">
        <f t="array" ref="AI170">COUNT(_xlfn.UNIQUE(_xlfn._xlws.FILTER(SrcDB[ID],SrcDB[Objednavatel_ICO]=$H170)))</f>
        <v>17</v>
      </c>
      <c r="AJ170" s="3" cm="1">
        <f t="array" ref="AJ170">COUNT(_xlfn.UNIQUE(_xlfn._xlws.FILTER(SrcDB[ID],SrcDB[Dodavatel_ICO]=$K170)))</f>
        <v>2</v>
      </c>
      <c r="AK170" s="3">
        <f t="shared" si="147"/>
        <v>0</v>
      </c>
      <c r="AL170" s="3">
        <f t="shared" si="148"/>
        <v>0</v>
      </c>
      <c r="AM170" s="17" t="str">
        <f>IF(SrcDB[[#This Row],[Pocet zmluv objednavatela]]&gt;3,SrcDB[[#This Row],[Objednavatel]],"Ostatné")</f>
        <v>Slovenská pošta, a. s.</v>
      </c>
      <c r="AN170" s="17" t="str">
        <f>IF(SrcDB[[#This Row],[Pocet zmluv dodavatela]]&gt;3,SrcDB[[#This Row],[Dodavatel]],"Ostatné")</f>
        <v>Ostatné</v>
      </c>
    </row>
    <row r="171" spans="1:40" x14ac:dyDescent="0.3">
      <c r="A171" s="2" t="s">
        <v>315</v>
      </c>
      <c r="B171" s="2">
        <v>4812199</v>
      </c>
      <c r="C171" s="3" t="str">
        <f t="shared" si="139"/>
        <v>Nie</v>
      </c>
      <c r="D171" s="3" t="str">
        <f t="shared" si="140"/>
        <v>Áno</v>
      </c>
      <c r="E171" s="3" t="s">
        <v>48</v>
      </c>
      <c r="F171" s="3" t="s">
        <v>49</v>
      </c>
      <c r="G171" s="2" t="str">
        <f t="shared" si="141"/>
        <v>Malé zmluvy</v>
      </c>
      <c r="H171" s="5">
        <v>36631124</v>
      </c>
      <c r="I171" s="2" t="s">
        <v>104</v>
      </c>
      <c r="J171" s="2" t="s">
        <v>105</v>
      </c>
      <c r="K171" s="5">
        <v>36844616</v>
      </c>
      <c r="L171" s="2" t="s">
        <v>316</v>
      </c>
      <c r="M171" s="2" t="s">
        <v>317</v>
      </c>
      <c r="N171" s="6">
        <v>44005.624282407407</v>
      </c>
      <c r="O171" s="4">
        <v>260000</v>
      </c>
      <c r="P171" s="2">
        <v>114573</v>
      </c>
      <c r="Q171" s="2" t="s">
        <v>318</v>
      </c>
      <c r="R171" s="2" t="s">
        <v>329</v>
      </c>
      <c r="S171" s="2" t="s">
        <v>77</v>
      </c>
      <c r="T171" s="2" t="s">
        <v>77</v>
      </c>
      <c r="W171" s="4">
        <v>640</v>
      </c>
      <c r="X171" s="4">
        <v>768</v>
      </c>
      <c r="Y171" s="4">
        <f t="shared" ref="Y171" si="187">INDEX(InternalRates,MATCH($S171,InternalRates01,FALSE),2)</f>
        <v>278.98333333333335</v>
      </c>
      <c r="Z171" s="3" t="str">
        <f t="shared" si="144"/>
        <v>Nie</v>
      </c>
      <c r="AA171" s="3" t="str">
        <f t="shared" si="145"/>
        <v>SLA</v>
      </c>
      <c r="AD171" s="3" t="s">
        <v>48</v>
      </c>
      <c r="AE171" s="6">
        <v>44510</v>
      </c>
      <c r="AF171" s="3" t="s">
        <v>59</v>
      </c>
      <c r="AG171" s="3" t="s">
        <v>48</v>
      </c>
      <c r="AH171" s="3">
        <f>YEAR(SrcDB[[#This Row],[Datum_zverejnenia]])</f>
        <v>2020</v>
      </c>
      <c r="AI171" s="3" cm="1">
        <f t="array" ref="AI171">COUNT(_xlfn.UNIQUE(_xlfn._xlws.FILTER(SrcDB[ID],SrcDB[Objednavatel_ICO]=$H171)))</f>
        <v>17</v>
      </c>
      <c r="AJ171" s="3" cm="1">
        <f t="array" ref="AJ171">COUNT(_xlfn.UNIQUE(_xlfn._xlws.FILTER(SrcDB[ID],SrcDB[Dodavatel_ICO]=$K171)))</f>
        <v>2</v>
      </c>
      <c r="AK171" s="3">
        <f t="shared" si="147"/>
        <v>0</v>
      </c>
      <c r="AL171" s="3">
        <f t="shared" si="148"/>
        <v>0</v>
      </c>
      <c r="AM171" s="17" t="str">
        <f>IF(SrcDB[[#This Row],[Pocet zmluv objednavatela]]&gt;3,SrcDB[[#This Row],[Objednavatel]],"Ostatné")</f>
        <v>Slovenská pošta, a. s.</v>
      </c>
      <c r="AN171" s="17" t="str">
        <f>IF(SrcDB[[#This Row],[Pocet zmluv dodavatela]]&gt;3,SrcDB[[#This Row],[Dodavatel]],"Ostatné")</f>
        <v>Ostatné</v>
      </c>
    </row>
    <row r="172" spans="1:40" x14ac:dyDescent="0.3">
      <c r="A172" s="2" t="s">
        <v>315</v>
      </c>
      <c r="B172" s="2">
        <v>4812199</v>
      </c>
      <c r="C172" s="3" t="str">
        <f t="shared" si="139"/>
        <v>Nie</v>
      </c>
      <c r="D172" s="3" t="str">
        <f t="shared" si="140"/>
        <v>Áno</v>
      </c>
      <c r="E172" s="3" t="s">
        <v>48</v>
      </c>
      <c r="F172" s="3" t="s">
        <v>49</v>
      </c>
      <c r="G172" s="2" t="str">
        <f t="shared" si="141"/>
        <v>Malé zmluvy</v>
      </c>
      <c r="H172" s="5">
        <v>36631124</v>
      </c>
      <c r="I172" s="2" t="s">
        <v>104</v>
      </c>
      <c r="J172" s="2" t="s">
        <v>105</v>
      </c>
      <c r="K172" s="5">
        <v>36844616</v>
      </c>
      <c r="L172" s="2" t="s">
        <v>316</v>
      </c>
      <c r="M172" s="2" t="s">
        <v>317</v>
      </c>
      <c r="N172" s="6">
        <v>44005.624282407407</v>
      </c>
      <c r="O172" s="4">
        <v>260000</v>
      </c>
      <c r="P172" s="2">
        <v>114573</v>
      </c>
      <c r="Q172" s="2" t="s">
        <v>318</v>
      </c>
      <c r="R172" s="2" t="s">
        <v>330</v>
      </c>
      <c r="S172" s="2" t="s">
        <v>98</v>
      </c>
      <c r="T172" s="2" t="s">
        <v>98</v>
      </c>
      <c r="W172" s="4">
        <v>480</v>
      </c>
      <c r="X172" s="4">
        <v>576</v>
      </c>
      <c r="Y172" s="4">
        <f t="shared" ref="Y172" si="188">INDEX(InternalRates,MATCH($S172,InternalRates01,FALSE),2)</f>
        <v>278.98333333333335</v>
      </c>
      <c r="Z172" s="3" t="str">
        <f t="shared" si="144"/>
        <v>Nie</v>
      </c>
      <c r="AA172" s="3" t="str">
        <f t="shared" si="145"/>
        <v>SLA</v>
      </c>
      <c r="AD172" s="3" t="s">
        <v>48</v>
      </c>
      <c r="AE172" s="6">
        <v>44510</v>
      </c>
      <c r="AF172" s="3" t="s">
        <v>59</v>
      </c>
      <c r="AG172" s="3" t="s">
        <v>48</v>
      </c>
      <c r="AH172" s="3">
        <f>YEAR(SrcDB[[#This Row],[Datum_zverejnenia]])</f>
        <v>2020</v>
      </c>
      <c r="AI172" s="3" cm="1">
        <f t="array" ref="AI172">COUNT(_xlfn.UNIQUE(_xlfn._xlws.FILTER(SrcDB[ID],SrcDB[Objednavatel_ICO]=$H172)))</f>
        <v>17</v>
      </c>
      <c r="AJ172" s="3" cm="1">
        <f t="array" ref="AJ172">COUNT(_xlfn.UNIQUE(_xlfn._xlws.FILTER(SrcDB[ID],SrcDB[Dodavatel_ICO]=$K172)))</f>
        <v>2</v>
      </c>
      <c r="AK172" s="3">
        <f t="shared" si="147"/>
        <v>0</v>
      </c>
      <c r="AL172" s="3">
        <f t="shared" si="148"/>
        <v>0</v>
      </c>
      <c r="AM172" s="17" t="str">
        <f>IF(SrcDB[[#This Row],[Pocet zmluv objednavatela]]&gt;3,SrcDB[[#This Row],[Objednavatel]],"Ostatné")</f>
        <v>Slovenská pošta, a. s.</v>
      </c>
      <c r="AN172" s="17" t="str">
        <f>IF(SrcDB[[#This Row],[Pocet zmluv dodavatela]]&gt;3,SrcDB[[#This Row],[Dodavatel]],"Ostatné")</f>
        <v>Ostatné</v>
      </c>
    </row>
    <row r="173" spans="1:40" x14ac:dyDescent="0.3">
      <c r="A173" s="2" t="s">
        <v>315</v>
      </c>
      <c r="B173" s="2">
        <v>4812199</v>
      </c>
      <c r="C173" s="3" t="str">
        <f t="shared" si="139"/>
        <v>Nie</v>
      </c>
      <c r="D173" s="3" t="str">
        <f t="shared" si="140"/>
        <v>Áno</v>
      </c>
      <c r="E173" s="3" t="s">
        <v>48</v>
      </c>
      <c r="F173" s="3" t="s">
        <v>49</v>
      </c>
      <c r="G173" s="2" t="str">
        <f t="shared" si="141"/>
        <v>Malé zmluvy</v>
      </c>
      <c r="H173" s="5">
        <v>36631124</v>
      </c>
      <c r="I173" s="2" t="s">
        <v>104</v>
      </c>
      <c r="J173" s="2" t="s">
        <v>105</v>
      </c>
      <c r="K173" s="5">
        <v>36844616</v>
      </c>
      <c r="L173" s="2" t="s">
        <v>316</v>
      </c>
      <c r="M173" s="2" t="s">
        <v>317</v>
      </c>
      <c r="N173" s="6">
        <v>44005.624282407407</v>
      </c>
      <c r="O173" s="4">
        <v>260000</v>
      </c>
      <c r="P173" s="2">
        <v>114573</v>
      </c>
      <c r="Q173" s="2" t="s">
        <v>318</v>
      </c>
      <c r="R173" s="2" t="s">
        <v>331</v>
      </c>
      <c r="S173" s="2" t="s">
        <v>79</v>
      </c>
      <c r="T173" s="2" t="s">
        <v>79</v>
      </c>
      <c r="W173" s="4">
        <v>480</v>
      </c>
      <c r="X173" s="4">
        <v>576</v>
      </c>
      <c r="Y173" s="4">
        <f t="shared" ref="Y173" si="189">INDEX(InternalRates,MATCH($S173,InternalRates01,FALSE),2)</f>
        <v>278.98333333333335</v>
      </c>
      <c r="Z173" s="3" t="str">
        <f t="shared" si="144"/>
        <v>Nie</v>
      </c>
      <c r="AA173" s="3" t="str">
        <f t="shared" si="145"/>
        <v>SLA</v>
      </c>
      <c r="AD173" s="3" t="s">
        <v>48</v>
      </c>
      <c r="AE173" s="6">
        <v>44510</v>
      </c>
      <c r="AF173" s="3" t="s">
        <v>59</v>
      </c>
      <c r="AG173" s="3" t="s">
        <v>48</v>
      </c>
      <c r="AH173" s="3">
        <f>YEAR(SrcDB[[#This Row],[Datum_zverejnenia]])</f>
        <v>2020</v>
      </c>
      <c r="AI173" s="3" cm="1">
        <f t="array" ref="AI173">COUNT(_xlfn.UNIQUE(_xlfn._xlws.FILTER(SrcDB[ID],SrcDB[Objednavatel_ICO]=$H173)))</f>
        <v>17</v>
      </c>
      <c r="AJ173" s="3" cm="1">
        <f t="array" ref="AJ173">COUNT(_xlfn.UNIQUE(_xlfn._xlws.FILTER(SrcDB[ID],SrcDB[Dodavatel_ICO]=$K173)))</f>
        <v>2</v>
      </c>
      <c r="AK173" s="3">
        <f t="shared" si="147"/>
        <v>0</v>
      </c>
      <c r="AL173" s="3">
        <f t="shared" si="148"/>
        <v>0</v>
      </c>
      <c r="AM173" s="17" t="str">
        <f>IF(SrcDB[[#This Row],[Pocet zmluv objednavatela]]&gt;3,SrcDB[[#This Row],[Objednavatel]],"Ostatné")</f>
        <v>Slovenská pošta, a. s.</v>
      </c>
      <c r="AN173" s="17" t="str">
        <f>IF(SrcDB[[#This Row],[Pocet zmluv dodavatela]]&gt;3,SrcDB[[#This Row],[Dodavatel]],"Ostatné")</f>
        <v>Ostatné</v>
      </c>
    </row>
    <row r="174" spans="1:40" x14ac:dyDescent="0.3">
      <c r="A174" s="2" t="s">
        <v>315</v>
      </c>
      <c r="B174" s="2">
        <v>4812199</v>
      </c>
      <c r="C174" s="3" t="str">
        <f t="shared" si="139"/>
        <v>Nie</v>
      </c>
      <c r="D174" s="3" t="str">
        <f t="shared" si="140"/>
        <v>Áno</v>
      </c>
      <c r="E174" s="3" t="s">
        <v>48</v>
      </c>
      <c r="F174" s="3" t="s">
        <v>49</v>
      </c>
      <c r="G174" s="2" t="str">
        <f t="shared" si="141"/>
        <v>Malé zmluvy</v>
      </c>
      <c r="H174" s="5">
        <v>36631124</v>
      </c>
      <c r="I174" s="2" t="s">
        <v>104</v>
      </c>
      <c r="J174" s="2" t="s">
        <v>105</v>
      </c>
      <c r="K174" s="5">
        <v>36844616</v>
      </c>
      <c r="L174" s="2" t="s">
        <v>316</v>
      </c>
      <c r="M174" s="2" t="s">
        <v>317</v>
      </c>
      <c r="N174" s="6">
        <v>44005.624282407407</v>
      </c>
      <c r="O174" s="4">
        <v>260000</v>
      </c>
      <c r="P174" s="2">
        <v>114573</v>
      </c>
      <c r="Q174" s="2" t="s">
        <v>318</v>
      </c>
      <c r="R174" s="2" t="s">
        <v>332</v>
      </c>
      <c r="S174" s="2" t="s">
        <v>102</v>
      </c>
      <c r="T174" s="2" t="s">
        <v>333</v>
      </c>
      <c r="W174" s="4">
        <v>320</v>
      </c>
      <c r="X174" s="4">
        <v>384</v>
      </c>
      <c r="Y174" s="4">
        <f t="shared" ref="Y174" si="190">INDEX(InternalRates,MATCH($S174,InternalRates01,FALSE),2)</f>
        <v>278.98333333333335</v>
      </c>
      <c r="Z174" s="3" t="str">
        <f t="shared" si="144"/>
        <v>Nie</v>
      </c>
      <c r="AA174" s="3" t="str">
        <f t="shared" si="145"/>
        <v>SLA</v>
      </c>
      <c r="AD174" s="3" t="s">
        <v>48</v>
      </c>
      <c r="AE174" s="6">
        <v>44510</v>
      </c>
      <c r="AF174" s="3" t="s">
        <v>59</v>
      </c>
      <c r="AG174" s="3" t="s">
        <v>48</v>
      </c>
      <c r="AH174" s="3">
        <f>YEAR(SrcDB[[#This Row],[Datum_zverejnenia]])</f>
        <v>2020</v>
      </c>
      <c r="AI174" s="3" cm="1">
        <f t="array" ref="AI174">COUNT(_xlfn.UNIQUE(_xlfn._xlws.FILTER(SrcDB[ID],SrcDB[Objednavatel_ICO]=$H174)))</f>
        <v>17</v>
      </c>
      <c r="AJ174" s="3" cm="1">
        <f t="array" ref="AJ174">COUNT(_xlfn.UNIQUE(_xlfn._xlws.FILTER(SrcDB[ID],SrcDB[Dodavatel_ICO]=$K174)))</f>
        <v>2</v>
      </c>
      <c r="AK174" s="3">
        <f t="shared" si="147"/>
        <v>0</v>
      </c>
      <c r="AL174" s="3">
        <f t="shared" si="148"/>
        <v>0</v>
      </c>
      <c r="AM174" s="17" t="str">
        <f>IF(SrcDB[[#This Row],[Pocet zmluv objednavatela]]&gt;3,SrcDB[[#This Row],[Objednavatel]],"Ostatné")</f>
        <v>Slovenská pošta, a. s.</v>
      </c>
      <c r="AN174" s="17" t="str">
        <f>IF(SrcDB[[#This Row],[Pocet zmluv dodavatela]]&gt;3,SrcDB[[#This Row],[Dodavatel]],"Ostatné")</f>
        <v>Ostatné</v>
      </c>
    </row>
    <row r="175" spans="1:40" x14ac:dyDescent="0.3">
      <c r="A175" s="2" t="s">
        <v>334</v>
      </c>
      <c r="B175" s="2">
        <v>4838473</v>
      </c>
      <c r="C175" s="3" t="str">
        <f t="shared" si="139"/>
        <v>Áno</v>
      </c>
      <c r="D175" s="3" t="str">
        <f t="shared" si="140"/>
        <v>Nie</v>
      </c>
      <c r="E175" s="3" t="s">
        <v>49</v>
      </c>
      <c r="F175" s="3" t="s">
        <v>48</v>
      </c>
      <c r="G175" s="2" t="str">
        <f t="shared" si="141"/>
        <v>Veľké zmluvy</v>
      </c>
      <c r="H175" s="5" t="s">
        <v>335</v>
      </c>
      <c r="I175" s="2" t="s">
        <v>336</v>
      </c>
      <c r="J175" s="2" t="s">
        <v>337</v>
      </c>
      <c r="K175" s="5">
        <v>35728531</v>
      </c>
      <c r="L175" s="2" t="s">
        <v>310</v>
      </c>
      <c r="M175" s="2" t="s">
        <v>311</v>
      </c>
      <c r="N175" s="6">
        <v>44018.497824074075</v>
      </c>
      <c r="O175" s="4">
        <v>8229888</v>
      </c>
      <c r="P175" s="2">
        <v>114497</v>
      </c>
      <c r="Q175" s="2" t="s">
        <v>338</v>
      </c>
      <c r="R175" s="2" t="s">
        <v>339</v>
      </c>
      <c r="S175" s="2" t="s">
        <v>183</v>
      </c>
      <c r="T175" s="2" t="s">
        <v>340</v>
      </c>
      <c r="W175" s="4">
        <v>440</v>
      </c>
      <c r="X175" s="4">
        <v>528</v>
      </c>
      <c r="Y175" s="4">
        <f t="shared" ref="Y175" si="191">INDEX(InternalRates,MATCH($S175,InternalRates01,FALSE),2)</f>
        <v>278.98333333333335</v>
      </c>
      <c r="Z175" s="3" t="str">
        <f t="shared" si="144"/>
        <v>Nie</v>
      </c>
      <c r="AA175" s="3" t="str">
        <f t="shared" si="145"/>
        <v>ZoD</v>
      </c>
      <c r="AB175" s="4">
        <v>875</v>
      </c>
      <c r="AD175" s="3" t="s">
        <v>49</v>
      </c>
      <c r="AE175" s="6">
        <v>44417</v>
      </c>
      <c r="AF175" s="3" t="s">
        <v>59</v>
      </c>
      <c r="AG175" s="3" t="s">
        <v>49</v>
      </c>
      <c r="AH175" s="3">
        <f>YEAR(SrcDB[[#This Row],[Datum_zverejnenia]])</f>
        <v>2020</v>
      </c>
      <c r="AI175" s="3" cm="1">
        <f t="array" ref="AI175">COUNT(_xlfn.UNIQUE(_xlfn._xlws.FILTER(SrcDB[ID],SrcDB[Objednavatel_ICO]=$H175)))</f>
        <v>2</v>
      </c>
      <c r="AJ175" s="3" cm="1">
        <f t="array" ref="AJ175">COUNT(_xlfn.UNIQUE(_xlfn._xlws.FILTER(SrcDB[ID],SrcDB[Dodavatel_ICO]=$K175)))</f>
        <v>8</v>
      </c>
      <c r="AK175" s="3">
        <f t="shared" si="147"/>
        <v>1</v>
      </c>
      <c r="AL175" s="3">
        <f t="shared" si="148"/>
        <v>1</v>
      </c>
      <c r="AM175" s="17" t="str">
        <f>IF(SrcDB[[#This Row],[Pocet zmluv objednavatela]]&gt;3,SrcDB[[#This Row],[Objednavatel]],"Ostatné")</f>
        <v>Ostatné</v>
      </c>
      <c r="AN175" s="17" t="str">
        <f>IF(SrcDB[[#This Row],[Pocet zmluv dodavatela]]&gt;3,SrcDB[[#This Row],[Dodavatel]],"Ostatné")</f>
        <v>InterWay, a.s.</v>
      </c>
    </row>
    <row r="176" spans="1:40" x14ac:dyDescent="0.3">
      <c r="A176" s="2" t="s">
        <v>341</v>
      </c>
      <c r="B176" s="2">
        <v>4846221</v>
      </c>
      <c r="C176" s="3" t="str">
        <f t="shared" si="139"/>
        <v>Nejasné</v>
      </c>
      <c r="D176" s="3" t="str">
        <f t="shared" si="140"/>
        <v>Nejasné</v>
      </c>
      <c r="E176" s="3" t="s">
        <v>49</v>
      </c>
      <c r="F176" s="3" t="s">
        <v>49</v>
      </c>
      <c r="G176" s="2" t="str">
        <f t="shared" si="141"/>
        <v>Veľké zmluvy</v>
      </c>
      <c r="H176" s="5" t="s">
        <v>342</v>
      </c>
      <c r="I176" s="2" t="s">
        <v>343</v>
      </c>
      <c r="J176" s="2" t="s">
        <v>344</v>
      </c>
      <c r="K176" s="5">
        <v>17081386</v>
      </c>
      <c r="L176" s="2" t="s">
        <v>345</v>
      </c>
      <c r="M176" s="2" t="s">
        <v>346</v>
      </c>
      <c r="N176" s="6">
        <v>44020.644108796296</v>
      </c>
      <c r="O176" s="4">
        <v>48832221.600000001</v>
      </c>
      <c r="P176" s="2">
        <v>114723</v>
      </c>
      <c r="Q176" s="2" t="s">
        <v>347</v>
      </c>
      <c r="R176" s="2" t="s">
        <v>348</v>
      </c>
      <c r="S176" s="2" t="s">
        <v>56</v>
      </c>
      <c r="T176" s="2" t="s">
        <v>349</v>
      </c>
      <c r="U176" s="2" t="s">
        <v>350</v>
      </c>
      <c r="W176" s="4">
        <v>1230</v>
      </c>
      <c r="X176" s="4">
        <v>1476</v>
      </c>
      <c r="Y176" s="4">
        <f t="shared" ref="Y176" si="192">INDEX(InternalRates,MATCH($S176,InternalRates01,FALSE),2)</f>
        <v>278.98333333333335</v>
      </c>
      <c r="Z176" s="3" t="str">
        <f t="shared" si="144"/>
        <v>Nie</v>
      </c>
      <c r="AA176" s="3" t="str">
        <f t="shared" si="145"/>
        <v>SLA+ZoD</v>
      </c>
      <c r="AB176" s="4">
        <v>520</v>
      </c>
      <c r="AD176" s="3" t="s">
        <v>48</v>
      </c>
      <c r="AE176" s="6">
        <v>44413</v>
      </c>
      <c r="AF176" s="3" t="s">
        <v>59</v>
      </c>
      <c r="AG176" s="3" t="s">
        <v>48</v>
      </c>
      <c r="AH176" s="3">
        <f>YEAR(SrcDB[[#This Row],[Datum_zverejnenia]])</f>
        <v>2020</v>
      </c>
      <c r="AI176" s="3" cm="1">
        <f t="array" ref="AI176">COUNT(_xlfn.UNIQUE(_xlfn._xlws.FILTER(SrcDB[ID],SrcDB[Objednavatel_ICO]=$H176)))</f>
        <v>15</v>
      </c>
      <c r="AJ176" s="3" cm="1">
        <f t="array" ref="AJ176">COUNT(_xlfn.UNIQUE(_xlfn._xlws.FILTER(SrcDB[ID],SrcDB[Dodavatel_ICO]=$K176)))</f>
        <v>2</v>
      </c>
      <c r="AK176" s="3">
        <f t="shared" si="147"/>
        <v>1</v>
      </c>
      <c r="AL176" s="3">
        <f t="shared" si="148"/>
        <v>1</v>
      </c>
      <c r="AM176" s="17" t="str">
        <f>IF(SrcDB[[#This Row],[Pocet zmluv objednavatela]]&gt;3,SrcDB[[#This Row],[Objednavatel]],"Ostatné")</f>
        <v>Ministerstvo vnútra SR</v>
      </c>
      <c r="AN176" s="17" t="str">
        <f>IF(SrcDB[[#This Row],[Pocet zmluv dodavatela]]&gt;3,SrcDB[[#This Row],[Dodavatel]],"Ostatné")</f>
        <v>Ostatné</v>
      </c>
    </row>
    <row r="177" spans="1:40" x14ac:dyDescent="0.3">
      <c r="A177" s="2" t="s">
        <v>351</v>
      </c>
      <c r="B177" s="2">
        <v>4846305</v>
      </c>
      <c r="C177" s="3" t="str">
        <f t="shared" si="139"/>
        <v>Nejasné</v>
      </c>
      <c r="D177" s="3" t="str">
        <f t="shared" si="140"/>
        <v>Nejasné</v>
      </c>
      <c r="E177" s="3" t="s">
        <v>49</v>
      </c>
      <c r="F177" s="3" t="s">
        <v>49</v>
      </c>
      <c r="G177" s="2" t="str">
        <f t="shared" si="141"/>
        <v>Veľké zmluvy</v>
      </c>
      <c r="H177" s="5" t="s">
        <v>342</v>
      </c>
      <c r="I177" s="2" t="s">
        <v>343</v>
      </c>
      <c r="J177" s="2" t="s">
        <v>344</v>
      </c>
      <c r="K177" s="5">
        <v>31326650</v>
      </c>
      <c r="L177" s="2" t="s">
        <v>156</v>
      </c>
      <c r="M177" s="2" t="s">
        <v>352</v>
      </c>
      <c r="N177" s="6">
        <v>44020.662314814814</v>
      </c>
      <c r="O177" s="4">
        <v>51626462.399999999</v>
      </c>
      <c r="P177" s="2">
        <v>114723</v>
      </c>
      <c r="Q177" s="2" t="s">
        <v>353</v>
      </c>
      <c r="R177" s="2" t="s">
        <v>354</v>
      </c>
      <c r="S177" s="2" t="s">
        <v>56</v>
      </c>
      <c r="T177" s="2" t="s">
        <v>349</v>
      </c>
      <c r="U177" s="2" t="s">
        <v>350</v>
      </c>
      <c r="W177" s="4">
        <v>1290</v>
      </c>
      <c r="X177" s="4">
        <v>1548</v>
      </c>
      <c r="Y177" s="4">
        <f t="shared" ref="Y177" si="193">INDEX(InternalRates,MATCH($S177,InternalRates01,FALSE),2)</f>
        <v>278.98333333333335</v>
      </c>
      <c r="Z177" s="3" t="str">
        <f t="shared" si="144"/>
        <v>Nie</v>
      </c>
      <c r="AA177" s="3" t="str">
        <f t="shared" si="145"/>
        <v>SLA+ZoD</v>
      </c>
      <c r="AB177" s="4">
        <v>520</v>
      </c>
      <c r="AD177" s="3" t="s">
        <v>48</v>
      </c>
      <c r="AE177" s="6">
        <v>44413</v>
      </c>
      <c r="AF177" s="3" t="s">
        <v>59</v>
      </c>
      <c r="AG177" s="3" t="s">
        <v>48</v>
      </c>
      <c r="AH177" s="3">
        <f>YEAR(SrcDB[[#This Row],[Datum_zverejnenia]])</f>
        <v>2020</v>
      </c>
      <c r="AI177" s="3" cm="1">
        <f t="array" ref="AI177">COUNT(_xlfn.UNIQUE(_xlfn._xlws.FILTER(SrcDB[ID],SrcDB[Objednavatel_ICO]=$H177)))</f>
        <v>15</v>
      </c>
      <c r="AJ177" s="3" cm="1">
        <f t="array" ref="AJ177">COUNT(_xlfn.UNIQUE(_xlfn._xlws.FILTER(SrcDB[ID],SrcDB[Dodavatel_ICO]=$K177)))</f>
        <v>8</v>
      </c>
      <c r="AK177" s="3">
        <f t="shared" si="147"/>
        <v>1</v>
      </c>
      <c r="AL177" s="3">
        <f t="shared" si="148"/>
        <v>1</v>
      </c>
      <c r="AM177" s="17" t="str">
        <f>IF(SrcDB[[#This Row],[Pocet zmluv objednavatela]]&gt;3,SrcDB[[#This Row],[Objednavatel]],"Ostatné")</f>
        <v>Ministerstvo vnútra SR</v>
      </c>
      <c r="AN177" s="17" t="str">
        <f>IF(SrcDB[[#This Row],[Pocet zmluv dodavatela]]&gt;3,SrcDB[[#This Row],[Dodavatel]],"Ostatné")</f>
        <v>TEMPEST a.s.</v>
      </c>
    </row>
    <row r="178" spans="1:40" x14ac:dyDescent="0.3">
      <c r="A178" s="2" t="s">
        <v>355</v>
      </c>
      <c r="B178" s="2">
        <v>4860299</v>
      </c>
      <c r="C178" s="3" t="str">
        <f t="shared" si="139"/>
        <v>Nejasné</v>
      </c>
      <c r="D178" s="3" t="str">
        <f t="shared" si="140"/>
        <v>Nejasné</v>
      </c>
      <c r="E178" s="3" t="s">
        <v>49</v>
      </c>
      <c r="F178" s="3" t="s">
        <v>49</v>
      </c>
      <c r="G178" s="2" t="str">
        <f t="shared" si="141"/>
        <v>Veľké zmluvy</v>
      </c>
      <c r="H178" s="5" t="s">
        <v>342</v>
      </c>
      <c r="I178" s="2" t="s">
        <v>343</v>
      </c>
      <c r="J178" s="2" t="s">
        <v>344</v>
      </c>
      <c r="K178" s="5">
        <v>35743468</v>
      </c>
      <c r="L178" s="2" t="s">
        <v>356</v>
      </c>
      <c r="M178" s="2" t="s">
        <v>357</v>
      </c>
      <c r="N178" s="6">
        <v>44025.603854166664</v>
      </c>
      <c r="O178" s="4">
        <v>44798723.770000003</v>
      </c>
      <c r="P178" s="2">
        <v>114723</v>
      </c>
      <c r="Q178" s="2" t="s">
        <v>358</v>
      </c>
      <c r="R178" s="2" t="s">
        <v>359</v>
      </c>
      <c r="S178" s="2" t="s">
        <v>56</v>
      </c>
      <c r="T178" s="2" t="s">
        <v>349</v>
      </c>
      <c r="U178" s="2" t="s">
        <v>350</v>
      </c>
      <c r="W178" s="4">
        <v>1154</v>
      </c>
      <c r="X178" s="4">
        <v>1384.8</v>
      </c>
      <c r="Y178" s="4">
        <f t="shared" ref="Y178" si="194">INDEX(InternalRates,MATCH($S178,InternalRates01,FALSE),2)</f>
        <v>278.98333333333335</v>
      </c>
      <c r="Z178" s="3" t="str">
        <f t="shared" si="144"/>
        <v>Nie</v>
      </c>
      <c r="AA178" s="3" t="str">
        <f t="shared" si="145"/>
        <v>SLA+ZoD</v>
      </c>
      <c r="AB178" s="4">
        <v>950</v>
      </c>
      <c r="AD178" s="3" t="s">
        <v>48</v>
      </c>
      <c r="AE178" s="6">
        <v>44413</v>
      </c>
      <c r="AF178" s="3" t="s">
        <v>59</v>
      </c>
      <c r="AG178" s="3" t="s">
        <v>49</v>
      </c>
      <c r="AH178" s="3">
        <f>YEAR(SrcDB[[#This Row],[Datum_zverejnenia]])</f>
        <v>2020</v>
      </c>
      <c r="AI178" s="3" cm="1">
        <f t="array" ref="AI178">COUNT(_xlfn.UNIQUE(_xlfn._xlws.FILTER(SrcDB[ID],SrcDB[Objednavatel_ICO]=$H178)))</f>
        <v>15</v>
      </c>
      <c r="AJ178" s="3" cm="1">
        <f t="array" ref="AJ178">COUNT(_xlfn.UNIQUE(_xlfn._xlws.FILTER(SrcDB[ID],SrcDB[Dodavatel_ICO]=$K178)))</f>
        <v>6</v>
      </c>
      <c r="AK178" s="3">
        <f t="shared" si="147"/>
        <v>1</v>
      </c>
      <c r="AL178" s="3">
        <f t="shared" si="148"/>
        <v>1</v>
      </c>
      <c r="AM178" s="17" t="str">
        <f>IF(SrcDB[[#This Row],[Pocet zmluv objednavatela]]&gt;3,SrcDB[[#This Row],[Objednavatel]],"Ostatné")</f>
        <v>Ministerstvo vnútra SR</v>
      </c>
      <c r="AN178" s="17" t="str">
        <f>IF(SrcDB[[#This Row],[Pocet zmluv dodavatela]]&gt;3,SrcDB[[#This Row],[Dodavatel]],"Ostatné")</f>
        <v>Gratex International, a.s.</v>
      </c>
    </row>
    <row r="179" spans="1:40" x14ac:dyDescent="0.3">
      <c r="A179" s="2" t="s">
        <v>360</v>
      </c>
      <c r="B179" s="2">
        <v>4860428</v>
      </c>
      <c r="C179" s="3" t="str">
        <f t="shared" si="139"/>
        <v>Nejasné</v>
      </c>
      <c r="D179" s="3" t="str">
        <f t="shared" si="140"/>
        <v>Nejasné</v>
      </c>
      <c r="E179" s="3" t="s">
        <v>49</v>
      </c>
      <c r="F179" s="3" t="s">
        <v>49</v>
      </c>
      <c r="G179" s="2" t="str">
        <f t="shared" si="141"/>
        <v>Veľké zmluvy</v>
      </c>
      <c r="H179" s="5" t="s">
        <v>342</v>
      </c>
      <c r="I179" s="2" t="s">
        <v>343</v>
      </c>
      <c r="J179" s="2" t="s">
        <v>344</v>
      </c>
      <c r="K179" s="5">
        <v>31410952</v>
      </c>
      <c r="L179" s="2" t="s">
        <v>361</v>
      </c>
      <c r="M179" s="2" t="s">
        <v>362</v>
      </c>
      <c r="N179" s="6">
        <v>44025.618645833332</v>
      </c>
      <c r="O179" s="4">
        <v>44798723.770000003</v>
      </c>
      <c r="P179" s="2">
        <v>114723</v>
      </c>
      <c r="Q179" s="2" t="s">
        <v>363</v>
      </c>
      <c r="R179" s="2" t="s">
        <v>364</v>
      </c>
      <c r="S179" s="2" t="s">
        <v>56</v>
      </c>
      <c r="T179" s="2" t="s">
        <v>349</v>
      </c>
      <c r="U179" s="2" t="s">
        <v>350</v>
      </c>
      <c r="W179" s="4">
        <v>1200</v>
      </c>
      <c r="X179" s="4">
        <v>1440</v>
      </c>
      <c r="Y179" s="4">
        <f t="shared" ref="Y179" si="195">INDEX(InternalRates,MATCH($S179,InternalRates01,FALSE),2)</f>
        <v>278.98333333333335</v>
      </c>
      <c r="Z179" s="3" t="str">
        <f t="shared" si="144"/>
        <v>Nie</v>
      </c>
      <c r="AA179" s="3" t="str">
        <f t="shared" si="145"/>
        <v>SLA+ZoD</v>
      </c>
      <c r="AB179" s="4">
        <v>950</v>
      </c>
      <c r="AD179" s="3" t="s">
        <v>48</v>
      </c>
      <c r="AE179" s="6">
        <v>44413</v>
      </c>
      <c r="AF179" s="3" t="s">
        <v>59</v>
      </c>
      <c r="AG179" s="3" t="s">
        <v>49</v>
      </c>
      <c r="AH179" s="3">
        <f>YEAR(SrcDB[[#This Row],[Datum_zverejnenia]])</f>
        <v>2020</v>
      </c>
      <c r="AI179" s="3" cm="1">
        <f t="array" ref="AI179">COUNT(_xlfn.UNIQUE(_xlfn._xlws.FILTER(SrcDB[ID],SrcDB[Objednavatel_ICO]=$H179)))</f>
        <v>15</v>
      </c>
      <c r="AJ179" s="3" cm="1">
        <f t="array" ref="AJ179">COUNT(_xlfn.UNIQUE(_xlfn._xlws.FILTER(SrcDB[ID],SrcDB[Dodavatel_ICO]=$K179)))</f>
        <v>5</v>
      </c>
      <c r="AK179" s="3">
        <f t="shared" si="147"/>
        <v>1</v>
      </c>
      <c r="AL179" s="3">
        <f t="shared" si="148"/>
        <v>1</v>
      </c>
      <c r="AM179" s="17" t="str">
        <f>IF(SrcDB[[#This Row],[Pocet zmluv objednavatela]]&gt;3,SrcDB[[#This Row],[Objednavatel]],"Ostatné")</f>
        <v>Ministerstvo vnútra SR</v>
      </c>
      <c r="AN179" s="17" t="str">
        <f>IF(SrcDB[[#This Row],[Pocet zmluv dodavatela]]&gt;3,SrcDB[[#This Row],[Dodavatel]],"Ostatné")</f>
        <v>MICROCOMP – Computersystém s.r.o.</v>
      </c>
    </row>
    <row r="180" spans="1:40" x14ac:dyDescent="0.3">
      <c r="A180" s="2" t="s">
        <v>365</v>
      </c>
      <c r="B180" s="2">
        <v>4860509</v>
      </c>
      <c r="C180" s="3" t="str">
        <f t="shared" si="139"/>
        <v>Nejasné</v>
      </c>
      <c r="D180" s="3" t="str">
        <f t="shared" si="140"/>
        <v>Nejasné</v>
      </c>
      <c r="E180" s="3" t="s">
        <v>49</v>
      </c>
      <c r="F180" s="3" t="s">
        <v>49</v>
      </c>
      <c r="G180" s="2" t="str">
        <f t="shared" si="141"/>
        <v>Veľké zmluvy</v>
      </c>
      <c r="H180" s="5" t="s">
        <v>342</v>
      </c>
      <c r="I180" s="2" t="s">
        <v>343</v>
      </c>
      <c r="J180" s="2" t="s">
        <v>344</v>
      </c>
      <c r="K180" s="5">
        <v>36831221</v>
      </c>
      <c r="L180" s="2" t="s">
        <v>366</v>
      </c>
      <c r="M180" s="2" t="s">
        <v>367</v>
      </c>
      <c r="N180" s="6">
        <v>44025.634074074071</v>
      </c>
      <c r="O180" s="4">
        <v>44798723.770000003</v>
      </c>
      <c r="P180" s="2">
        <v>114723</v>
      </c>
      <c r="Q180" s="2" t="s">
        <v>368</v>
      </c>
      <c r="R180" s="2" t="s">
        <v>369</v>
      </c>
      <c r="S180" s="2" t="s">
        <v>56</v>
      </c>
      <c r="T180" s="2" t="s">
        <v>349</v>
      </c>
      <c r="U180" s="2" t="s">
        <v>350</v>
      </c>
      <c r="W180" s="4">
        <v>1270</v>
      </c>
      <c r="X180" s="4">
        <v>1524</v>
      </c>
      <c r="Y180" s="4">
        <f t="shared" ref="Y180" si="196">INDEX(InternalRates,MATCH($S180,InternalRates01,FALSE),2)</f>
        <v>278.98333333333335</v>
      </c>
      <c r="Z180" s="3" t="str">
        <f t="shared" si="144"/>
        <v>Nie</v>
      </c>
      <c r="AA180" s="3" t="str">
        <f t="shared" si="145"/>
        <v>SLA+ZoD</v>
      </c>
      <c r="AB180" s="4">
        <v>950</v>
      </c>
      <c r="AD180" s="3" t="s">
        <v>48</v>
      </c>
      <c r="AE180" s="6">
        <v>44413</v>
      </c>
      <c r="AF180" s="3" t="s">
        <v>59</v>
      </c>
      <c r="AG180" s="3" t="s">
        <v>49</v>
      </c>
      <c r="AH180" s="3">
        <f>YEAR(SrcDB[[#This Row],[Datum_zverejnenia]])</f>
        <v>2020</v>
      </c>
      <c r="AI180" s="3" cm="1">
        <f t="array" ref="AI180">COUNT(_xlfn.UNIQUE(_xlfn._xlws.FILTER(SrcDB[ID],SrcDB[Objednavatel_ICO]=$H180)))</f>
        <v>15</v>
      </c>
      <c r="AJ180" s="3" cm="1">
        <f t="array" ref="AJ180">COUNT(_xlfn.UNIQUE(_xlfn._xlws.FILTER(SrcDB[ID],SrcDB[Dodavatel_ICO]=$K180)))</f>
        <v>5</v>
      </c>
      <c r="AK180" s="3">
        <f t="shared" si="147"/>
        <v>1</v>
      </c>
      <c r="AL180" s="3">
        <f t="shared" si="148"/>
        <v>1</v>
      </c>
      <c r="AM180" s="17" t="str">
        <f>IF(SrcDB[[#This Row],[Pocet zmluv objednavatela]]&gt;3,SrcDB[[#This Row],[Objednavatel]],"Ostatné")</f>
        <v>Ministerstvo vnútra SR</v>
      </c>
      <c r="AN180" s="17" t="str">
        <f>IF(SrcDB[[#This Row],[Pocet zmluv dodavatela]]&gt;3,SrcDB[[#This Row],[Dodavatel]],"Ostatné")</f>
        <v>Aliter Technologies, a.s.</v>
      </c>
    </row>
    <row r="181" spans="1:40" x14ac:dyDescent="0.3">
      <c r="A181" s="2" t="s">
        <v>370</v>
      </c>
      <c r="B181" s="2">
        <v>4896982</v>
      </c>
      <c r="C181" s="3" t="str">
        <f t="shared" si="139"/>
        <v>Nie</v>
      </c>
      <c r="D181" s="3" t="str">
        <f t="shared" si="140"/>
        <v>Áno</v>
      </c>
      <c r="E181" s="3" t="s">
        <v>48</v>
      </c>
      <c r="F181" s="3" t="s">
        <v>49</v>
      </c>
      <c r="G181" s="2" t="str">
        <f t="shared" si="141"/>
        <v>Stredné zmluvy</v>
      </c>
      <c r="H181" s="5">
        <v>35937874</v>
      </c>
      <c r="I181" s="2" t="s">
        <v>371</v>
      </c>
      <c r="J181" s="2" t="s">
        <v>372</v>
      </c>
      <c r="K181" s="5">
        <v>45650276</v>
      </c>
      <c r="L181" s="2" t="s">
        <v>234</v>
      </c>
      <c r="M181" s="2" t="s">
        <v>235</v>
      </c>
      <c r="N181" s="6">
        <v>44046.537708333337</v>
      </c>
      <c r="O181" s="4">
        <v>1660932</v>
      </c>
      <c r="P181" s="2">
        <v>114503</v>
      </c>
      <c r="Q181" s="2" t="s">
        <v>373</v>
      </c>
      <c r="R181" s="2" t="s">
        <v>374</v>
      </c>
      <c r="S181" s="2" t="s">
        <v>160</v>
      </c>
      <c r="T181" s="2" t="s">
        <v>375</v>
      </c>
      <c r="W181" s="4">
        <v>936</v>
      </c>
      <c r="X181" s="4">
        <v>1123.2</v>
      </c>
      <c r="Y181" s="4">
        <f t="shared" ref="Y181" si="197">INDEX(InternalRates,MATCH($S181,InternalRates01,FALSE),2)</f>
        <v>231.85833333333335</v>
      </c>
      <c r="Z181" s="3" t="str">
        <f t="shared" si="144"/>
        <v>Nie</v>
      </c>
      <c r="AA181" s="3" t="str">
        <f t="shared" si="145"/>
        <v>SLA</v>
      </c>
      <c r="AB181" s="4">
        <v>36</v>
      </c>
      <c r="AD181" s="3" t="s">
        <v>48</v>
      </c>
      <c r="AE181" s="6">
        <v>44418</v>
      </c>
      <c r="AF181" s="3" t="s">
        <v>59</v>
      </c>
      <c r="AG181" s="3" t="s">
        <v>60</v>
      </c>
      <c r="AH181" s="3">
        <f>YEAR(SrcDB[[#This Row],[Datum_zverejnenia]])</f>
        <v>2020</v>
      </c>
      <c r="AI181" s="3" cm="1">
        <f t="array" ref="AI181">COUNT(_xlfn.UNIQUE(_xlfn._xlws.FILTER(SrcDB[ID],SrcDB[Objednavatel_ICO]=$H181)))</f>
        <v>4</v>
      </c>
      <c r="AJ181" s="3" cm="1">
        <f t="array" ref="AJ181">COUNT(_xlfn.UNIQUE(_xlfn._xlws.FILTER(SrcDB[ID],SrcDB[Dodavatel_ICO]=$K181)))</f>
        <v>12</v>
      </c>
      <c r="AK181" s="3">
        <f t="shared" si="147"/>
        <v>1</v>
      </c>
      <c r="AL181" s="3">
        <f t="shared" si="148"/>
        <v>1</v>
      </c>
      <c r="AM181" s="17" t="str">
        <f>IF(SrcDB[[#This Row],[Pocet zmluv objednavatela]]&gt;3,SrcDB[[#This Row],[Objednavatel]],"Ostatné")</f>
        <v>Všeobecná zdravotná poisťovňa a.s.</v>
      </c>
      <c r="AN181" s="17" t="str">
        <f>IF(SrcDB[[#This Row],[Pocet zmluv dodavatela]]&gt;3,SrcDB[[#This Row],[Dodavatel]],"Ostatné")</f>
        <v>Atos IT Solutions and Services s.r.o. / Eviden Slovakia, s.r.o.</v>
      </c>
    </row>
    <row r="182" spans="1:40" x14ac:dyDescent="0.3">
      <c r="A182" s="2" t="s">
        <v>370</v>
      </c>
      <c r="B182" s="2">
        <v>4896982</v>
      </c>
      <c r="C182" s="3" t="str">
        <f t="shared" si="139"/>
        <v>Nie</v>
      </c>
      <c r="D182" s="3" t="str">
        <f t="shared" si="140"/>
        <v>Áno</v>
      </c>
      <c r="E182" s="3" t="s">
        <v>48</v>
      </c>
      <c r="F182" s="3" t="s">
        <v>49</v>
      </c>
      <c r="G182" s="2" t="str">
        <f t="shared" si="141"/>
        <v>Stredné zmluvy</v>
      </c>
      <c r="H182" s="5">
        <v>35937874</v>
      </c>
      <c r="I182" s="2" t="s">
        <v>371</v>
      </c>
      <c r="J182" s="2" t="s">
        <v>372</v>
      </c>
      <c r="K182" s="5">
        <v>45650276</v>
      </c>
      <c r="L182" s="2" t="s">
        <v>234</v>
      </c>
      <c r="M182" s="2" t="s">
        <v>235</v>
      </c>
      <c r="N182" s="6">
        <v>44046.537708333337</v>
      </c>
      <c r="O182" s="4">
        <v>1660932</v>
      </c>
      <c r="P182" s="2">
        <v>114503</v>
      </c>
      <c r="Q182" s="2" t="s">
        <v>373</v>
      </c>
      <c r="R182" s="2" t="s">
        <v>374</v>
      </c>
      <c r="S182" s="2" t="s">
        <v>123</v>
      </c>
      <c r="T182" s="2" t="s">
        <v>376</v>
      </c>
      <c r="V182" s="2" t="s">
        <v>175</v>
      </c>
      <c r="W182" s="4">
        <v>792</v>
      </c>
      <c r="X182" s="4">
        <v>950.4</v>
      </c>
      <c r="Y182" s="4">
        <f t="shared" ref="Y182" si="198">INDEX(InternalRates,MATCH($S182,InternalRates01,FALSE),2)</f>
        <v>231.85833333333335</v>
      </c>
      <c r="Z182" s="3" t="str">
        <f t="shared" si="144"/>
        <v>Nie</v>
      </c>
      <c r="AA182" s="3" t="str">
        <f t="shared" si="145"/>
        <v>SLA</v>
      </c>
      <c r="AB182" s="4">
        <v>11.25</v>
      </c>
      <c r="AD182" s="3" t="s">
        <v>48</v>
      </c>
      <c r="AE182" s="6">
        <v>44418</v>
      </c>
      <c r="AF182" s="3" t="s">
        <v>59</v>
      </c>
      <c r="AG182" s="3" t="s">
        <v>60</v>
      </c>
      <c r="AH182" s="3">
        <f>YEAR(SrcDB[[#This Row],[Datum_zverejnenia]])</f>
        <v>2020</v>
      </c>
      <c r="AI182" s="3" cm="1">
        <f t="array" ref="AI182">COUNT(_xlfn.UNIQUE(_xlfn._xlws.FILTER(SrcDB[ID],SrcDB[Objednavatel_ICO]=$H182)))</f>
        <v>4</v>
      </c>
      <c r="AJ182" s="3" cm="1">
        <f t="array" ref="AJ182">COUNT(_xlfn.UNIQUE(_xlfn._xlws.FILTER(SrcDB[ID],SrcDB[Dodavatel_ICO]=$K182)))</f>
        <v>12</v>
      </c>
      <c r="AK182" s="3">
        <f t="shared" si="147"/>
        <v>0</v>
      </c>
      <c r="AL182" s="3">
        <f t="shared" si="148"/>
        <v>0</v>
      </c>
      <c r="AM182" s="17" t="str">
        <f>IF(SrcDB[[#This Row],[Pocet zmluv objednavatela]]&gt;3,SrcDB[[#This Row],[Objednavatel]],"Ostatné")</f>
        <v>Všeobecná zdravotná poisťovňa a.s.</v>
      </c>
      <c r="AN182" s="17" t="str">
        <f>IF(SrcDB[[#This Row],[Pocet zmluv dodavatela]]&gt;3,SrcDB[[#This Row],[Dodavatel]],"Ostatné")</f>
        <v>Atos IT Solutions and Services s.r.o. / Eviden Slovakia, s.r.o.</v>
      </c>
    </row>
    <row r="183" spans="1:40" x14ac:dyDescent="0.3">
      <c r="A183" s="2" t="s">
        <v>370</v>
      </c>
      <c r="B183" s="2">
        <v>4896982</v>
      </c>
      <c r="C183" s="3" t="str">
        <f t="shared" si="139"/>
        <v>Nie</v>
      </c>
      <c r="D183" s="3" t="str">
        <f t="shared" si="140"/>
        <v>Áno</v>
      </c>
      <c r="E183" s="3" t="s">
        <v>48</v>
      </c>
      <c r="F183" s="3" t="s">
        <v>49</v>
      </c>
      <c r="G183" s="2" t="str">
        <f t="shared" si="141"/>
        <v>Stredné zmluvy</v>
      </c>
      <c r="H183" s="5">
        <v>35937874</v>
      </c>
      <c r="I183" s="2" t="s">
        <v>371</v>
      </c>
      <c r="J183" s="2" t="s">
        <v>372</v>
      </c>
      <c r="K183" s="5">
        <v>45650276</v>
      </c>
      <c r="L183" s="2" t="s">
        <v>234</v>
      </c>
      <c r="M183" s="2" t="s">
        <v>235</v>
      </c>
      <c r="N183" s="6">
        <v>44046</v>
      </c>
      <c r="O183" s="4">
        <v>1660932</v>
      </c>
      <c r="P183" s="2">
        <v>114503</v>
      </c>
      <c r="Q183" s="2" t="s">
        <v>373</v>
      </c>
      <c r="R183" s="2" t="s">
        <v>374</v>
      </c>
      <c r="S183" s="2" t="s">
        <v>123</v>
      </c>
      <c r="T183" s="2" t="s">
        <v>377</v>
      </c>
      <c r="V183" s="2" t="s">
        <v>140</v>
      </c>
      <c r="W183" s="4">
        <v>792</v>
      </c>
      <c r="X183" s="4">
        <v>950.4</v>
      </c>
      <c r="Y183" s="4">
        <f t="shared" ref="Y183" si="199">INDEX(InternalRates,MATCH($S183,InternalRates01,FALSE),2)</f>
        <v>231.85833333333335</v>
      </c>
      <c r="Z183" s="3" t="str">
        <f t="shared" si="144"/>
        <v>Nie</v>
      </c>
      <c r="AA183" s="3" t="str">
        <f t="shared" si="145"/>
        <v>SLA</v>
      </c>
      <c r="AB183" s="4">
        <v>3.75</v>
      </c>
      <c r="AD183" s="3" t="s">
        <v>48</v>
      </c>
      <c r="AE183" s="6">
        <v>44418</v>
      </c>
      <c r="AF183" s="3" t="s">
        <v>59</v>
      </c>
      <c r="AG183" s="3" t="s">
        <v>60</v>
      </c>
      <c r="AH183" s="3">
        <f>YEAR(SrcDB[[#This Row],[Datum_zverejnenia]])</f>
        <v>2020</v>
      </c>
      <c r="AI183" s="3" cm="1">
        <f t="array" ref="AI183">COUNT(_xlfn.UNIQUE(_xlfn._xlws.FILTER(SrcDB[ID],SrcDB[Objednavatel_ICO]=$H183)))</f>
        <v>4</v>
      </c>
      <c r="AJ183" s="3" cm="1">
        <f t="array" ref="AJ183">COUNT(_xlfn.UNIQUE(_xlfn._xlws.FILTER(SrcDB[ID],SrcDB[Dodavatel_ICO]=$K183)))</f>
        <v>12</v>
      </c>
      <c r="AK183" s="3">
        <f t="shared" si="147"/>
        <v>0</v>
      </c>
      <c r="AL183" s="3">
        <f t="shared" si="148"/>
        <v>0</v>
      </c>
      <c r="AM183" s="17" t="str">
        <f>IF(SrcDB[[#This Row],[Pocet zmluv objednavatela]]&gt;3,SrcDB[[#This Row],[Objednavatel]],"Ostatné")</f>
        <v>Všeobecná zdravotná poisťovňa a.s.</v>
      </c>
      <c r="AN183" s="17" t="str">
        <f>IF(SrcDB[[#This Row],[Pocet zmluv dodavatela]]&gt;3,SrcDB[[#This Row],[Dodavatel]],"Ostatné")</f>
        <v>Atos IT Solutions and Services s.r.o. / Eviden Slovakia, s.r.o.</v>
      </c>
    </row>
    <row r="184" spans="1:40" x14ac:dyDescent="0.3">
      <c r="A184" s="2" t="s">
        <v>370</v>
      </c>
      <c r="B184" s="2">
        <v>4896982</v>
      </c>
      <c r="C184" s="3" t="str">
        <f t="shared" si="139"/>
        <v>Nie</v>
      </c>
      <c r="D184" s="3" t="str">
        <f t="shared" si="140"/>
        <v>Áno</v>
      </c>
      <c r="E184" s="3" t="s">
        <v>48</v>
      </c>
      <c r="F184" s="3" t="s">
        <v>49</v>
      </c>
      <c r="G184" s="2" t="str">
        <f t="shared" si="141"/>
        <v>Stredné zmluvy</v>
      </c>
      <c r="H184" s="5">
        <v>35937874</v>
      </c>
      <c r="I184" s="2" t="s">
        <v>371</v>
      </c>
      <c r="J184" s="2" t="s">
        <v>372</v>
      </c>
      <c r="K184" s="5">
        <v>45650276</v>
      </c>
      <c r="L184" s="2" t="s">
        <v>234</v>
      </c>
      <c r="M184" s="2" t="s">
        <v>235</v>
      </c>
      <c r="N184" s="6">
        <v>44046</v>
      </c>
      <c r="O184" s="4">
        <v>1660932</v>
      </c>
      <c r="P184" s="2">
        <v>114503</v>
      </c>
      <c r="Q184" s="2" t="s">
        <v>373</v>
      </c>
      <c r="R184" s="2" t="s">
        <v>374</v>
      </c>
      <c r="S184" s="2" t="s">
        <v>123</v>
      </c>
      <c r="T184" s="2" t="s">
        <v>378</v>
      </c>
      <c r="V184" s="2" t="s">
        <v>140</v>
      </c>
      <c r="W184" s="4">
        <v>552</v>
      </c>
      <c r="X184" s="4">
        <v>662.4</v>
      </c>
      <c r="Y184" s="4">
        <f t="shared" ref="Y184" si="200">INDEX(InternalRates,MATCH($S184,InternalRates01,FALSE),2)</f>
        <v>231.85833333333335</v>
      </c>
      <c r="Z184" s="3" t="str">
        <f t="shared" si="144"/>
        <v>Nie</v>
      </c>
      <c r="AA184" s="3" t="str">
        <f t="shared" si="145"/>
        <v>SLA</v>
      </c>
      <c r="AB184" s="4">
        <v>75</v>
      </c>
      <c r="AD184" s="3" t="s">
        <v>48</v>
      </c>
      <c r="AE184" s="6">
        <v>44418</v>
      </c>
      <c r="AF184" s="3" t="s">
        <v>59</v>
      </c>
      <c r="AG184" s="3" t="s">
        <v>60</v>
      </c>
      <c r="AH184" s="3">
        <f>YEAR(SrcDB[[#This Row],[Datum_zverejnenia]])</f>
        <v>2020</v>
      </c>
      <c r="AI184" s="3" cm="1">
        <f t="array" ref="AI184">COUNT(_xlfn.UNIQUE(_xlfn._xlws.FILTER(SrcDB[ID],SrcDB[Objednavatel_ICO]=$H184)))</f>
        <v>4</v>
      </c>
      <c r="AJ184" s="3" cm="1">
        <f t="array" ref="AJ184">COUNT(_xlfn.UNIQUE(_xlfn._xlws.FILTER(SrcDB[ID],SrcDB[Dodavatel_ICO]=$K184)))</f>
        <v>12</v>
      </c>
      <c r="AK184" s="3">
        <f t="shared" si="147"/>
        <v>0</v>
      </c>
      <c r="AL184" s="3">
        <f t="shared" si="148"/>
        <v>0</v>
      </c>
      <c r="AM184" s="17" t="str">
        <f>IF(SrcDB[[#This Row],[Pocet zmluv objednavatela]]&gt;3,SrcDB[[#This Row],[Objednavatel]],"Ostatné")</f>
        <v>Všeobecná zdravotná poisťovňa a.s.</v>
      </c>
      <c r="AN184" s="17" t="str">
        <f>IF(SrcDB[[#This Row],[Pocet zmluv dodavatela]]&gt;3,SrcDB[[#This Row],[Dodavatel]],"Ostatné")</f>
        <v>Atos IT Solutions and Services s.r.o. / Eviden Slovakia, s.r.o.</v>
      </c>
    </row>
    <row r="185" spans="1:40" x14ac:dyDescent="0.3">
      <c r="A185" s="2" t="s">
        <v>370</v>
      </c>
      <c r="B185" s="2">
        <v>4896982</v>
      </c>
      <c r="C185" s="3" t="str">
        <f t="shared" si="139"/>
        <v>Nie</v>
      </c>
      <c r="D185" s="3" t="str">
        <f t="shared" si="140"/>
        <v>Áno</v>
      </c>
      <c r="E185" s="3" t="s">
        <v>48</v>
      </c>
      <c r="F185" s="3" t="s">
        <v>49</v>
      </c>
      <c r="G185" s="2" t="str">
        <f t="shared" si="141"/>
        <v>Stredné zmluvy</v>
      </c>
      <c r="H185" s="5">
        <v>35937874</v>
      </c>
      <c r="I185" s="2" t="s">
        <v>371</v>
      </c>
      <c r="J185" s="2" t="s">
        <v>372</v>
      </c>
      <c r="K185" s="5">
        <v>45650276</v>
      </c>
      <c r="L185" s="2" t="s">
        <v>234</v>
      </c>
      <c r="M185" s="2" t="s">
        <v>235</v>
      </c>
      <c r="N185" s="6">
        <v>44046</v>
      </c>
      <c r="O185" s="4">
        <v>1660932</v>
      </c>
      <c r="P185" s="2">
        <v>114503</v>
      </c>
      <c r="Q185" s="2" t="s">
        <v>373</v>
      </c>
      <c r="R185" s="2" t="s">
        <v>374</v>
      </c>
      <c r="S185" s="2" t="s">
        <v>56</v>
      </c>
      <c r="T185" s="2" t="s">
        <v>379</v>
      </c>
      <c r="U185" s="2" t="s">
        <v>129</v>
      </c>
      <c r="W185" s="4">
        <v>936</v>
      </c>
      <c r="X185" s="4">
        <v>1123.2</v>
      </c>
      <c r="Y185" s="4">
        <f t="shared" ref="Y185" si="201">INDEX(InternalRates,MATCH($S185,InternalRates01,FALSE),2)</f>
        <v>278.98333333333335</v>
      </c>
      <c r="Z185" s="3" t="str">
        <f t="shared" si="144"/>
        <v>Nie</v>
      </c>
      <c r="AA185" s="3" t="str">
        <f t="shared" si="145"/>
        <v>SLA</v>
      </c>
      <c r="AB185" s="4">
        <v>112.5</v>
      </c>
      <c r="AD185" s="3" t="s">
        <v>48</v>
      </c>
      <c r="AE185" s="6">
        <v>44418</v>
      </c>
      <c r="AF185" s="3" t="s">
        <v>59</v>
      </c>
      <c r="AG185" s="3" t="s">
        <v>60</v>
      </c>
      <c r="AH185" s="3">
        <f>YEAR(SrcDB[[#This Row],[Datum_zverejnenia]])</f>
        <v>2020</v>
      </c>
      <c r="AI185" s="3" cm="1">
        <f t="array" ref="AI185">COUNT(_xlfn.UNIQUE(_xlfn._xlws.FILTER(SrcDB[ID],SrcDB[Objednavatel_ICO]=$H185)))</f>
        <v>4</v>
      </c>
      <c r="AJ185" s="3" cm="1">
        <f t="array" ref="AJ185">COUNT(_xlfn.UNIQUE(_xlfn._xlws.FILTER(SrcDB[ID],SrcDB[Dodavatel_ICO]=$K185)))</f>
        <v>12</v>
      </c>
      <c r="AK185" s="3">
        <f t="shared" si="147"/>
        <v>0</v>
      </c>
      <c r="AL185" s="3">
        <f t="shared" si="148"/>
        <v>0</v>
      </c>
      <c r="AM185" s="17" t="str">
        <f>IF(SrcDB[[#This Row],[Pocet zmluv objednavatela]]&gt;3,SrcDB[[#This Row],[Objednavatel]],"Ostatné")</f>
        <v>Všeobecná zdravotná poisťovňa a.s.</v>
      </c>
      <c r="AN185" s="17" t="str">
        <f>IF(SrcDB[[#This Row],[Pocet zmluv dodavatela]]&gt;3,SrcDB[[#This Row],[Dodavatel]],"Ostatné")</f>
        <v>Atos IT Solutions and Services s.r.o. / Eviden Slovakia, s.r.o.</v>
      </c>
    </row>
    <row r="186" spans="1:40" x14ac:dyDescent="0.3">
      <c r="A186" s="2" t="s">
        <v>380</v>
      </c>
      <c r="B186" s="2">
        <v>4937582</v>
      </c>
      <c r="C186" s="3" t="str">
        <f t="shared" si="139"/>
        <v>Nie</v>
      </c>
      <c r="D186" s="3" t="str">
        <f t="shared" si="140"/>
        <v>Áno</v>
      </c>
      <c r="E186" s="3" t="s">
        <v>48</v>
      </c>
      <c r="F186" s="3" t="s">
        <v>49</v>
      </c>
      <c r="G186" s="2" t="str">
        <f t="shared" si="141"/>
        <v>Veľké zmluvy</v>
      </c>
      <c r="H186" s="5">
        <v>31364501</v>
      </c>
      <c r="I186" s="2" t="s">
        <v>220</v>
      </c>
      <c r="J186" s="2" t="s">
        <v>221</v>
      </c>
      <c r="K186" s="5">
        <v>31326650</v>
      </c>
      <c r="L186" s="2" t="s">
        <v>156</v>
      </c>
      <c r="M186" s="2" t="s">
        <v>53</v>
      </c>
      <c r="N186" s="6">
        <v>44070.793726851851</v>
      </c>
      <c r="O186" s="4">
        <v>8141234.4000000004</v>
      </c>
      <c r="P186" s="2">
        <v>114573</v>
      </c>
      <c r="Q186" s="2" t="s">
        <v>381</v>
      </c>
      <c r="R186" s="2" t="s">
        <v>382</v>
      </c>
      <c r="S186" s="2" t="s">
        <v>160</v>
      </c>
      <c r="T186" s="2" t="s">
        <v>383</v>
      </c>
      <c r="W186" s="4">
        <v>560</v>
      </c>
      <c r="X186" s="4">
        <v>672</v>
      </c>
      <c r="Y186" s="4">
        <f t="shared" ref="Y186" si="202">INDEX(InternalRates,MATCH($S186,InternalRates01,FALSE),2)</f>
        <v>231.85833333333335</v>
      </c>
      <c r="Z186" s="3" t="str">
        <f t="shared" si="144"/>
        <v>Nie</v>
      </c>
      <c r="AA186" s="3" t="str">
        <f t="shared" si="145"/>
        <v>SLA</v>
      </c>
      <c r="AB186" s="4">
        <v>1100</v>
      </c>
      <c r="AD186" s="3" t="s">
        <v>48</v>
      </c>
      <c r="AE186" s="6">
        <v>44417</v>
      </c>
      <c r="AF186" s="3" t="s">
        <v>59</v>
      </c>
      <c r="AG186" s="3" t="s">
        <v>49</v>
      </c>
      <c r="AH186" s="3">
        <f>YEAR(SrcDB[[#This Row],[Datum_zverejnenia]])</f>
        <v>2020</v>
      </c>
      <c r="AI186" s="3" cm="1">
        <f t="array" ref="AI186">COUNT(_xlfn.UNIQUE(_xlfn._xlws.FILTER(SrcDB[ID],SrcDB[Objednavatel_ICO]=$H186)))</f>
        <v>24</v>
      </c>
      <c r="AJ186" s="3" cm="1">
        <f t="array" ref="AJ186">COUNT(_xlfn.UNIQUE(_xlfn._xlws.FILTER(SrcDB[ID],SrcDB[Dodavatel_ICO]=$K186)))</f>
        <v>8</v>
      </c>
      <c r="AK186" s="3">
        <f t="shared" si="147"/>
        <v>1</v>
      </c>
      <c r="AL186" s="3">
        <f t="shared" si="148"/>
        <v>1</v>
      </c>
      <c r="AM186" s="17" t="str">
        <f>IF(SrcDB[[#This Row],[Pocet zmluv objednavatela]]&gt;3,SrcDB[[#This Row],[Objednavatel]],"Ostatné")</f>
        <v>Železnice Slovenskej republiky</v>
      </c>
      <c r="AN186" s="17" t="str">
        <f>IF(SrcDB[[#This Row],[Pocet zmluv dodavatela]]&gt;3,SrcDB[[#This Row],[Dodavatel]],"Ostatné")</f>
        <v>TEMPEST a.s.</v>
      </c>
    </row>
    <row r="187" spans="1:40" x14ac:dyDescent="0.3">
      <c r="A187" s="2" t="s">
        <v>384</v>
      </c>
      <c r="B187" s="2">
        <v>4945924</v>
      </c>
      <c r="C187" s="3" t="str">
        <f t="shared" si="139"/>
        <v>Nie</v>
      </c>
      <c r="D187" s="3" t="str">
        <f t="shared" si="140"/>
        <v>Áno</v>
      </c>
      <c r="E187" s="3" t="s">
        <v>48</v>
      </c>
      <c r="F187" s="3" t="s">
        <v>49</v>
      </c>
      <c r="G187" s="2" t="str">
        <f t="shared" si="141"/>
        <v>Stredné zmluvy</v>
      </c>
      <c r="H187" s="5">
        <v>30807484</v>
      </c>
      <c r="I187" s="2" t="s">
        <v>50</v>
      </c>
      <c r="J187" s="2" t="s">
        <v>51</v>
      </c>
      <c r="K187" s="5">
        <v>35810734</v>
      </c>
      <c r="L187" s="2" t="s">
        <v>385</v>
      </c>
      <c r="M187" s="2" t="s">
        <v>386</v>
      </c>
      <c r="N187" s="6">
        <v>44077.580520833333</v>
      </c>
      <c r="O187" s="4">
        <v>1054080</v>
      </c>
      <c r="P187" s="2">
        <v>114493</v>
      </c>
      <c r="Q187" s="2" t="s">
        <v>387</v>
      </c>
      <c r="R187" s="2" t="s">
        <v>388</v>
      </c>
      <c r="S187" s="2" t="s">
        <v>77</v>
      </c>
      <c r="T187" s="2" t="s">
        <v>389</v>
      </c>
      <c r="W187" s="4">
        <v>520</v>
      </c>
      <c r="X187" s="4">
        <v>624</v>
      </c>
      <c r="Y187" s="4">
        <f t="shared" ref="Y187" si="203">INDEX(InternalRates,MATCH($S187,InternalRates01,FALSE),2)</f>
        <v>278.98333333333335</v>
      </c>
      <c r="Z187" s="3" t="str">
        <f t="shared" si="144"/>
        <v>Nie</v>
      </c>
      <c r="AA187" s="3" t="str">
        <f t="shared" si="145"/>
        <v>SLA</v>
      </c>
      <c r="AB187" s="4">
        <v>840</v>
      </c>
      <c r="AD187" s="3" t="s">
        <v>48</v>
      </c>
      <c r="AE187" s="6">
        <v>44418</v>
      </c>
      <c r="AF187" s="3" t="s">
        <v>59</v>
      </c>
      <c r="AG187" s="3" t="s">
        <v>60</v>
      </c>
      <c r="AH187" s="3">
        <f>YEAR(SrcDB[[#This Row],[Datum_zverejnenia]])</f>
        <v>2020</v>
      </c>
      <c r="AI187" s="3" cm="1">
        <f t="array" ref="AI187">COUNT(_xlfn.UNIQUE(_xlfn._xlws.FILTER(SrcDB[ID],SrcDB[Objednavatel_ICO]=$H187)))</f>
        <v>14</v>
      </c>
      <c r="AJ187" s="3" cm="1">
        <f t="array" ref="AJ187">COUNT(_xlfn.UNIQUE(_xlfn._xlws.FILTER(SrcDB[ID],SrcDB[Dodavatel_ICO]=$K187)))</f>
        <v>10</v>
      </c>
      <c r="AK187" s="3">
        <f t="shared" si="147"/>
        <v>1</v>
      </c>
      <c r="AL187" s="3">
        <f t="shared" si="148"/>
        <v>1</v>
      </c>
      <c r="AM187" s="17" t="str">
        <f>IF(SrcDB[[#This Row],[Pocet zmluv objednavatela]]&gt;3,SrcDB[[#This Row],[Objednavatel]],"Ostatné")</f>
        <v>Sociálna poisťovňa, ústredie</v>
      </c>
      <c r="AN187" s="17" t="str">
        <f>IF(SrcDB[[#This Row],[Pocet zmluv dodavatela]]&gt;3,SrcDB[[#This Row],[Dodavatel]],"Ostatné")</f>
        <v xml:space="preserve">DATALAN, a.s.  </v>
      </c>
    </row>
    <row r="188" spans="1:40" x14ac:dyDescent="0.3">
      <c r="A188" s="2" t="s">
        <v>390</v>
      </c>
      <c r="B188" s="2">
        <v>4978247</v>
      </c>
      <c r="C188" s="3" t="str">
        <f t="shared" si="139"/>
        <v>Nejasné</v>
      </c>
      <c r="D188" s="3" t="str">
        <f t="shared" si="140"/>
        <v>Nejasné</v>
      </c>
      <c r="E188" s="3" t="s">
        <v>48</v>
      </c>
      <c r="F188" s="3" t="s">
        <v>49</v>
      </c>
      <c r="G188" s="2" t="str">
        <f t="shared" si="141"/>
        <v>Veľké zmluvy</v>
      </c>
      <c r="H188" s="5" t="s">
        <v>391</v>
      </c>
      <c r="I188" s="2" t="s">
        <v>392</v>
      </c>
      <c r="J188" s="2" t="s">
        <v>393</v>
      </c>
      <c r="K188" s="5">
        <v>45650276</v>
      </c>
      <c r="L188" s="2" t="s">
        <v>234</v>
      </c>
      <c r="M188" s="2" t="s">
        <v>394</v>
      </c>
      <c r="N188" s="6">
        <v>44095.733576388891</v>
      </c>
      <c r="O188" s="4">
        <v>9519051</v>
      </c>
      <c r="P188" s="2">
        <v>114533</v>
      </c>
      <c r="Q188" s="2" t="s">
        <v>395</v>
      </c>
      <c r="R188" s="2" t="s">
        <v>396</v>
      </c>
      <c r="S188" s="2" t="s">
        <v>162</v>
      </c>
      <c r="T188" s="2" t="s">
        <v>397</v>
      </c>
      <c r="W188" s="4">
        <v>672</v>
      </c>
      <c r="X188" s="4">
        <v>806.4</v>
      </c>
      <c r="Y188" s="4">
        <f t="shared" ref="Y188" si="204">INDEX(InternalRates,MATCH($S188,InternalRates01,FALSE),2)</f>
        <v>231.85833333333335</v>
      </c>
      <c r="Z188" s="3" t="str">
        <f t="shared" si="144"/>
        <v>Nie</v>
      </c>
      <c r="AA188" s="3" t="str">
        <f t="shared" si="145"/>
        <v>SLA</v>
      </c>
      <c r="AB188" s="4">
        <v>1692</v>
      </c>
      <c r="AC188" s="4">
        <v>423</v>
      </c>
      <c r="AD188" s="3" t="s">
        <v>48</v>
      </c>
      <c r="AE188" s="6">
        <v>44509</v>
      </c>
      <c r="AF188" s="3" t="s">
        <v>59</v>
      </c>
      <c r="AG188" s="3" t="s">
        <v>49</v>
      </c>
      <c r="AH188" s="3">
        <f>YEAR(SrcDB[[#This Row],[Datum_zverejnenia]])</f>
        <v>2020</v>
      </c>
      <c r="AI188" s="3" cm="1">
        <f t="array" ref="AI188">COUNT(_xlfn.UNIQUE(_xlfn._xlws.FILTER(SrcDB[ID],SrcDB[Objednavatel_ICO]=$H188)))</f>
        <v>7</v>
      </c>
      <c r="AJ188" s="3" cm="1">
        <f t="array" ref="AJ188">COUNT(_xlfn.UNIQUE(_xlfn._xlws.FILTER(SrcDB[ID],SrcDB[Dodavatel_ICO]=$K188)))</f>
        <v>12</v>
      </c>
      <c r="AK188" s="3">
        <f t="shared" si="147"/>
        <v>1</v>
      </c>
      <c r="AL188" s="3">
        <f t="shared" si="148"/>
        <v>1</v>
      </c>
      <c r="AM188" s="17" t="str">
        <f>IF(SrcDB[[#This Row],[Pocet zmluv objednavatela]]&gt;3,SrcDB[[#This Row],[Objednavatel]],"Ostatné")</f>
        <v>Ministerstvo práce, sociálnych vecí a rodiny SR</v>
      </c>
      <c r="AN188" s="17" t="str">
        <f>IF(SrcDB[[#This Row],[Pocet zmluv dodavatela]]&gt;3,SrcDB[[#This Row],[Dodavatel]],"Ostatné")</f>
        <v>Atos IT Solutions and Services s.r.o. / Eviden Slovakia, s.r.o.</v>
      </c>
    </row>
    <row r="189" spans="1:40" x14ac:dyDescent="0.3">
      <c r="A189" s="2" t="s">
        <v>390</v>
      </c>
      <c r="B189" s="2">
        <v>4978247</v>
      </c>
      <c r="C189" s="3" t="str">
        <f t="shared" si="139"/>
        <v>Nejasné</v>
      </c>
      <c r="D189" s="3" t="str">
        <f t="shared" si="140"/>
        <v>Nejasné</v>
      </c>
      <c r="E189" s="3" t="s">
        <v>48</v>
      </c>
      <c r="F189" s="3" t="s">
        <v>49</v>
      </c>
      <c r="G189" s="2" t="str">
        <f t="shared" si="141"/>
        <v>Veľké zmluvy</v>
      </c>
      <c r="H189" s="5" t="s">
        <v>391</v>
      </c>
      <c r="I189" s="2" t="s">
        <v>392</v>
      </c>
      <c r="J189" s="2" t="s">
        <v>393</v>
      </c>
      <c r="K189" s="5">
        <v>45650276</v>
      </c>
      <c r="L189" s="2" t="s">
        <v>234</v>
      </c>
      <c r="M189" s="2" t="s">
        <v>394</v>
      </c>
      <c r="N189" s="6">
        <v>44095.733576388891</v>
      </c>
      <c r="O189" s="4">
        <v>9519051</v>
      </c>
      <c r="P189" s="2">
        <v>114533</v>
      </c>
      <c r="Q189" s="2" t="s">
        <v>395</v>
      </c>
      <c r="R189" s="2" t="s">
        <v>396</v>
      </c>
      <c r="S189" s="2" t="s">
        <v>162</v>
      </c>
      <c r="T189" s="2" t="s">
        <v>398</v>
      </c>
      <c r="W189" s="4">
        <v>672</v>
      </c>
      <c r="X189" s="4">
        <v>806.4</v>
      </c>
      <c r="Y189" s="4">
        <f t="shared" ref="Y189" si="205">INDEX(InternalRates,MATCH($S189,InternalRates01,FALSE),2)</f>
        <v>231.85833333333335</v>
      </c>
      <c r="Z189" s="3" t="str">
        <f t="shared" si="144"/>
        <v>Nie</v>
      </c>
      <c r="AA189" s="3" t="str">
        <f t="shared" si="145"/>
        <v>SLA</v>
      </c>
      <c r="AB189" s="4">
        <v>396</v>
      </c>
      <c r="AC189" s="4">
        <v>99</v>
      </c>
      <c r="AD189" s="3" t="s">
        <v>48</v>
      </c>
      <c r="AE189" s="6">
        <v>44509</v>
      </c>
      <c r="AF189" s="3" t="s">
        <v>59</v>
      </c>
      <c r="AG189" s="3" t="s">
        <v>49</v>
      </c>
      <c r="AH189" s="3">
        <f>YEAR(SrcDB[[#This Row],[Datum_zverejnenia]])</f>
        <v>2020</v>
      </c>
      <c r="AI189" s="3" cm="1">
        <f t="array" ref="AI189">COUNT(_xlfn.UNIQUE(_xlfn._xlws.FILTER(SrcDB[ID],SrcDB[Objednavatel_ICO]=$H189)))</f>
        <v>7</v>
      </c>
      <c r="AJ189" s="3" cm="1">
        <f t="array" ref="AJ189">COUNT(_xlfn.UNIQUE(_xlfn._xlws.FILTER(SrcDB[ID],SrcDB[Dodavatel_ICO]=$K189)))</f>
        <v>12</v>
      </c>
      <c r="AK189" s="3">
        <f t="shared" si="147"/>
        <v>0</v>
      </c>
      <c r="AL189" s="3">
        <f t="shared" si="148"/>
        <v>0</v>
      </c>
      <c r="AM189" s="17" t="str">
        <f>IF(SrcDB[[#This Row],[Pocet zmluv objednavatela]]&gt;3,SrcDB[[#This Row],[Objednavatel]],"Ostatné")</f>
        <v>Ministerstvo práce, sociálnych vecí a rodiny SR</v>
      </c>
      <c r="AN189" s="17" t="str">
        <f>IF(SrcDB[[#This Row],[Pocet zmluv dodavatela]]&gt;3,SrcDB[[#This Row],[Dodavatel]],"Ostatné")</f>
        <v>Atos IT Solutions and Services s.r.o. / Eviden Slovakia, s.r.o.</v>
      </c>
    </row>
    <row r="190" spans="1:40" x14ac:dyDescent="0.3">
      <c r="A190" s="2" t="s">
        <v>390</v>
      </c>
      <c r="B190" s="2">
        <v>4978247</v>
      </c>
      <c r="C190" s="3" t="str">
        <f t="shared" si="139"/>
        <v>Nejasné</v>
      </c>
      <c r="D190" s="3" t="str">
        <f t="shared" si="140"/>
        <v>Nejasné</v>
      </c>
      <c r="E190" s="3" t="s">
        <v>48</v>
      </c>
      <c r="F190" s="3" t="s">
        <v>49</v>
      </c>
      <c r="G190" s="2" t="str">
        <f t="shared" si="141"/>
        <v>Veľké zmluvy</v>
      </c>
      <c r="H190" s="5" t="s">
        <v>391</v>
      </c>
      <c r="I190" s="2" t="s">
        <v>392</v>
      </c>
      <c r="J190" s="2" t="s">
        <v>393</v>
      </c>
      <c r="K190" s="5">
        <v>45650276</v>
      </c>
      <c r="L190" s="2" t="s">
        <v>234</v>
      </c>
      <c r="M190" s="2" t="s">
        <v>394</v>
      </c>
      <c r="N190" s="6">
        <v>44095.733576388891</v>
      </c>
      <c r="O190" s="4">
        <v>9519051</v>
      </c>
      <c r="P190" s="2">
        <v>114533</v>
      </c>
      <c r="Q190" s="2" t="s">
        <v>395</v>
      </c>
      <c r="R190" s="2" t="s">
        <v>396</v>
      </c>
      <c r="S190" s="2" t="s">
        <v>162</v>
      </c>
      <c r="T190" s="2" t="s">
        <v>399</v>
      </c>
      <c r="W190" s="4">
        <v>456</v>
      </c>
      <c r="X190" s="4">
        <v>547.19999999999993</v>
      </c>
      <c r="Y190" s="4">
        <f t="shared" ref="Y190" si="206">INDEX(InternalRates,MATCH($S190,InternalRates01,FALSE),2)</f>
        <v>231.85833333333335</v>
      </c>
      <c r="Z190" s="3" t="str">
        <f t="shared" si="144"/>
        <v>Nie</v>
      </c>
      <c r="AA190" s="3" t="str">
        <f t="shared" si="145"/>
        <v>SLA</v>
      </c>
      <c r="AB190" s="4">
        <v>1560</v>
      </c>
      <c r="AC190" s="4">
        <v>390</v>
      </c>
      <c r="AD190" s="3" t="s">
        <v>48</v>
      </c>
      <c r="AE190" s="6">
        <v>44509</v>
      </c>
      <c r="AF190" s="3" t="s">
        <v>59</v>
      </c>
      <c r="AG190" s="3" t="s">
        <v>49</v>
      </c>
      <c r="AH190" s="3">
        <f>YEAR(SrcDB[[#This Row],[Datum_zverejnenia]])</f>
        <v>2020</v>
      </c>
      <c r="AI190" s="3" cm="1">
        <f t="array" ref="AI190">COUNT(_xlfn.UNIQUE(_xlfn._xlws.FILTER(SrcDB[ID],SrcDB[Objednavatel_ICO]=$H190)))</f>
        <v>7</v>
      </c>
      <c r="AJ190" s="3" cm="1">
        <f t="array" ref="AJ190">COUNT(_xlfn.UNIQUE(_xlfn._xlws.FILTER(SrcDB[ID],SrcDB[Dodavatel_ICO]=$K190)))</f>
        <v>12</v>
      </c>
      <c r="AK190" s="3">
        <f t="shared" si="147"/>
        <v>0</v>
      </c>
      <c r="AL190" s="3">
        <f t="shared" si="148"/>
        <v>0</v>
      </c>
      <c r="AM190" s="17" t="str">
        <f>IF(SrcDB[[#This Row],[Pocet zmluv objednavatela]]&gt;3,SrcDB[[#This Row],[Objednavatel]],"Ostatné")</f>
        <v>Ministerstvo práce, sociálnych vecí a rodiny SR</v>
      </c>
      <c r="AN190" s="17" t="str">
        <f>IF(SrcDB[[#This Row],[Pocet zmluv dodavatela]]&gt;3,SrcDB[[#This Row],[Dodavatel]],"Ostatné")</f>
        <v>Atos IT Solutions and Services s.r.o. / Eviden Slovakia, s.r.o.</v>
      </c>
    </row>
    <row r="191" spans="1:40" x14ac:dyDescent="0.3">
      <c r="A191" s="2" t="s">
        <v>390</v>
      </c>
      <c r="B191" s="2">
        <v>4978247</v>
      </c>
      <c r="C191" s="3" t="str">
        <f t="shared" si="139"/>
        <v>Nejasné</v>
      </c>
      <c r="D191" s="3" t="str">
        <f t="shared" si="140"/>
        <v>Nejasné</v>
      </c>
      <c r="E191" s="3" t="s">
        <v>48</v>
      </c>
      <c r="F191" s="3" t="s">
        <v>49</v>
      </c>
      <c r="G191" s="2" t="str">
        <f t="shared" si="141"/>
        <v>Veľké zmluvy</v>
      </c>
      <c r="H191" s="5" t="s">
        <v>391</v>
      </c>
      <c r="I191" s="2" t="s">
        <v>392</v>
      </c>
      <c r="J191" s="2" t="s">
        <v>393</v>
      </c>
      <c r="K191" s="5">
        <v>45650276</v>
      </c>
      <c r="L191" s="2" t="s">
        <v>234</v>
      </c>
      <c r="M191" s="2" t="s">
        <v>394</v>
      </c>
      <c r="N191" s="6">
        <v>44095.733576388891</v>
      </c>
      <c r="O191" s="4">
        <v>9519051</v>
      </c>
      <c r="P191" s="2">
        <v>114533</v>
      </c>
      <c r="Q191" s="2" t="s">
        <v>395</v>
      </c>
      <c r="R191" s="2" t="s">
        <v>396</v>
      </c>
      <c r="S191" s="2" t="s">
        <v>162</v>
      </c>
      <c r="T191" s="2" t="s">
        <v>400</v>
      </c>
      <c r="W191" s="4">
        <v>288</v>
      </c>
      <c r="X191" s="4">
        <v>345.59999999999997</v>
      </c>
      <c r="Y191" s="4">
        <f t="shared" ref="Y191" si="207">INDEX(InternalRates,MATCH($S191,InternalRates01,FALSE),2)</f>
        <v>231.85833333333335</v>
      </c>
      <c r="Z191" s="3" t="str">
        <f t="shared" si="144"/>
        <v>Nie</v>
      </c>
      <c r="AA191" s="3" t="str">
        <f t="shared" si="145"/>
        <v>SLA</v>
      </c>
      <c r="AB191" s="4">
        <v>196</v>
      </c>
      <c r="AC191" s="4">
        <v>49</v>
      </c>
      <c r="AD191" s="3" t="s">
        <v>48</v>
      </c>
      <c r="AE191" s="6">
        <v>44509</v>
      </c>
      <c r="AF191" s="3" t="s">
        <v>59</v>
      </c>
      <c r="AG191" s="3" t="s">
        <v>49</v>
      </c>
      <c r="AH191" s="3">
        <f>YEAR(SrcDB[[#This Row],[Datum_zverejnenia]])</f>
        <v>2020</v>
      </c>
      <c r="AI191" s="3" cm="1">
        <f t="array" ref="AI191">COUNT(_xlfn.UNIQUE(_xlfn._xlws.FILTER(SrcDB[ID],SrcDB[Objednavatel_ICO]=$H191)))</f>
        <v>7</v>
      </c>
      <c r="AJ191" s="3" cm="1">
        <f t="array" ref="AJ191">COUNT(_xlfn.UNIQUE(_xlfn._xlws.FILTER(SrcDB[ID],SrcDB[Dodavatel_ICO]=$K191)))</f>
        <v>12</v>
      </c>
      <c r="AK191" s="3">
        <f t="shared" si="147"/>
        <v>0</v>
      </c>
      <c r="AL191" s="3">
        <f t="shared" si="148"/>
        <v>0</v>
      </c>
      <c r="AM191" s="17" t="str">
        <f>IF(SrcDB[[#This Row],[Pocet zmluv objednavatela]]&gt;3,SrcDB[[#This Row],[Objednavatel]],"Ostatné")</f>
        <v>Ministerstvo práce, sociálnych vecí a rodiny SR</v>
      </c>
      <c r="AN191" s="17" t="str">
        <f>IF(SrcDB[[#This Row],[Pocet zmluv dodavatela]]&gt;3,SrcDB[[#This Row],[Dodavatel]],"Ostatné")</f>
        <v>Atos IT Solutions and Services s.r.o. / Eviden Slovakia, s.r.o.</v>
      </c>
    </row>
    <row r="192" spans="1:40" x14ac:dyDescent="0.3">
      <c r="A192" s="2" t="s">
        <v>390</v>
      </c>
      <c r="B192" s="2">
        <v>4978247</v>
      </c>
      <c r="C192" s="3" t="str">
        <f t="shared" si="139"/>
        <v>Nejasné</v>
      </c>
      <c r="D192" s="3" t="str">
        <f t="shared" si="140"/>
        <v>Nejasné</v>
      </c>
      <c r="E192" s="3" t="s">
        <v>48</v>
      </c>
      <c r="F192" s="3" t="s">
        <v>49</v>
      </c>
      <c r="G192" s="2" t="str">
        <f t="shared" si="141"/>
        <v>Veľké zmluvy</v>
      </c>
      <c r="H192" s="5" t="s">
        <v>391</v>
      </c>
      <c r="I192" s="2" t="s">
        <v>392</v>
      </c>
      <c r="J192" s="2" t="s">
        <v>393</v>
      </c>
      <c r="K192" s="5">
        <v>45650276</v>
      </c>
      <c r="L192" s="2" t="s">
        <v>234</v>
      </c>
      <c r="M192" s="2" t="s">
        <v>394</v>
      </c>
      <c r="N192" s="6">
        <v>44095.733576388891</v>
      </c>
      <c r="O192" s="4">
        <v>9519051</v>
      </c>
      <c r="P192" s="2">
        <v>114533</v>
      </c>
      <c r="Q192" s="2" t="s">
        <v>395</v>
      </c>
      <c r="R192" s="2" t="s">
        <v>396</v>
      </c>
      <c r="S192" s="2" t="s">
        <v>162</v>
      </c>
      <c r="T192" s="2" t="s">
        <v>401</v>
      </c>
      <c r="W192" s="4">
        <v>672</v>
      </c>
      <c r="X192" s="4">
        <v>806.4</v>
      </c>
      <c r="Y192" s="4">
        <f t="shared" ref="Y192" si="208">INDEX(InternalRates,MATCH($S192,InternalRates01,FALSE),2)</f>
        <v>231.85833333333335</v>
      </c>
      <c r="Z192" s="3" t="str">
        <f t="shared" si="144"/>
        <v>Nie</v>
      </c>
      <c r="AA192" s="3" t="str">
        <f t="shared" si="145"/>
        <v>SLA</v>
      </c>
      <c r="AB192" s="4">
        <v>196</v>
      </c>
      <c r="AC192" s="4">
        <v>49</v>
      </c>
      <c r="AD192" s="3" t="s">
        <v>48</v>
      </c>
      <c r="AE192" s="6">
        <v>44509</v>
      </c>
      <c r="AF192" s="3" t="s">
        <v>59</v>
      </c>
      <c r="AG192" s="3" t="s">
        <v>49</v>
      </c>
      <c r="AH192" s="3">
        <f>YEAR(SrcDB[[#This Row],[Datum_zverejnenia]])</f>
        <v>2020</v>
      </c>
      <c r="AI192" s="3" cm="1">
        <f t="array" ref="AI192">COUNT(_xlfn.UNIQUE(_xlfn._xlws.FILTER(SrcDB[ID],SrcDB[Objednavatel_ICO]=$H192)))</f>
        <v>7</v>
      </c>
      <c r="AJ192" s="3" cm="1">
        <f t="array" ref="AJ192">COUNT(_xlfn.UNIQUE(_xlfn._xlws.FILTER(SrcDB[ID],SrcDB[Dodavatel_ICO]=$K192)))</f>
        <v>12</v>
      </c>
      <c r="AK192" s="3">
        <f t="shared" si="147"/>
        <v>0</v>
      </c>
      <c r="AL192" s="3">
        <f t="shared" si="148"/>
        <v>0</v>
      </c>
      <c r="AM192" s="17" t="str">
        <f>IF(SrcDB[[#This Row],[Pocet zmluv objednavatela]]&gt;3,SrcDB[[#This Row],[Objednavatel]],"Ostatné")</f>
        <v>Ministerstvo práce, sociálnych vecí a rodiny SR</v>
      </c>
      <c r="AN192" s="17" t="str">
        <f>IF(SrcDB[[#This Row],[Pocet zmluv dodavatela]]&gt;3,SrcDB[[#This Row],[Dodavatel]],"Ostatné")</f>
        <v>Atos IT Solutions and Services s.r.o. / Eviden Slovakia, s.r.o.</v>
      </c>
    </row>
    <row r="193" spans="1:40" x14ac:dyDescent="0.3">
      <c r="A193" s="2" t="s">
        <v>390</v>
      </c>
      <c r="B193" s="2">
        <v>4978247</v>
      </c>
      <c r="C193" s="3" t="str">
        <f t="shared" si="139"/>
        <v>Nejasné</v>
      </c>
      <c r="D193" s="3" t="str">
        <f t="shared" si="140"/>
        <v>Nejasné</v>
      </c>
      <c r="E193" s="3" t="s">
        <v>48</v>
      </c>
      <c r="F193" s="3" t="s">
        <v>49</v>
      </c>
      <c r="G193" s="2" t="str">
        <f t="shared" si="141"/>
        <v>Veľké zmluvy</v>
      </c>
      <c r="H193" s="5" t="s">
        <v>391</v>
      </c>
      <c r="I193" s="2" t="s">
        <v>392</v>
      </c>
      <c r="J193" s="2" t="s">
        <v>393</v>
      </c>
      <c r="K193" s="5">
        <v>45650276</v>
      </c>
      <c r="L193" s="2" t="s">
        <v>234</v>
      </c>
      <c r="M193" s="2" t="s">
        <v>394</v>
      </c>
      <c r="N193" s="6">
        <v>44095.733576388891</v>
      </c>
      <c r="O193" s="4">
        <v>9519051</v>
      </c>
      <c r="P193" s="2">
        <v>114533</v>
      </c>
      <c r="Q193" s="2" t="s">
        <v>395</v>
      </c>
      <c r="R193" s="2" t="s">
        <v>396</v>
      </c>
      <c r="S193" s="2" t="s">
        <v>162</v>
      </c>
      <c r="T193" s="2" t="s">
        <v>402</v>
      </c>
      <c r="W193" s="4">
        <v>456</v>
      </c>
      <c r="X193" s="4">
        <v>547.19999999999993</v>
      </c>
      <c r="Y193" s="4">
        <f t="shared" ref="Y193" si="209">INDEX(InternalRates,MATCH($S193,InternalRates01,FALSE),2)</f>
        <v>231.85833333333335</v>
      </c>
      <c r="Z193" s="3" t="str">
        <f t="shared" si="144"/>
        <v>Nie</v>
      </c>
      <c r="AA193" s="3" t="str">
        <f t="shared" si="145"/>
        <v>SLA</v>
      </c>
      <c r="AB193" s="4">
        <v>378</v>
      </c>
      <c r="AC193" s="4">
        <v>94.5</v>
      </c>
      <c r="AD193" s="3" t="s">
        <v>48</v>
      </c>
      <c r="AE193" s="6">
        <v>44509</v>
      </c>
      <c r="AF193" s="3" t="s">
        <v>59</v>
      </c>
      <c r="AG193" s="3" t="s">
        <v>49</v>
      </c>
      <c r="AH193" s="3">
        <f>YEAR(SrcDB[[#This Row],[Datum_zverejnenia]])</f>
        <v>2020</v>
      </c>
      <c r="AI193" s="3" cm="1">
        <f t="array" ref="AI193">COUNT(_xlfn.UNIQUE(_xlfn._xlws.FILTER(SrcDB[ID],SrcDB[Objednavatel_ICO]=$H193)))</f>
        <v>7</v>
      </c>
      <c r="AJ193" s="3" cm="1">
        <f t="array" ref="AJ193">COUNT(_xlfn.UNIQUE(_xlfn._xlws.FILTER(SrcDB[ID],SrcDB[Dodavatel_ICO]=$K193)))</f>
        <v>12</v>
      </c>
      <c r="AK193" s="3">
        <f t="shared" si="147"/>
        <v>0</v>
      </c>
      <c r="AL193" s="3">
        <f t="shared" si="148"/>
        <v>0</v>
      </c>
      <c r="AM193" s="17" t="str">
        <f>IF(SrcDB[[#This Row],[Pocet zmluv objednavatela]]&gt;3,SrcDB[[#This Row],[Objednavatel]],"Ostatné")</f>
        <v>Ministerstvo práce, sociálnych vecí a rodiny SR</v>
      </c>
      <c r="AN193" s="17" t="str">
        <f>IF(SrcDB[[#This Row],[Pocet zmluv dodavatela]]&gt;3,SrcDB[[#This Row],[Dodavatel]],"Ostatné")</f>
        <v>Atos IT Solutions and Services s.r.o. / Eviden Slovakia, s.r.o.</v>
      </c>
    </row>
    <row r="194" spans="1:40" x14ac:dyDescent="0.3">
      <c r="A194" s="2" t="s">
        <v>390</v>
      </c>
      <c r="B194" s="2">
        <v>4978247</v>
      </c>
      <c r="C194" s="3" t="str">
        <f t="shared" ref="C194:C257" si="210">IF(OR(NOT(ISERROR(FIND("O DIEL",UPPER($A194)))),NOT(ISERROR(FIND("O IMPLEM",UPPER($A194)))))=TRUE,"Áno",IF(OR(NOT(ISERROR(FIND("PODPOR",UPPER($A194)))),NOT(ISERROR(FIND("SLA",UPPER($A194)))),NOT(ISERROR(FIND("SERVIS",UPPER($A194)))))=TRUE,"Nie","Nejasné"))</f>
        <v>Nejasné</v>
      </c>
      <c r="D194" s="3" t="str">
        <f t="shared" ref="D194:D257" si="211">IF(OR(NOT(ISERROR(FIND("PODPOR",UPPER($A194)))),NOT(ISERROR(FIND("SLA",UPPER($A194)))),NOT(ISERROR(FIND("SERVIS",UPPER($A194)))))=TRUE,"Áno",IF(OR(NOT(ISERROR(FIND("O DIEL",UPPER($A194)))),NOT(ISERROR(FIND("O IMPLEM",UPPER($A194)))))=TRUE,"Nie","Nejasné"))</f>
        <v>Nejasné</v>
      </c>
      <c r="E194" s="3" t="s">
        <v>48</v>
      </c>
      <c r="F194" s="3" t="s">
        <v>49</v>
      </c>
      <c r="G194" s="2" t="str">
        <f t="shared" ref="G194:G257" si="212">IF($O194&gt;=8000000,"Veľké zmluvy",IF($O194&gt;=1000000,"Stredné zmluvy","Malé zmluvy"))</f>
        <v>Veľké zmluvy</v>
      </c>
      <c r="H194" s="5" t="s">
        <v>391</v>
      </c>
      <c r="I194" s="2" t="s">
        <v>392</v>
      </c>
      <c r="J194" s="2" t="s">
        <v>393</v>
      </c>
      <c r="K194" s="5">
        <v>45650276</v>
      </c>
      <c r="L194" s="2" t="s">
        <v>234</v>
      </c>
      <c r="M194" s="2" t="s">
        <v>394</v>
      </c>
      <c r="N194" s="6">
        <v>44095.733576388891</v>
      </c>
      <c r="O194" s="4">
        <v>9519051</v>
      </c>
      <c r="P194" s="2">
        <v>114533</v>
      </c>
      <c r="Q194" s="2" t="s">
        <v>395</v>
      </c>
      <c r="R194" s="2" t="s">
        <v>396</v>
      </c>
      <c r="S194" s="2" t="s">
        <v>162</v>
      </c>
      <c r="T194" s="2" t="s">
        <v>403</v>
      </c>
      <c r="W194" s="4">
        <v>671.76</v>
      </c>
      <c r="X194" s="4">
        <v>806.11199999999997</v>
      </c>
      <c r="Y194" s="4">
        <f t="shared" ref="Y194" si="213">INDEX(InternalRates,MATCH($S194,InternalRates01,FALSE),2)</f>
        <v>231.85833333333335</v>
      </c>
      <c r="Z194" s="3" t="str">
        <f t="shared" si="144"/>
        <v>Nie</v>
      </c>
      <c r="AA194" s="3" t="str">
        <f t="shared" si="145"/>
        <v>SLA</v>
      </c>
      <c r="AB194" s="4">
        <v>1578</v>
      </c>
      <c r="AC194" s="4">
        <v>394.5</v>
      </c>
      <c r="AD194" s="3" t="s">
        <v>48</v>
      </c>
      <c r="AE194" s="6">
        <v>44509</v>
      </c>
      <c r="AF194" s="3" t="s">
        <v>59</v>
      </c>
      <c r="AG194" s="3" t="s">
        <v>49</v>
      </c>
      <c r="AH194" s="3">
        <f>YEAR(SrcDB[[#This Row],[Datum_zverejnenia]])</f>
        <v>2020</v>
      </c>
      <c r="AI194" s="3" cm="1">
        <f t="array" ref="AI194">COUNT(_xlfn.UNIQUE(_xlfn._xlws.FILTER(SrcDB[ID],SrcDB[Objednavatel_ICO]=$H194)))</f>
        <v>7</v>
      </c>
      <c r="AJ194" s="3" cm="1">
        <f t="array" ref="AJ194">COUNT(_xlfn.UNIQUE(_xlfn._xlws.FILTER(SrcDB[ID],SrcDB[Dodavatel_ICO]=$K194)))</f>
        <v>12</v>
      </c>
      <c r="AK194" s="3">
        <f t="shared" si="147"/>
        <v>0</v>
      </c>
      <c r="AL194" s="3">
        <f t="shared" si="148"/>
        <v>0</v>
      </c>
      <c r="AM194" s="17" t="str">
        <f>IF(SrcDB[[#This Row],[Pocet zmluv objednavatela]]&gt;3,SrcDB[[#This Row],[Objednavatel]],"Ostatné")</f>
        <v>Ministerstvo práce, sociálnych vecí a rodiny SR</v>
      </c>
      <c r="AN194" s="17" t="str">
        <f>IF(SrcDB[[#This Row],[Pocet zmluv dodavatela]]&gt;3,SrcDB[[#This Row],[Dodavatel]],"Ostatné")</f>
        <v>Atos IT Solutions and Services s.r.o. / Eviden Slovakia, s.r.o.</v>
      </c>
    </row>
    <row r="195" spans="1:40" x14ac:dyDescent="0.3">
      <c r="A195" s="2" t="s">
        <v>390</v>
      </c>
      <c r="B195" s="2">
        <v>4978247</v>
      </c>
      <c r="C195" s="3" t="str">
        <f t="shared" si="210"/>
        <v>Nejasné</v>
      </c>
      <c r="D195" s="3" t="str">
        <f t="shared" si="211"/>
        <v>Nejasné</v>
      </c>
      <c r="E195" s="3" t="s">
        <v>48</v>
      </c>
      <c r="F195" s="3" t="s">
        <v>49</v>
      </c>
      <c r="G195" s="2" t="str">
        <f t="shared" si="212"/>
        <v>Veľké zmluvy</v>
      </c>
      <c r="H195" s="5" t="s">
        <v>391</v>
      </c>
      <c r="I195" s="2" t="s">
        <v>392</v>
      </c>
      <c r="J195" s="2" t="s">
        <v>393</v>
      </c>
      <c r="K195" s="5">
        <v>45650276</v>
      </c>
      <c r="L195" s="2" t="s">
        <v>234</v>
      </c>
      <c r="M195" s="2" t="s">
        <v>394</v>
      </c>
      <c r="N195" s="6">
        <v>44095.733576388891</v>
      </c>
      <c r="O195" s="4">
        <v>9519051</v>
      </c>
      <c r="P195" s="2">
        <v>114533</v>
      </c>
      <c r="Q195" s="2" t="s">
        <v>395</v>
      </c>
      <c r="R195" s="2" t="s">
        <v>396</v>
      </c>
      <c r="S195" s="2" t="s">
        <v>162</v>
      </c>
      <c r="T195" s="2" t="s">
        <v>404</v>
      </c>
      <c r="W195" s="4">
        <v>672</v>
      </c>
      <c r="X195" s="4">
        <v>806.4</v>
      </c>
      <c r="Y195" s="4">
        <f t="shared" ref="Y195" si="214">INDEX(InternalRates,MATCH($S195,InternalRates01,FALSE),2)</f>
        <v>231.85833333333335</v>
      </c>
      <c r="Z195" s="3" t="str">
        <f t="shared" ref="Z195:Z258" si="215">IF(W195&gt;0,IF(Y195&gt;W195,"Áno","Nie"),"Nie")</f>
        <v>Nie</v>
      </c>
      <c r="AA195" s="3" t="str">
        <f t="shared" ref="AA195:AA258" si="216">IF(E195="Nie","SLA",IF(F195="Nie","ZoD","SLA+ZoD"))</f>
        <v>SLA</v>
      </c>
      <c r="AB195" s="4">
        <v>196</v>
      </c>
      <c r="AC195" s="4">
        <v>49</v>
      </c>
      <c r="AD195" s="3" t="s">
        <v>48</v>
      </c>
      <c r="AE195" s="6">
        <v>44509</v>
      </c>
      <c r="AF195" s="3" t="s">
        <v>59</v>
      </c>
      <c r="AG195" s="3" t="s">
        <v>49</v>
      </c>
      <c r="AH195" s="3">
        <f>YEAR(SrcDB[[#This Row],[Datum_zverejnenia]])</f>
        <v>2020</v>
      </c>
      <c r="AI195" s="3" cm="1">
        <f t="array" ref="AI195">COUNT(_xlfn.UNIQUE(_xlfn._xlws.FILTER(SrcDB[ID],SrcDB[Objednavatel_ICO]=$H195)))</f>
        <v>7</v>
      </c>
      <c r="AJ195" s="3" cm="1">
        <f t="array" ref="AJ195">COUNT(_xlfn.UNIQUE(_xlfn._xlws.FILTER(SrcDB[ID],SrcDB[Dodavatel_ICO]=$K195)))</f>
        <v>12</v>
      </c>
      <c r="AK195" s="3">
        <f t="shared" si="147"/>
        <v>0</v>
      </c>
      <c r="AL195" s="3">
        <f t="shared" si="148"/>
        <v>0</v>
      </c>
      <c r="AM195" s="17" t="str">
        <f>IF(SrcDB[[#This Row],[Pocet zmluv objednavatela]]&gt;3,SrcDB[[#This Row],[Objednavatel]],"Ostatné")</f>
        <v>Ministerstvo práce, sociálnych vecí a rodiny SR</v>
      </c>
      <c r="AN195" s="17" t="str">
        <f>IF(SrcDB[[#This Row],[Pocet zmluv dodavatela]]&gt;3,SrcDB[[#This Row],[Dodavatel]],"Ostatné")</f>
        <v>Atos IT Solutions and Services s.r.o. / Eviden Slovakia, s.r.o.</v>
      </c>
    </row>
    <row r="196" spans="1:40" x14ac:dyDescent="0.3">
      <c r="A196" s="2" t="s">
        <v>390</v>
      </c>
      <c r="B196" s="2">
        <v>4978247</v>
      </c>
      <c r="C196" s="3" t="str">
        <f t="shared" si="210"/>
        <v>Nejasné</v>
      </c>
      <c r="D196" s="3" t="str">
        <f t="shared" si="211"/>
        <v>Nejasné</v>
      </c>
      <c r="E196" s="3" t="s">
        <v>48</v>
      </c>
      <c r="F196" s="3" t="s">
        <v>49</v>
      </c>
      <c r="G196" s="2" t="str">
        <f t="shared" si="212"/>
        <v>Veľké zmluvy</v>
      </c>
      <c r="H196" s="5" t="s">
        <v>391</v>
      </c>
      <c r="I196" s="2" t="s">
        <v>392</v>
      </c>
      <c r="J196" s="2" t="s">
        <v>393</v>
      </c>
      <c r="K196" s="5">
        <v>45650276</v>
      </c>
      <c r="L196" s="2" t="s">
        <v>234</v>
      </c>
      <c r="M196" s="2" t="s">
        <v>394</v>
      </c>
      <c r="N196" s="6">
        <v>44095.733576388891</v>
      </c>
      <c r="O196" s="4">
        <v>9519051</v>
      </c>
      <c r="P196" s="2">
        <v>114533</v>
      </c>
      <c r="Q196" s="2" t="s">
        <v>395</v>
      </c>
      <c r="R196" s="2" t="s">
        <v>396</v>
      </c>
      <c r="S196" s="2" t="s">
        <v>162</v>
      </c>
      <c r="T196" s="2" t="s">
        <v>405</v>
      </c>
      <c r="W196" s="4">
        <v>672</v>
      </c>
      <c r="X196" s="4">
        <v>806.4</v>
      </c>
      <c r="Y196" s="4">
        <f t="shared" ref="Y196" si="217">INDEX(InternalRates,MATCH($S196,InternalRates01,FALSE),2)</f>
        <v>231.85833333333335</v>
      </c>
      <c r="Z196" s="3" t="str">
        <f t="shared" si="215"/>
        <v>Nie</v>
      </c>
      <c r="AA196" s="3" t="str">
        <f t="shared" si="216"/>
        <v>SLA</v>
      </c>
      <c r="AB196" s="4">
        <v>678</v>
      </c>
      <c r="AC196" s="4">
        <v>169.5</v>
      </c>
      <c r="AD196" s="3" t="s">
        <v>48</v>
      </c>
      <c r="AE196" s="6">
        <v>44509</v>
      </c>
      <c r="AF196" s="3" t="s">
        <v>59</v>
      </c>
      <c r="AG196" s="3" t="s">
        <v>49</v>
      </c>
      <c r="AH196" s="3">
        <f>YEAR(SrcDB[[#This Row],[Datum_zverejnenia]])</f>
        <v>2020</v>
      </c>
      <c r="AI196" s="3" cm="1">
        <f t="array" ref="AI196">COUNT(_xlfn.UNIQUE(_xlfn._xlws.FILTER(SrcDB[ID],SrcDB[Objednavatel_ICO]=$H196)))</f>
        <v>7</v>
      </c>
      <c r="AJ196" s="3" cm="1">
        <f t="array" ref="AJ196">COUNT(_xlfn.UNIQUE(_xlfn._xlws.FILTER(SrcDB[ID],SrcDB[Dodavatel_ICO]=$K196)))</f>
        <v>12</v>
      </c>
      <c r="AK196" s="3">
        <f t="shared" ref="AK196:AK259" si="218">IF($H195&lt;&gt;$H196,1,IF($B195&lt;&gt;$B196,1,0))</f>
        <v>0</v>
      </c>
      <c r="AL196" s="3">
        <f t="shared" ref="AL196:AL259" si="219">IF($K195&lt;&gt;$K196,1,IF($B195&lt;&gt;$B196,1,0))</f>
        <v>0</v>
      </c>
      <c r="AM196" s="17" t="str">
        <f>IF(SrcDB[[#This Row],[Pocet zmluv objednavatela]]&gt;3,SrcDB[[#This Row],[Objednavatel]],"Ostatné")</f>
        <v>Ministerstvo práce, sociálnych vecí a rodiny SR</v>
      </c>
      <c r="AN196" s="17" t="str">
        <f>IF(SrcDB[[#This Row],[Pocet zmluv dodavatela]]&gt;3,SrcDB[[#This Row],[Dodavatel]],"Ostatné")</f>
        <v>Atos IT Solutions and Services s.r.o. / Eviden Slovakia, s.r.o.</v>
      </c>
    </row>
    <row r="197" spans="1:40" x14ac:dyDescent="0.3">
      <c r="A197" s="2" t="s">
        <v>390</v>
      </c>
      <c r="B197" s="2">
        <v>4978247</v>
      </c>
      <c r="C197" s="3" t="str">
        <f t="shared" si="210"/>
        <v>Nejasné</v>
      </c>
      <c r="D197" s="3" t="str">
        <f t="shared" si="211"/>
        <v>Nejasné</v>
      </c>
      <c r="E197" s="3" t="s">
        <v>48</v>
      </c>
      <c r="F197" s="3" t="s">
        <v>49</v>
      </c>
      <c r="G197" s="2" t="str">
        <f t="shared" si="212"/>
        <v>Veľké zmluvy</v>
      </c>
      <c r="H197" s="5" t="s">
        <v>391</v>
      </c>
      <c r="I197" s="2" t="s">
        <v>392</v>
      </c>
      <c r="J197" s="2" t="s">
        <v>393</v>
      </c>
      <c r="K197" s="5">
        <v>45650276</v>
      </c>
      <c r="L197" s="2" t="s">
        <v>234</v>
      </c>
      <c r="M197" s="2" t="s">
        <v>394</v>
      </c>
      <c r="N197" s="6">
        <v>44095.733576388891</v>
      </c>
      <c r="O197" s="4">
        <v>9519051</v>
      </c>
      <c r="P197" s="2">
        <v>114533</v>
      </c>
      <c r="Q197" s="2" t="s">
        <v>395</v>
      </c>
      <c r="R197" s="2" t="s">
        <v>396</v>
      </c>
      <c r="S197" s="2" t="s">
        <v>162</v>
      </c>
      <c r="T197" s="2" t="s">
        <v>406</v>
      </c>
      <c r="W197" s="4">
        <v>672</v>
      </c>
      <c r="X197" s="4">
        <v>806.4</v>
      </c>
      <c r="Y197" s="4">
        <f t="shared" ref="Y197" si="220">INDEX(InternalRates,MATCH($S197,InternalRates01,FALSE),2)</f>
        <v>231.85833333333335</v>
      </c>
      <c r="Z197" s="3" t="str">
        <f t="shared" si="215"/>
        <v>Nie</v>
      </c>
      <c r="AA197" s="3" t="str">
        <f t="shared" si="216"/>
        <v>SLA</v>
      </c>
      <c r="AB197" s="4">
        <v>1242</v>
      </c>
      <c r="AC197" s="4">
        <v>310.5</v>
      </c>
      <c r="AD197" s="3" t="s">
        <v>48</v>
      </c>
      <c r="AE197" s="6">
        <v>44509</v>
      </c>
      <c r="AF197" s="3" t="s">
        <v>59</v>
      </c>
      <c r="AG197" s="3" t="s">
        <v>49</v>
      </c>
      <c r="AH197" s="3">
        <f>YEAR(SrcDB[[#This Row],[Datum_zverejnenia]])</f>
        <v>2020</v>
      </c>
      <c r="AI197" s="3" cm="1">
        <f t="array" ref="AI197">COUNT(_xlfn.UNIQUE(_xlfn._xlws.FILTER(SrcDB[ID],SrcDB[Objednavatel_ICO]=$H197)))</f>
        <v>7</v>
      </c>
      <c r="AJ197" s="3" cm="1">
        <f t="array" ref="AJ197">COUNT(_xlfn.UNIQUE(_xlfn._xlws.FILTER(SrcDB[ID],SrcDB[Dodavatel_ICO]=$K197)))</f>
        <v>12</v>
      </c>
      <c r="AK197" s="3">
        <f t="shared" si="218"/>
        <v>0</v>
      </c>
      <c r="AL197" s="3">
        <f t="shared" si="219"/>
        <v>0</v>
      </c>
      <c r="AM197" s="17" t="str">
        <f>IF(SrcDB[[#This Row],[Pocet zmluv objednavatela]]&gt;3,SrcDB[[#This Row],[Objednavatel]],"Ostatné")</f>
        <v>Ministerstvo práce, sociálnych vecí a rodiny SR</v>
      </c>
      <c r="AN197" s="17" t="str">
        <f>IF(SrcDB[[#This Row],[Pocet zmluv dodavatela]]&gt;3,SrcDB[[#This Row],[Dodavatel]],"Ostatné")</f>
        <v>Atos IT Solutions and Services s.r.o. / Eviden Slovakia, s.r.o.</v>
      </c>
    </row>
    <row r="198" spans="1:40" x14ac:dyDescent="0.3">
      <c r="A198" s="2" t="s">
        <v>390</v>
      </c>
      <c r="B198" s="2">
        <v>4978247</v>
      </c>
      <c r="C198" s="3" t="str">
        <f t="shared" si="210"/>
        <v>Nejasné</v>
      </c>
      <c r="D198" s="3" t="str">
        <f t="shared" si="211"/>
        <v>Nejasné</v>
      </c>
      <c r="E198" s="3" t="s">
        <v>48</v>
      </c>
      <c r="F198" s="3" t="s">
        <v>49</v>
      </c>
      <c r="G198" s="2" t="str">
        <f t="shared" si="212"/>
        <v>Veľké zmluvy</v>
      </c>
      <c r="H198" s="5" t="s">
        <v>391</v>
      </c>
      <c r="I198" s="2" t="s">
        <v>392</v>
      </c>
      <c r="J198" s="2" t="s">
        <v>393</v>
      </c>
      <c r="K198" s="5">
        <v>45650276</v>
      </c>
      <c r="L198" s="2" t="s">
        <v>234</v>
      </c>
      <c r="M198" s="2" t="s">
        <v>394</v>
      </c>
      <c r="N198" s="6">
        <v>44095.733576388891</v>
      </c>
      <c r="O198" s="4">
        <v>9519051</v>
      </c>
      <c r="P198" s="2">
        <v>114533</v>
      </c>
      <c r="Q198" s="2" t="s">
        <v>395</v>
      </c>
      <c r="R198" s="2" t="s">
        <v>396</v>
      </c>
      <c r="S198" s="2" t="s">
        <v>162</v>
      </c>
      <c r="T198" s="2" t="s">
        <v>407</v>
      </c>
      <c r="W198" s="4">
        <v>672</v>
      </c>
      <c r="X198" s="4">
        <v>806.4</v>
      </c>
      <c r="Y198" s="4">
        <f t="shared" ref="Y198" si="221">INDEX(InternalRates,MATCH($S198,InternalRates01,FALSE),2)</f>
        <v>231.85833333333335</v>
      </c>
      <c r="Z198" s="3" t="str">
        <f t="shared" si="215"/>
        <v>Nie</v>
      </c>
      <c r="AA198" s="3" t="str">
        <f t="shared" si="216"/>
        <v>SLA</v>
      </c>
      <c r="AB198" s="4">
        <v>196</v>
      </c>
      <c r="AC198" s="4">
        <v>49</v>
      </c>
      <c r="AD198" s="3" t="s">
        <v>48</v>
      </c>
      <c r="AE198" s="6">
        <v>44509</v>
      </c>
      <c r="AF198" s="3" t="s">
        <v>59</v>
      </c>
      <c r="AG198" s="3" t="s">
        <v>49</v>
      </c>
      <c r="AH198" s="3">
        <f>YEAR(SrcDB[[#This Row],[Datum_zverejnenia]])</f>
        <v>2020</v>
      </c>
      <c r="AI198" s="3" cm="1">
        <f t="array" ref="AI198">COUNT(_xlfn.UNIQUE(_xlfn._xlws.FILTER(SrcDB[ID],SrcDB[Objednavatel_ICO]=$H198)))</f>
        <v>7</v>
      </c>
      <c r="AJ198" s="3" cm="1">
        <f t="array" ref="AJ198">COUNT(_xlfn.UNIQUE(_xlfn._xlws.FILTER(SrcDB[ID],SrcDB[Dodavatel_ICO]=$K198)))</f>
        <v>12</v>
      </c>
      <c r="AK198" s="3">
        <f t="shared" si="218"/>
        <v>0</v>
      </c>
      <c r="AL198" s="3">
        <f t="shared" si="219"/>
        <v>0</v>
      </c>
      <c r="AM198" s="17" t="str">
        <f>IF(SrcDB[[#This Row],[Pocet zmluv objednavatela]]&gt;3,SrcDB[[#This Row],[Objednavatel]],"Ostatné")</f>
        <v>Ministerstvo práce, sociálnych vecí a rodiny SR</v>
      </c>
      <c r="AN198" s="17" t="str">
        <f>IF(SrcDB[[#This Row],[Pocet zmluv dodavatela]]&gt;3,SrcDB[[#This Row],[Dodavatel]],"Ostatné")</f>
        <v>Atos IT Solutions and Services s.r.o. / Eviden Slovakia, s.r.o.</v>
      </c>
    </row>
    <row r="199" spans="1:40" x14ac:dyDescent="0.3">
      <c r="A199" s="2" t="s">
        <v>390</v>
      </c>
      <c r="B199" s="2">
        <v>4978247</v>
      </c>
      <c r="C199" s="3" t="str">
        <f t="shared" si="210"/>
        <v>Nejasné</v>
      </c>
      <c r="D199" s="3" t="str">
        <f t="shared" si="211"/>
        <v>Nejasné</v>
      </c>
      <c r="E199" s="3" t="s">
        <v>48</v>
      </c>
      <c r="F199" s="3" t="s">
        <v>49</v>
      </c>
      <c r="G199" s="2" t="str">
        <f t="shared" si="212"/>
        <v>Veľké zmluvy</v>
      </c>
      <c r="H199" s="5" t="s">
        <v>391</v>
      </c>
      <c r="I199" s="2" t="s">
        <v>392</v>
      </c>
      <c r="J199" s="2" t="s">
        <v>393</v>
      </c>
      <c r="K199" s="5">
        <v>45650276</v>
      </c>
      <c r="L199" s="2" t="s">
        <v>234</v>
      </c>
      <c r="M199" s="2" t="s">
        <v>394</v>
      </c>
      <c r="N199" s="6">
        <v>44095.733576388891</v>
      </c>
      <c r="O199" s="4">
        <v>9519051</v>
      </c>
      <c r="P199" s="2">
        <v>114533</v>
      </c>
      <c r="Q199" s="2" t="s">
        <v>395</v>
      </c>
      <c r="R199" s="2" t="s">
        <v>396</v>
      </c>
      <c r="S199" s="2" t="s">
        <v>162</v>
      </c>
      <c r="T199" s="2" t="s">
        <v>408</v>
      </c>
      <c r="W199" s="4">
        <v>672</v>
      </c>
      <c r="X199" s="4">
        <v>806.4</v>
      </c>
      <c r="Y199" s="4">
        <f t="shared" ref="Y199" si="222">INDEX(InternalRates,MATCH($S199,InternalRates01,FALSE),2)</f>
        <v>231.85833333333335</v>
      </c>
      <c r="Z199" s="3" t="str">
        <f t="shared" si="215"/>
        <v>Nie</v>
      </c>
      <c r="AA199" s="3" t="str">
        <f t="shared" si="216"/>
        <v>SLA</v>
      </c>
      <c r="AB199" s="4">
        <v>400</v>
      </c>
      <c r="AC199" s="4">
        <v>100</v>
      </c>
      <c r="AD199" s="3" t="s">
        <v>48</v>
      </c>
      <c r="AE199" s="6">
        <v>44509</v>
      </c>
      <c r="AF199" s="3" t="s">
        <v>59</v>
      </c>
      <c r="AG199" s="3" t="s">
        <v>49</v>
      </c>
      <c r="AH199" s="3">
        <f>YEAR(SrcDB[[#This Row],[Datum_zverejnenia]])</f>
        <v>2020</v>
      </c>
      <c r="AI199" s="3" cm="1">
        <f t="array" ref="AI199">COUNT(_xlfn.UNIQUE(_xlfn._xlws.FILTER(SrcDB[ID],SrcDB[Objednavatel_ICO]=$H199)))</f>
        <v>7</v>
      </c>
      <c r="AJ199" s="3" cm="1">
        <f t="array" ref="AJ199">COUNT(_xlfn.UNIQUE(_xlfn._xlws.FILTER(SrcDB[ID],SrcDB[Dodavatel_ICO]=$K199)))</f>
        <v>12</v>
      </c>
      <c r="AK199" s="3">
        <f t="shared" si="218"/>
        <v>0</v>
      </c>
      <c r="AL199" s="3">
        <f t="shared" si="219"/>
        <v>0</v>
      </c>
      <c r="AM199" s="17" t="str">
        <f>IF(SrcDB[[#This Row],[Pocet zmluv objednavatela]]&gt;3,SrcDB[[#This Row],[Objednavatel]],"Ostatné")</f>
        <v>Ministerstvo práce, sociálnych vecí a rodiny SR</v>
      </c>
      <c r="AN199" s="17" t="str">
        <f>IF(SrcDB[[#This Row],[Pocet zmluv dodavatela]]&gt;3,SrcDB[[#This Row],[Dodavatel]],"Ostatné")</f>
        <v>Atos IT Solutions and Services s.r.o. / Eviden Slovakia, s.r.o.</v>
      </c>
    </row>
    <row r="200" spans="1:40" x14ac:dyDescent="0.3">
      <c r="A200" s="2" t="s">
        <v>390</v>
      </c>
      <c r="B200" s="2">
        <v>4978247</v>
      </c>
      <c r="C200" s="3" t="str">
        <f t="shared" si="210"/>
        <v>Nejasné</v>
      </c>
      <c r="D200" s="3" t="str">
        <f t="shared" si="211"/>
        <v>Nejasné</v>
      </c>
      <c r="E200" s="3" t="s">
        <v>48</v>
      </c>
      <c r="F200" s="3" t="s">
        <v>49</v>
      </c>
      <c r="G200" s="2" t="str">
        <f t="shared" si="212"/>
        <v>Veľké zmluvy</v>
      </c>
      <c r="H200" s="5" t="s">
        <v>391</v>
      </c>
      <c r="I200" s="2" t="s">
        <v>392</v>
      </c>
      <c r="J200" s="2" t="s">
        <v>393</v>
      </c>
      <c r="K200" s="5">
        <v>45650276</v>
      </c>
      <c r="L200" s="2" t="s">
        <v>234</v>
      </c>
      <c r="M200" s="2" t="s">
        <v>394</v>
      </c>
      <c r="N200" s="6">
        <v>44095.733576388891</v>
      </c>
      <c r="O200" s="4">
        <v>9519051</v>
      </c>
      <c r="P200" s="2">
        <v>114533</v>
      </c>
      <c r="Q200" s="2" t="s">
        <v>395</v>
      </c>
      <c r="R200" s="2" t="s">
        <v>396</v>
      </c>
      <c r="S200" s="2" t="s">
        <v>162</v>
      </c>
      <c r="T200" s="2" t="s">
        <v>409</v>
      </c>
      <c r="W200" s="4">
        <v>472</v>
      </c>
      <c r="X200" s="4">
        <v>566.4</v>
      </c>
      <c r="Y200" s="4">
        <f t="shared" ref="Y200" si="223">INDEX(InternalRates,MATCH($S200,InternalRates01,FALSE),2)</f>
        <v>231.85833333333335</v>
      </c>
      <c r="Z200" s="3" t="str">
        <f t="shared" si="215"/>
        <v>Nie</v>
      </c>
      <c r="AA200" s="3" t="str">
        <f t="shared" si="216"/>
        <v>SLA</v>
      </c>
      <c r="AB200" s="4">
        <v>2538</v>
      </c>
      <c r="AC200" s="4">
        <v>634.5</v>
      </c>
      <c r="AD200" s="3" t="s">
        <v>48</v>
      </c>
      <c r="AE200" s="6">
        <v>44509</v>
      </c>
      <c r="AF200" s="3" t="s">
        <v>59</v>
      </c>
      <c r="AG200" s="3" t="s">
        <v>49</v>
      </c>
      <c r="AH200" s="3">
        <f>YEAR(SrcDB[[#This Row],[Datum_zverejnenia]])</f>
        <v>2020</v>
      </c>
      <c r="AI200" s="3" cm="1">
        <f t="array" ref="AI200">COUNT(_xlfn.UNIQUE(_xlfn._xlws.FILTER(SrcDB[ID],SrcDB[Objednavatel_ICO]=$H200)))</f>
        <v>7</v>
      </c>
      <c r="AJ200" s="3" cm="1">
        <f t="array" ref="AJ200">COUNT(_xlfn.UNIQUE(_xlfn._xlws.FILTER(SrcDB[ID],SrcDB[Dodavatel_ICO]=$K200)))</f>
        <v>12</v>
      </c>
      <c r="AK200" s="3">
        <f t="shared" si="218"/>
        <v>0</v>
      </c>
      <c r="AL200" s="3">
        <f t="shared" si="219"/>
        <v>0</v>
      </c>
      <c r="AM200" s="17" t="str">
        <f>IF(SrcDB[[#This Row],[Pocet zmluv objednavatela]]&gt;3,SrcDB[[#This Row],[Objednavatel]],"Ostatné")</f>
        <v>Ministerstvo práce, sociálnych vecí a rodiny SR</v>
      </c>
      <c r="AN200" s="17" t="str">
        <f>IF(SrcDB[[#This Row],[Pocet zmluv dodavatela]]&gt;3,SrcDB[[#This Row],[Dodavatel]],"Ostatné")</f>
        <v>Atos IT Solutions and Services s.r.o. / Eviden Slovakia, s.r.o.</v>
      </c>
    </row>
    <row r="201" spans="1:40" x14ac:dyDescent="0.3">
      <c r="A201" s="2" t="s">
        <v>390</v>
      </c>
      <c r="B201" s="2">
        <v>4978247</v>
      </c>
      <c r="C201" s="3" t="str">
        <f t="shared" si="210"/>
        <v>Nejasné</v>
      </c>
      <c r="D201" s="3" t="str">
        <f t="shared" si="211"/>
        <v>Nejasné</v>
      </c>
      <c r="E201" s="3" t="s">
        <v>48</v>
      </c>
      <c r="F201" s="3" t="s">
        <v>49</v>
      </c>
      <c r="G201" s="2" t="str">
        <f t="shared" si="212"/>
        <v>Veľké zmluvy</v>
      </c>
      <c r="H201" s="5" t="s">
        <v>391</v>
      </c>
      <c r="I201" s="2" t="s">
        <v>392</v>
      </c>
      <c r="J201" s="2" t="s">
        <v>393</v>
      </c>
      <c r="K201" s="5">
        <v>45650276</v>
      </c>
      <c r="L201" s="2" t="s">
        <v>234</v>
      </c>
      <c r="M201" s="2" t="s">
        <v>394</v>
      </c>
      <c r="N201" s="6">
        <v>44095.733576388891</v>
      </c>
      <c r="O201" s="4">
        <v>9519051</v>
      </c>
      <c r="P201" s="2">
        <v>114533</v>
      </c>
      <c r="Q201" s="2" t="s">
        <v>395</v>
      </c>
      <c r="R201" s="2" t="s">
        <v>396</v>
      </c>
      <c r="S201" s="2" t="s">
        <v>162</v>
      </c>
      <c r="T201" s="2" t="s">
        <v>410</v>
      </c>
      <c r="W201" s="4">
        <v>672</v>
      </c>
      <c r="X201" s="4">
        <v>806.4</v>
      </c>
      <c r="Y201" s="4">
        <f t="shared" ref="Y201" si="224">INDEX(InternalRates,MATCH($S201,InternalRates01,FALSE),2)</f>
        <v>231.85833333333335</v>
      </c>
      <c r="Z201" s="3" t="str">
        <f t="shared" si="215"/>
        <v>Nie</v>
      </c>
      <c r="AA201" s="3" t="str">
        <f t="shared" si="216"/>
        <v>SLA</v>
      </c>
      <c r="AB201" s="4">
        <v>990</v>
      </c>
      <c r="AC201" s="4">
        <v>247.5</v>
      </c>
      <c r="AD201" s="3" t="s">
        <v>48</v>
      </c>
      <c r="AE201" s="6">
        <v>44509</v>
      </c>
      <c r="AF201" s="3" t="s">
        <v>59</v>
      </c>
      <c r="AG201" s="3" t="s">
        <v>49</v>
      </c>
      <c r="AH201" s="3">
        <f>YEAR(SrcDB[[#This Row],[Datum_zverejnenia]])</f>
        <v>2020</v>
      </c>
      <c r="AI201" s="3" cm="1">
        <f t="array" ref="AI201">COUNT(_xlfn.UNIQUE(_xlfn._xlws.FILTER(SrcDB[ID],SrcDB[Objednavatel_ICO]=$H201)))</f>
        <v>7</v>
      </c>
      <c r="AJ201" s="3" cm="1">
        <f t="array" ref="AJ201">COUNT(_xlfn.UNIQUE(_xlfn._xlws.FILTER(SrcDB[ID],SrcDB[Dodavatel_ICO]=$K201)))</f>
        <v>12</v>
      </c>
      <c r="AK201" s="3">
        <f t="shared" si="218"/>
        <v>0</v>
      </c>
      <c r="AL201" s="3">
        <f t="shared" si="219"/>
        <v>0</v>
      </c>
      <c r="AM201" s="17" t="str">
        <f>IF(SrcDB[[#This Row],[Pocet zmluv objednavatela]]&gt;3,SrcDB[[#This Row],[Objednavatel]],"Ostatné")</f>
        <v>Ministerstvo práce, sociálnych vecí a rodiny SR</v>
      </c>
      <c r="AN201" s="17" t="str">
        <f>IF(SrcDB[[#This Row],[Pocet zmluv dodavatela]]&gt;3,SrcDB[[#This Row],[Dodavatel]],"Ostatné")</f>
        <v>Atos IT Solutions and Services s.r.o. / Eviden Slovakia, s.r.o.</v>
      </c>
    </row>
    <row r="202" spans="1:40" x14ac:dyDescent="0.3">
      <c r="A202" s="2" t="s">
        <v>390</v>
      </c>
      <c r="B202" s="2">
        <v>4978247</v>
      </c>
      <c r="C202" s="3" t="str">
        <f t="shared" si="210"/>
        <v>Nejasné</v>
      </c>
      <c r="D202" s="3" t="str">
        <f t="shared" si="211"/>
        <v>Nejasné</v>
      </c>
      <c r="E202" s="3" t="s">
        <v>48</v>
      </c>
      <c r="F202" s="3" t="s">
        <v>49</v>
      </c>
      <c r="G202" s="2" t="str">
        <f t="shared" si="212"/>
        <v>Veľké zmluvy</v>
      </c>
      <c r="H202" s="5" t="s">
        <v>391</v>
      </c>
      <c r="I202" s="2" t="s">
        <v>392</v>
      </c>
      <c r="J202" s="2" t="s">
        <v>393</v>
      </c>
      <c r="K202" s="5">
        <v>45650276</v>
      </c>
      <c r="L202" s="2" t="s">
        <v>234</v>
      </c>
      <c r="M202" s="2" t="s">
        <v>394</v>
      </c>
      <c r="N202" s="6">
        <v>44095.733576388891</v>
      </c>
      <c r="O202" s="4">
        <v>9519051</v>
      </c>
      <c r="P202" s="2">
        <v>114533</v>
      </c>
      <c r="Q202" s="2" t="s">
        <v>395</v>
      </c>
      <c r="R202" s="2" t="s">
        <v>396</v>
      </c>
      <c r="S202" s="2" t="s">
        <v>162</v>
      </c>
      <c r="T202" s="2" t="s">
        <v>411</v>
      </c>
      <c r="W202" s="4">
        <v>472</v>
      </c>
      <c r="X202" s="4">
        <v>566.4</v>
      </c>
      <c r="Y202" s="4">
        <f t="shared" ref="Y202" si="225">INDEX(InternalRates,MATCH($S202,InternalRates01,FALSE),2)</f>
        <v>231.85833333333335</v>
      </c>
      <c r="Z202" s="3" t="str">
        <f t="shared" si="215"/>
        <v>Nie</v>
      </c>
      <c r="AA202" s="3" t="str">
        <f t="shared" si="216"/>
        <v>SLA</v>
      </c>
      <c r="AB202" s="4">
        <v>582</v>
      </c>
      <c r="AC202" s="4">
        <v>145.5</v>
      </c>
      <c r="AD202" s="3" t="s">
        <v>48</v>
      </c>
      <c r="AE202" s="6">
        <v>44509</v>
      </c>
      <c r="AF202" s="3" t="s">
        <v>59</v>
      </c>
      <c r="AG202" s="3" t="s">
        <v>49</v>
      </c>
      <c r="AH202" s="3">
        <f>YEAR(SrcDB[[#This Row],[Datum_zverejnenia]])</f>
        <v>2020</v>
      </c>
      <c r="AI202" s="3" cm="1">
        <f t="array" ref="AI202">COUNT(_xlfn.UNIQUE(_xlfn._xlws.FILTER(SrcDB[ID],SrcDB[Objednavatel_ICO]=$H202)))</f>
        <v>7</v>
      </c>
      <c r="AJ202" s="3" cm="1">
        <f t="array" ref="AJ202">COUNT(_xlfn.UNIQUE(_xlfn._xlws.FILTER(SrcDB[ID],SrcDB[Dodavatel_ICO]=$K202)))</f>
        <v>12</v>
      </c>
      <c r="AK202" s="3">
        <f t="shared" si="218"/>
        <v>0</v>
      </c>
      <c r="AL202" s="3">
        <f t="shared" si="219"/>
        <v>0</v>
      </c>
      <c r="AM202" s="17" t="str">
        <f>IF(SrcDB[[#This Row],[Pocet zmluv objednavatela]]&gt;3,SrcDB[[#This Row],[Objednavatel]],"Ostatné")</f>
        <v>Ministerstvo práce, sociálnych vecí a rodiny SR</v>
      </c>
      <c r="AN202" s="17" t="str">
        <f>IF(SrcDB[[#This Row],[Pocet zmluv dodavatela]]&gt;3,SrcDB[[#This Row],[Dodavatel]],"Ostatné")</f>
        <v>Atos IT Solutions and Services s.r.o. / Eviden Slovakia, s.r.o.</v>
      </c>
    </row>
    <row r="203" spans="1:40" x14ac:dyDescent="0.3">
      <c r="A203" s="2" t="s">
        <v>390</v>
      </c>
      <c r="B203" s="2">
        <v>4978247</v>
      </c>
      <c r="C203" s="3" t="str">
        <f t="shared" si="210"/>
        <v>Nejasné</v>
      </c>
      <c r="D203" s="3" t="str">
        <f t="shared" si="211"/>
        <v>Nejasné</v>
      </c>
      <c r="E203" s="3" t="s">
        <v>48</v>
      </c>
      <c r="F203" s="3" t="s">
        <v>49</v>
      </c>
      <c r="G203" s="2" t="str">
        <f t="shared" si="212"/>
        <v>Veľké zmluvy</v>
      </c>
      <c r="H203" s="5" t="s">
        <v>391</v>
      </c>
      <c r="I203" s="2" t="s">
        <v>392</v>
      </c>
      <c r="J203" s="2" t="s">
        <v>393</v>
      </c>
      <c r="K203" s="5">
        <v>45650276</v>
      </c>
      <c r="L203" s="2" t="s">
        <v>234</v>
      </c>
      <c r="M203" s="2" t="s">
        <v>394</v>
      </c>
      <c r="N203" s="6">
        <v>44095.733576388891</v>
      </c>
      <c r="O203" s="4">
        <v>9519051</v>
      </c>
      <c r="P203" s="2">
        <v>114533</v>
      </c>
      <c r="Q203" s="2" t="s">
        <v>395</v>
      </c>
      <c r="R203" s="2" t="s">
        <v>396</v>
      </c>
      <c r="S203" s="2" t="s">
        <v>162</v>
      </c>
      <c r="T203" s="2" t="s">
        <v>412</v>
      </c>
      <c r="W203" s="4">
        <v>672</v>
      </c>
      <c r="X203" s="4">
        <v>806.4</v>
      </c>
      <c r="Y203" s="4">
        <f t="shared" ref="Y203" si="226">INDEX(InternalRates,MATCH($S203,InternalRates01,FALSE),2)</f>
        <v>231.85833333333335</v>
      </c>
      <c r="Z203" s="3" t="str">
        <f t="shared" si="215"/>
        <v>Nie</v>
      </c>
      <c r="AA203" s="3" t="str">
        <f t="shared" si="216"/>
        <v>SLA</v>
      </c>
      <c r="AB203" s="4">
        <v>414</v>
      </c>
      <c r="AC203" s="4">
        <v>103.5</v>
      </c>
      <c r="AD203" s="3" t="s">
        <v>48</v>
      </c>
      <c r="AE203" s="6">
        <v>44509</v>
      </c>
      <c r="AF203" s="3" t="s">
        <v>59</v>
      </c>
      <c r="AG203" s="3" t="s">
        <v>49</v>
      </c>
      <c r="AH203" s="3">
        <f>YEAR(SrcDB[[#This Row],[Datum_zverejnenia]])</f>
        <v>2020</v>
      </c>
      <c r="AI203" s="3" cm="1">
        <f t="array" ref="AI203">COUNT(_xlfn.UNIQUE(_xlfn._xlws.FILTER(SrcDB[ID],SrcDB[Objednavatel_ICO]=$H203)))</f>
        <v>7</v>
      </c>
      <c r="AJ203" s="3" cm="1">
        <f t="array" ref="AJ203">COUNT(_xlfn.UNIQUE(_xlfn._xlws.FILTER(SrcDB[ID],SrcDB[Dodavatel_ICO]=$K203)))</f>
        <v>12</v>
      </c>
      <c r="AK203" s="3">
        <f t="shared" si="218"/>
        <v>0</v>
      </c>
      <c r="AL203" s="3">
        <f t="shared" si="219"/>
        <v>0</v>
      </c>
      <c r="AM203" s="17" t="str">
        <f>IF(SrcDB[[#This Row],[Pocet zmluv objednavatela]]&gt;3,SrcDB[[#This Row],[Objednavatel]],"Ostatné")</f>
        <v>Ministerstvo práce, sociálnych vecí a rodiny SR</v>
      </c>
      <c r="AN203" s="17" t="str">
        <f>IF(SrcDB[[#This Row],[Pocet zmluv dodavatela]]&gt;3,SrcDB[[#This Row],[Dodavatel]],"Ostatné")</f>
        <v>Atos IT Solutions and Services s.r.o. / Eviden Slovakia, s.r.o.</v>
      </c>
    </row>
    <row r="204" spans="1:40" x14ac:dyDescent="0.3">
      <c r="A204" s="2" t="s">
        <v>390</v>
      </c>
      <c r="B204" s="2">
        <v>4978247</v>
      </c>
      <c r="C204" s="3" t="str">
        <f t="shared" si="210"/>
        <v>Nejasné</v>
      </c>
      <c r="D204" s="3" t="str">
        <f t="shared" si="211"/>
        <v>Nejasné</v>
      </c>
      <c r="E204" s="3" t="s">
        <v>48</v>
      </c>
      <c r="F204" s="3" t="s">
        <v>49</v>
      </c>
      <c r="G204" s="2" t="str">
        <f t="shared" si="212"/>
        <v>Veľké zmluvy</v>
      </c>
      <c r="H204" s="5" t="s">
        <v>391</v>
      </c>
      <c r="I204" s="2" t="s">
        <v>392</v>
      </c>
      <c r="J204" s="2" t="s">
        <v>393</v>
      </c>
      <c r="K204" s="5">
        <v>45650276</v>
      </c>
      <c r="L204" s="2" t="s">
        <v>234</v>
      </c>
      <c r="M204" s="2" t="s">
        <v>394</v>
      </c>
      <c r="N204" s="6">
        <v>44095.733576388891</v>
      </c>
      <c r="O204" s="4">
        <v>9519051</v>
      </c>
      <c r="P204" s="2">
        <v>114533</v>
      </c>
      <c r="Q204" s="2" t="s">
        <v>395</v>
      </c>
      <c r="R204" s="2" t="s">
        <v>396</v>
      </c>
      <c r="S204" s="2" t="s">
        <v>160</v>
      </c>
      <c r="T204" s="2" t="s">
        <v>413</v>
      </c>
      <c r="W204" s="4">
        <v>288</v>
      </c>
      <c r="X204" s="4">
        <v>345.59999999999997</v>
      </c>
      <c r="Y204" s="4">
        <f t="shared" ref="Y204" si="227">INDEX(InternalRates,MATCH($S204,InternalRates01,FALSE),2)</f>
        <v>231.85833333333335</v>
      </c>
      <c r="Z204" s="3" t="str">
        <f t="shared" si="215"/>
        <v>Nie</v>
      </c>
      <c r="AA204" s="3" t="str">
        <f t="shared" si="216"/>
        <v>SLA</v>
      </c>
      <c r="AB204" s="4">
        <v>2652</v>
      </c>
      <c r="AC204" s="4">
        <v>663</v>
      </c>
      <c r="AD204" s="3" t="s">
        <v>48</v>
      </c>
      <c r="AE204" s="6">
        <v>44509</v>
      </c>
      <c r="AF204" s="3" t="s">
        <v>59</v>
      </c>
      <c r="AG204" s="3" t="s">
        <v>49</v>
      </c>
      <c r="AH204" s="3">
        <f>YEAR(SrcDB[[#This Row],[Datum_zverejnenia]])</f>
        <v>2020</v>
      </c>
      <c r="AI204" s="3" cm="1">
        <f t="array" ref="AI204">COUNT(_xlfn.UNIQUE(_xlfn._xlws.FILTER(SrcDB[ID],SrcDB[Objednavatel_ICO]=$H204)))</f>
        <v>7</v>
      </c>
      <c r="AJ204" s="3" cm="1">
        <f t="array" ref="AJ204">COUNT(_xlfn.UNIQUE(_xlfn._xlws.FILTER(SrcDB[ID],SrcDB[Dodavatel_ICO]=$K204)))</f>
        <v>12</v>
      </c>
      <c r="AK204" s="3">
        <f t="shared" si="218"/>
        <v>0</v>
      </c>
      <c r="AL204" s="3">
        <f t="shared" si="219"/>
        <v>0</v>
      </c>
      <c r="AM204" s="17" t="str">
        <f>IF(SrcDB[[#This Row],[Pocet zmluv objednavatela]]&gt;3,SrcDB[[#This Row],[Objednavatel]],"Ostatné")</f>
        <v>Ministerstvo práce, sociálnych vecí a rodiny SR</v>
      </c>
      <c r="AN204" s="17" t="str">
        <f>IF(SrcDB[[#This Row],[Pocet zmluv dodavatela]]&gt;3,SrcDB[[#This Row],[Dodavatel]],"Ostatné")</f>
        <v>Atos IT Solutions and Services s.r.o. / Eviden Slovakia, s.r.o.</v>
      </c>
    </row>
    <row r="205" spans="1:40" x14ac:dyDescent="0.3">
      <c r="A205" s="2" t="s">
        <v>390</v>
      </c>
      <c r="B205" s="2">
        <v>4978247</v>
      </c>
      <c r="C205" s="3" t="str">
        <f t="shared" si="210"/>
        <v>Nejasné</v>
      </c>
      <c r="D205" s="3" t="str">
        <f t="shared" si="211"/>
        <v>Nejasné</v>
      </c>
      <c r="E205" s="3" t="s">
        <v>48</v>
      </c>
      <c r="F205" s="3" t="s">
        <v>49</v>
      </c>
      <c r="G205" s="2" t="str">
        <f t="shared" si="212"/>
        <v>Veľké zmluvy</v>
      </c>
      <c r="H205" s="5" t="s">
        <v>391</v>
      </c>
      <c r="I205" s="2" t="s">
        <v>392</v>
      </c>
      <c r="J205" s="2" t="s">
        <v>393</v>
      </c>
      <c r="K205" s="5">
        <v>45650276</v>
      </c>
      <c r="L205" s="2" t="s">
        <v>234</v>
      </c>
      <c r="M205" s="2" t="s">
        <v>394</v>
      </c>
      <c r="N205" s="6">
        <v>44095.733576388891</v>
      </c>
      <c r="O205" s="4">
        <v>9519051</v>
      </c>
      <c r="P205" s="2">
        <v>114533</v>
      </c>
      <c r="Q205" s="2" t="s">
        <v>395</v>
      </c>
      <c r="R205" s="2" t="s">
        <v>396</v>
      </c>
      <c r="S205" s="2" t="s">
        <v>160</v>
      </c>
      <c r="T205" s="2" t="s">
        <v>414</v>
      </c>
      <c r="W205" s="4">
        <v>672</v>
      </c>
      <c r="X205" s="4">
        <v>806.4</v>
      </c>
      <c r="Y205" s="4">
        <f t="shared" ref="Y205" si="228">INDEX(InternalRates,MATCH($S205,InternalRates01,FALSE),2)</f>
        <v>231.85833333333335</v>
      </c>
      <c r="Z205" s="3" t="str">
        <f t="shared" si="215"/>
        <v>Nie</v>
      </c>
      <c r="AA205" s="3" t="str">
        <f t="shared" si="216"/>
        <v>SLA</v>
      </c>
      <c r="AB205" s="4">
        <v>3852</v>
      </c>
      <c r="AC205" s="4">
        <v>963</v>
      </c>
      <c r="AD205" s="3" t="s">
        <v>48</v>
      </c>
      <c r="AE205" s="6">
        <v>44509</v>
      </c>
      <c r="AF205" s="3" t="s">
        <v>59</v>
      </c>
      <c r="AG205" s="3" t="s">
        <v>49</v>
      </c>
      <c r="AH205" s="3">
        <f>YEAR(SrcDB[[#This Row],[Datum_zverejnenia]])</f>
        <v>2020</v>
      </c>
      <c r="AI205" s="3" cm="1">
        <f t="array" ref="AI205">COUNT(_xlfn.UNIQUE(_xlfn._xlws.FILTER(SrcDB[ID],SrcDB[Objednavatel_ICO]=$H205)))</f>
        <v>7</v>
      </c>
      <c r="AJ205" s="3" cm="1">
        <f t="array" ref="AJ205">COUNT(_xlfn.UNIQUE(_xlfn._xlws.FILTER(SrcDB[ID],SrcDB[Dodavatel_ICO]=$K205)))</f>
        <v>12</v>
      </c>
      <c r="AK205" s="3">
        <f t="shared" si="218"/>
        <v>0</v>
      </c>
      <c r="AL205" s="3">
        <f t="shared" si="219"/>
        <v>0</v>
      </c>
      <c r="AM205" s="17" t="str">
        <f>IF(SrcDB[[#This Row],[Pocet zmluv objednavatela]]&gt;3,SrcDB[[#This Row],[Objednavatel]],"Ostatné")</f>
        <v>Ministerstvo práce, sociálnych vecí a rodiny SR</v>
      </c>
      <c r="AN205" s="17" t="str">
        <f>IF(SrcDB[[#This Row],[Pocet zmluv dodavatela]]&gt;3,SrcDB[[#This Row],[Dodavatel]],"Ostatné")</f>
        <v>Atos IT Solutions and Services s.r.o. / Eviden Slovakia, s.r.o.</v>
      </c>
    </row>
    <row r="206" spans="1:40" x14ac:dyDescent="0.3">
      <c r="A206" s="2" t="s">
        <v>390</v>
      </c>
      <c r="B206" s="2">
        <v>4978247</v>
      </c>
      <c r="C206" s="3" t="str">
        <f t="shared" si="210"/>
        <v>Nejasné</v>
      </c>
      <c r="D206" s="3" t="str">
        <f t="shared" si="211"/>
        <v>Nejasné</v>
      </c>
      <c r="E206" s="3" t="s">
        <v>48</v>
      </c>
      <c r="F206" s="3" t="s">
        <v>49</v>
      </c>
      <c r="G206" s="2" t="str">
        <f t="shared" si="212"/>
        <v>Veľké zmluvy</v>
      </c>
      <c r="H206" s="5" t="s">
        <v>391</v>
      </c>
      <c r="I206" s="2" t="s">
        <v>392</v>
      </c>
      <c r="J206" s="2" t="s">
        <v>393</v>
      </c>
      <c r="K206" s="5">
        <v>45650276</v>
      </c>
      <c r="L206" s="2" t="s">
        <v>234</v>
      </c>
      <c r="M206" s="2" t="s">
        <v>394</v>
      </c>
      <c r="N206" s="6">
        <v>44095.733576388891</v>
      </c>
      <c r="O206" s="4">
        <v>9519051</v>
      </c>
      <c r="P206" s="2">
        <v>114533</v>
      </c>
      <c r="Q206" s="2" t="s">
        <v>395</v>
      </c>
      <c r="R206" s="2" t="s">
        <v>396</v>
      </c>
      <c r="S206" s="2" t="s">
        <v>69</v>
      </c>
      <c r="T206" s="2" t="s">
        <v>415</v>
      </c>
      <c r="W206" s="4">
        <v>672</v>
      </c>
      <c r="X206" s="4">
        <v>806.4</v>
      </c>
      <c r="Y206" s="4">
        <f t="shared" ref="Y206" si="229">INDEX(InternalRates,MATCH($S206,InternalRates01,FALSE),2)</f>
        <v>278.98333333333335</v>
      </c>
      <c r="Z206" s="3" t="str">
        <f t="shared" si="215"/>
        <v>Nie</v>
      </c>
      <c r="AA206" s="3" t="str">
        <f t="shared" si="216"/>
        <v>SLA</v>
      </c>
      <c r="AB206" s="4">
        <v>1374</v>
      </c>
      <c r="AC206" s="4">
        <v>343.5</v>
      </c>
      <c r="AD206" s="3" t="s">
        <v>48</v>
      </c>
      <c r="AE206" s="6">
        <v>44509</v>
      </c>
      <c r="AF206" s="3" t="s">
        <v>59</v>
      </c>
      <c r="AG206" s="3" t="s">
        <v>49</v>
      </c>
      <c r="AH206" s="3">
        <f>YEAR(SrcDB[[#This Row],[Datum_zverejnenia]])</f>
        <v>2020</v>
      </c>
      <c r="AI206" s="3" cm="1">
        <f t="array" ref="AI206">COUNT(_xlfn.UNIQUE(_xlfn._xlws.FILTER(SrcDB[ID],SrcDB[Objednavatel_ICO]=$H206)))</f>
        <v>7</v>
      </c>
      <c r="AJ206" s="3" cm="1">
        <f t="array" ref="AJ206">COUNT(_xlfn.UNIQUE(_xlfn._xlws.FILTER(SrcDB[ID],SrcDB[Dodavatel_ICO]=$K206)))</f>
        <v>12</v>
      </c>
      <c r="AK206" s="3">
        <f t="shared" si="218"/>
        <v>0</v>
      </c>
      <c r="AL206" s="3">
        <f t="shared" si="219"/>
        <v>0</v>
      </c>
      <c r="AM206" s="17" t="str">
        <f>IF(SrcDB[[#This Row],[Pocet zmluv objednavatela]]&gt;3,SrcDB[[#This Row],[Objednavatel]],"Ostatné")</f>
        <v>Ministerstvo práce, sociálnych vecí a rodiny SR</v>
      </c>
      <c r="AN206" s="17" t="str">
        <f>IF(SrcDB[[#This Row],[Pocet zmluv dodavatela]]&gt;3,SrcDB[[#This Row],[Dodavatel]],"Ostatné")</f>
        <v>Atos IT Solutions and Services s.r.o. / Eviden Slovakia, s.r.o.</v>
      </c>
    </row>
    <row r="207" spans="1:40" x14ac:dyDescent="0.3">
      <c r="A207" s="2" t="s">
        <v>416</v>
      </c>
      <c r="B207" s="2">
        <v>4987722</v>
      </c>
      <c r="C207" s="3" t="str">
        <f t="shared" si="210"/>
        <v>Nie</v>
      </c>
      <c r="D207" s="3" t="str">
        <f t="shared" si="211"/>
        <v>Áno</v>
      </c>
      <c r="E207" s="3" t="s">
        <v>48</v>
      </c>
      <c r="F207" s="3" t="s">
        <v>49</v>
      </c>
      <c r="G207" s="2" t="str">
        <f t="shared" si="212"/>
        <v>Veľké zmluvy</v>
      </c>
      <c r="H207" s="5" t="s">
        <v>417</v>
      </c>
      <c r="I207" s="2" t="s">
        <v>418</v>
      </c>
      <c r="J207" s="2" t="s">
        <v>419</v>
      </c>
      <c r="K207" s="5" t="s">
        <v>420</v>
      </c>
      <c r="L207" s="2" t="s">
        <v>421</v>
      </c>
      <c r="M207" s="2" t="s">
        <v>422</v>
      </c>
      <c r="N207" s="6">
        <v>44102.510983796295</v>
      </c>
      <c r="O207" s="4">
        <v>8341680</v>
      </c>
      <c r="P207" s="2">
        <v>114571</v>
      </c>
      <c r="Q207" s="2" t="s">
        <v>423</v>
      </c>
      <c r="S207" s="2" t="s">
        <v>98</v>
      </c>
      <c r="T207" s="2" t="s">
        <v>424</v>
      </c>
      <c r="W207" s="4">
        <v>580</v>
      </c>
      <c r="X207" s="4">
        <v>696</v>
      </c>
      <c r="Y207" s="4">
        <f t="shared" ref="Y207" si="230">INDEX(InternalRates,MATCH($S207,InternalRates01,FALSE),2)</f>
        <v>278.98333333333335</v>
      </c>
      <c r="Z207" s="3" t="str">
        <f t="shared" si="215"/>
        <v>Nie</v>
      </c>
      <c r="AA207" s="3" t="str">
        <f t="shared" si="216"/>
        <v>SLA</v>
      </c>
      <c r="AB207" s="4">
        <v>730</v>
      </c>
      <c r="AD207" s="3" t="s">
        <v>48</v>
      </c>
      <c r="AE207" s="6">
        <v>44508</v>
      </c>
      <c r="AF207" s="3" t="s">
        <v>59</v>
      </c>
      <c r="AG207" s="3" t="s">
        <v>49</v>
      </c>
      <c r="AH207" s="3">
        <f>YEAR(SrcDB[[#This Row],[Datum_zverejnenia]])</f>
        <v>2020</v>
      </c>
      <c r="AI207" s="3" cm="1">
        <f t="array" ref="AI207">COUNT(_xlfn.UNIQUE(_xlfn._xlws.FILTER(SrcDB[ID],SrcDB[Objednavatel_ICO]=$H207)))</f>
        <v>5</v>
      </c>
      <c r="AJ207" s="3" cm="1">
        <f t="array" ref="AJ207">COUNT(_xlfn.UNIQUE(_xlfn._xlws.FILTER(SrcDB[ID],SrcDB[Dodavatel_ICO]=$K207)))</f>
        <v>6</v>
      </c>
      <c r="AK207" s="3">
        <f t="shared" si="218"/>
        <v>1</v>
      </c>
      <c r="AL207" s="3">
        <f t="shared" si="219"/>
        <v>1</v>
      </c>
      <c r="AM207" s="17" t="str">
        <f>IF(SrcDB[[#This Row],[Pocet zmluv objednavatela]]&gt;3,SrcDB[[#This Row],[Objednavatel]],"Ostatné")</f>
        <v>Národné centrum zdravotníckych informácií, Bratislava</v>
      </c>
      <c r="AN207" s="17" t="str">
        <f>IF(SrcDB[[#This Row],[Pocet zmluv dodavatela]]&gt;3,SrcDB[[#This Row],[Dodavatel]],"Ostatné")</f>
        <v>NESS Slovensko, a.s.</v>
      </c>
    </row>
    <row r="208" spans="1:40" x14ac:dyDescent="0.3">
      <c r="A208" s="2" t="s">
        <v>416</v>
      </c>
      <c r="B208" s="2">
        <v>4987722</v>
      </c>
      <c r="C208" s="3" t="str">
        <f t="shared" si="210"/>
        <v>Nie</v>
      </c>
      <c r="D208" s="3" t="str">
        <f t="shared" si="211"/>
        <v>Áno</v>
      </c>
      <c r="E208" s="3" t="s">
        <v>48</v>
      </c>
      <c r="F208" s="3" t="s">
        <v>49</v>
      </c>
      <c r="G208" s="2" t="str">
        <f t="shared" si="212"/>
        <v>Veľké zmluvy</v>
      </c>
      <c r="H208" s="5" t="s">
        <v>417</v>
      </c>
      <c r="I208" s="2" t="s">
        <v>418</v>
      </c>
      <c r="J208" s="2" t="s">
        <v>419</v>
      </c>
      <c r="K208" s="5" t="s">
        <v>420</v>
      </c>
      <c r="L208" s="2" t="s">
        <v>421</v>
      </c>
      <c r="M208" s="2" t="s">
        <v>422</v>
      </c>
      <c r="N208" s="6">
        <v>44102.510983796295</v>
      </c>
      <c r="O208" s="4">
        <v>8341680</v>
      </c>
      <c r="P208" s="2">
        <v>114571</v>
      </c>
      <c r="Q208" s="2" t="s">
        <v>423</v>
      </c>
      <c r="S208" s="2" t="s">
        <v>160</v>
      </c>
      <c r="T208" s="2" t="s">
        <v>425</v>
      </c>
      <c r="W208" s="4">
        <v>580</v>
      </c>
      <c r="X208" s="4">
        <v>696</v>
      </c>
      <c r="Y208" s="4">
        <f t="shared" ref="Y208" si="231">INDEX(InternalRates,MATCH($S208,InternalRates01,FALSE),2)</f>
        <v>231.85833333333335</v>
      </c>
      <c r="Z208" s="3" t="str">
        <f t="shared" si="215"/>
        <v>Nie</v>
      </c>
      <c r="AA208" s="3" t="str">
        <f t="shared" si="216"/>
        <v>SLA</v>
      </c>
      <c r="AB208" s="4">
        <v>5130</v>
      </c>
      <c r="AD208" s="3" t="s">
        <v>48</v>
      </c>
      <c r="AE208" s="6">
        <v>44508</v>
      </c>
      <c r="AF208" s="3" t="s">
        <v>59</v>
      </c>
      <c r="AG208" s="3" t="s">
        <v>49</v>
      </c>
      <c r="AH208" s="3">
        <f>YEAR(SrcDB[[#This Row],[Datum_zverejnenia]])</f>
        <v>2020</v>
      </c>
      <c r="AI208" s="3" cm="1">
        <f t="array" ref="AI208">COUNT(_xlfn.UNIQUE(_xlfn._xlws.FILTER(SrcDB[ID],SrcDB[Objednavatel_ICO]=$H208)))</f>
        <v>5</v>
      </c>
      <c r="AJ208" s="3" cm="1">
        <f t="array" ref="AJ208">COUNT(_xlfn.UNIQUE(_xlfn._xlws.FILTER(SrcDB[ID],SrcDB[Dodavatel_ICO]=$K208)))</f>
        <v>6</v>
      </c>
      <c r="AK208" s="3">
        <f t="shared" si="218"/>
        <v>0</v>
      </c>
      <c r="AL208" s="3">
        <f t="shared" si="219"/>
        <v>0</v>
      </c>
      <c r="AM208" s="17" t="str">
        <f>IF(SrcDB[[#This Row],[Pocet zmluv objednavatela]]&gt;3,SrcDB[[#This Row],[Objednavatel]],"Ostatné")</f>
        <v>Národné centrum zdravotníckych informácií, Bratislava</v>
      </c>
      <c r="AN208" s="17" t="str">
        <f>IF(SrcDB[[#This Row],[Pocet zmluv dodavatela]]&gt;3,SrcDB[[#This Row],[Dodavatel]],"Ostatné")</f>
        <v>NESS Slovensko, a.s.</v>
      </c>
    </row>
    <row r="209" spans="1:40" x14ac:dyDescent="0.3">
      <c r="A209" s="2" t="s">
        <v>416</v>
      </c>
      <c r="B209" s="2">
        <v>4987722</v>
      </c>
      <c r="C209" s="3" t="str">
        <f t="shared" si="210"/>
        <v>Nie</v>
      </c>
      <c r="D209" s="3" t="str">
        <f t="shared" si="211"/>
        <v>Áno</v>
      </c>
      <c r="E209" s="3" t="s">
        <v>48</v>
      </c>
      <c r="F209" s="3" t="s">
        <v>49</v>
      </c>
      <c r="G209" s="2" t="str">
        <f t="shared" si="212"/>
        <v>Veľké zmluvy</v>
      </c>
      <c r="H209" s="5" t="s">
        <v>417</v>
      </c>
      <c r="I209" s="2" t="s">
        <v>418</v>
      </c>
      <c r="J209" s="2" t="s">
        <v>419</v>
      </c>
      <c r="K209" s="5" t="s">
        <v>420</v>
      </c>
      <c r="L209" s="2" t="s">
        <v>421</v>
      </c>
      <c r="M209" s="2" t="s">
        <v>422</v>
      </c>
      <c r="N209" s="6">
        <v>44102.510983796295</v>
      </c>
      <c r="O209" s="4">
        <v>8341680</v>
      </c>
      <c r="P209" s="2">
        <v>114571</v>
      </c>
      <c r="Q209" s="2" t="s">
        <v>423</v>
      </c>
      <c r="S209" s="2" t="s">
        <v>160</v>
      </c>
      <c r="T209" s="2" t="s">
        <v>426</v>
      </c>
      <c r="W209" s="4">
        <v>580</v>
      </c>
      <c r="X209" s="4">
        <v>696</v>
      </c>
      <c r="Y209" s="4">
        <f t="shared" ref="Y209" si="232">INDEX(InternalRates,MATCH($S209,InternalRates01,FALSE),2)</f>
        <v>231.85833333333335</v>
      </c>
      <c r="Z209" s="3" t="str">
        <f t="shared" si="215"/>
        <v>Nie</v>
      </c>
      <c r="AA209" s="3" t="str">
        <f t="shared" si="216"/>
        <v>SLA</v>
      </c>
      <c r="AB209" s="4">
        <v>1470</v>
      </c>
      <c r="AD209" s="3" t="s">
        <v>48</v>
      </c>
      <c r="AE209" s="6">
        <v>44508</v>
      </c>
      <c r="AF209" s="3" t="s">
        <v>59</v>
      </c>
      <c r="AG209" s="3" t="s">
        <v>49</v>
      </c>
      <c r="AH209" s="3">
        <f>YEAR(SrcDB[[#This Row],[Datum_zverejnenia]])</f>
        <v>2020</v>
      </c>
      <c r="AI209" s="3" cm="1">
        <f t="array" ref="AI209">COUNT(_xlfn.UNIQUE(_xlfn._xlws.FILTER(SrcDB[ID],SrcDB[Objednavatel_ICO]=$H209)))</f>
        <v>5</v>
      </c>
      <c r="AJ209" s="3" cm="1">
        <f t="array" ref="AJ209">COUNT(_xlfn.UNIQUE(_xlfn._xlws.FILTER(SrcDB[ID],SrcDB[Dodavatel_ICO]=$K209)))</f>
        <v>6</v>
      </c>
      <c r="AK209" s="3">
        <f t="shared" si="218"/>
        <v>0</v>
      </c>
      <c r="AL209" s="3">
        <f t="shared" si="219"/>
        <v>0</v>
      </c>
      <c r="AM209" s="17" t="str">
        <f>IF(SrcDB[[#This Row],[Pocet zmluv objednavatela]]&gt;3,SrcDB[[#This Row],[Objednavatel]],"Ostatné")</f>
        <v>Národné centrum zdravotníckych informácií, Bratislava</v>
      </c>
      <c r="AN209" s="17" t="str">
        <f>IF(SrcDB[[#This Row],[Pocet zmluv dodavatela]]&gt;3,SrcDB[[#This Row],[Dodavatel]],"Ostatné")</f>
        <v>NESS Slovensko, a.s.</v>
      </c>
    </row>
    <row r="210" spans="1:40" x14ac:dyDescent="0.3">
      <c r="A210" s="2" t="s">
        <v>427</v>
      </c>
      <c r="B210" s="2">
        <v>4992461</v>
      </c>
      <c r="C210" s="3" t="str">
        <f t="shared" si="210"/>
        <v>Nie</v>
      </c>
      <c r="D210" s="3" t="str">
        <f t="shared" si="211"/>
        <v>Áno</v>
      </c>
      <c r="E210" s="3" t="s">
        <v>48</v>
      </c>
      <c r="F210" s="3" t="s">
        <v>49</v>
      </c>
      <c r="G210" s="2" t="str">
        <f t="shared" si="212"/>
        <v>Stredné zmluvy</v>
      </c>
      <c r="H210" s="5" t="s">
        <v>62</v>
      </c>
      <c r="I210" s="2" t="s">
        <v>63</v>
      </c>
      <c r="J210" s="2" t="s">
        <v>428</v>
      </c>
      <c r="K210" s="5">
        <v>35955678</v>
      </c>
      <c r="L210" s="2" t="s">
        <v>179</v>
      </c>
      <c r="M210" s="2" t="s">
        <v>429</v>
      </c>
      <c r="N210" s="6">
        <v>44104.481585648151</v>
      </c>
      <c r="O210" s="4">
        <v>6019190.3799999999</v>
      </c>
      <c r="P210" s="2">
        <v>114565</v>
      </c>
      <c r="Q210" s="2" t="s">
        <v>430</v>
      </c>
      <c r="R210" s="2" t="s">
        <v>431</v>
      </c>
      <c r="S210" s="2" t="s">
        <v>56</v>
      </c>
      <c r="T210" s="2" t="s">
        <v>432</v>
      </c>
      <c r="U210" s="2" t="s">
        <v>97</v>
      </c>
      <c r="W210" s="4">
        <v>624</v>
      </c>
      <c r="X210" s="4">
        <v>748.8</v>
      </c>
      <c r="Y210" s="4">
        <f t="shared" ref="Y210" si="233">INDEX(InternalRates,MATCH($S210,InternalRates01,FALSE),2)</f>
        <v>278.98333333333335</v>
      </c>
      <c r="Z210" s="3" t="str">
        <f t="shared" si="215"/>
        <v>Nie</v>
      </c>
      <c r="AA210" s="3" t="str">
        <f t="shared" si="216"/>
        <v>SLA</v>
      </c>
      <c r="AD210" s="3" t="s">
        <v>48</v>
      </c>
      <c r="AE210" s="6">
        <v>44417</v>
      </c>
      <c r="AF210" s="3" t="s">
        <v>59</v>
      </c>
      <c r="AG210" s="3" t="s">
        <v>48</v>
      </c>
      <c r="AH210" s="3">
        <f>YEAR(SrcDB[[#This Row],[Datum_zverejnenia]])</f>
        <v>2020</v>
      </c>
      <c r="AI210" s="3" cm="1">
        <f t="array" ref="AI210">COUNT(_xlfn.UNIQUE(_xlfn._xlws.FILTER(SrcDB[ID],SrcDB[Objednavatel_ICO]=$H210)))</f>
        <v>6</v>
      </c>
      <c r="AJ210" s="3" cm="1">
        <f t="array" ref="AJ210">COUNT(_xlfn.UNIQUE(_xlfn._xlws.FILTER(SrcDB[ID],SrcDB[Dodavatel_ICO]=$K210)))</f>
        <v>14</v>
      </c>
      <c r="AK210" s="3">
        <f t="shared" si="218"/>
        <v>1</v>
      </c>
      <c r="AL210" s="3">
        <f t="shared" si="219"/>
        <v>1</v>
      </c>
      <c r="AM210" s="17" t="str">
        <f>IF(SrcDB[[#This Row],[Pocet zmluv objednavatela]]&gt;3,SrcDB[[#This Row],[Objednavatel]],"Ostatné")</f>
        <v>Ministerstvo spravodlivosti SR</v>
      </c>
      <c r="AN210" s="17" t="str">
        <f>IF(SrcDB[[#This Row],[Pocet zmluv dodavatela]]&gt;3,SrcDB[[#This Row],[Dodavatel]],"Ostatné")</f>
        <v>SOITRON, s.r.o.</v>
      </c>
    </row>
    <row r="211" spans="1:40" x14ac:dyDescent="0.3">
      <c r="A211" s="2" t="s">
        <v>427</v>
      </c>
      <c r="B211" s="2">
        <v>4992461</v>
      </c>
      <c r="C211" s="3" t="str">
        <f t="shared" si="210"/>
        <v>Nie</v>
      </c>
      <c r="D211" s="3" t="str">
        <f t="shared" si="211"/>
        <v>Áno</v>
      </c>
      <c r="E211" s="3" t="s">
        <v>48</v>
      </c>
      <c r="F211" s="3" t="s">
        <v>49</v>
      </c>
      <c r="G211" s="2" t="str">
        <f t="shared" si="212"/>
        <v>Stredné zmluvy</v>
      </c>
      <c r="H211" s="5" t="s">
        <v>62</v>
      </c>
      <c r="I211" s="2" t="s">
        <v>63</v>
      </c>
      <c r="J211" s="2" t="s">
        <v>428</v>
      </c>
      <c r="K211" s="5">
        <v>35955678</v>
      </c>
      <c r="L211" s="2" t="s">
        <v>179</v>
      </c>
      <c r="M211" s="2" t="s">
        <v>429</v>
      </c>
      <c r="N211" s="6">
        <v>44104.481585648151</v>
      </c>
      <c r="O211" s="4">
        <v>6019190.3799999999</v>
      </c>
      <c r="P211" s="2">
        <v>114565</v>
      </c>
      <c r="Q211" s="2" t="s">
        <v>430</v>
      </c>
      <c r="R211" s="2" t="s">
        <v>431</v>
      </c>
      <c r="S211" s="2" t="s">
        <v>56</v>
      </c>
      <c r="T211" s="2" t="s">
        <v>432</v>
      </c>
      <c r="U211" s="2" t="s">
        <v>97</v>
      </c>
      <c r="W211" s="4">
        <v>624</v>
      </c>
      <c r="X211" s="4">
        <v>748.8</v>
      </c>
      <c r="Y211" s="4">
        <f t="shared" ref="Y211" si="234">INDEX(InternalRates,MATCH($S211,InternalRates01,FALSE),2)</f>
        <v>278.98333333333335</v>
      </c>
      <c r="Z211" s="3" t="str">
        <f t="shared" si="215"/>
        <v>Nie</v>
      </c>
      <c r="AA211" s="3" t="str">
        <f t="shared" si="216"/>
        <v>SLA</v>
      </c>
      <c r="AD211" s="3" t="s">
        <v>48</v>
      </c>
      <c r="AE211" s="6">
        <v>44417</v>
      </c>
      <c r="AF211" s="3" t="s">
        <v>59</v>
      </c>
      <c r="AG211" s="3" t="s">
        <v>48</v>
      </c>
      <c r="AH211" s="3">
        <f>YEAR(SrcDB[[#This Row],[Datum_zverejnenia]])</f>
        <v>2020</v>
      </c>
      <c r="AI211" s="3" cm="1">
        <f t="array" ref="AI211">COUNT(_xlfn.UNIQUE(_xlfn._xlws.FILTER(SrcDB[ID],SrcDB[Objednavatel_ICO]=$H211)))</f>
        <v>6</v>
      </c>
      <c r="AJ211" s="3" cm="1">
        <f t="array" ref="AJ211">COUNT(_xlfn.UNIQUE(_xlfn._xlws.FILTER(SrcDB[ID],SrcDB[Dodavatel_ICO]=$K211)))</f>
        <v>14</v>
      </c>
      <c r="AK211" s="3">
        <f t="shared" si="218"/>
        <v>0</v>
      </c>
      <c r="AL211" s="3">
        <f t="shared" si="219"/>
        <v>0</v>
      </c>
      <c r="AM211" s="17" t="str">
        <f>IF(SrcDB[[#This Row],[Pocet zmluv objednavatela]]&gt;3,SrcDB[[#This Row],[Objednavatel]],"Ostatné")</f>
        <v>Ministerstvo spravodlivosti SR</v>
      </c>
      <c r="AN211" s="17" t="str">
        <f>IF(SrcDB[[#This Row],[Pocet zmluv dodavatela]]&gt;3,SrcDB[[#This Row],[Dodavatel]],"Ostatné")</f>
        <v>SOITRON, s.r.o.</v>
      </c>
    </row>
    <row r="212" spans="1:40" x14ac:dyDescent="0.3">
      <c r="A212" s="2" t="s">
        <v>427</v>
      </c>
      <c r="B212" s="2">
        <v>4992461</v>
      </c>
      <c r="C212" s="3" t="str">
        <f t="shared" si="210"/>
        <v>Nie</v>
      </c>
      <c r="D212" s="3" t="str">
        <f t="shared" si="211"/>
        <v>Áno</v>
      </c>
      <c r="E212" s="3" t="s">
        <v>48</v>
      </c>
      <c r="F212" s="3" t="s">
        <v>49</v>
      </c>
      <c r="G212" s="2" t="str">
        <f t="shared" si="212"/>
        <v>Stredné zmluvy</v>
      </c>
      <c r="H212" s="5" t="s">
        <v>62</v>
      </c>
      <c r="I212" s="2" t="s">
        <v>63</v>
      </c>
      <c r="J212" s="2" t="s">
        <v>428</v>
      </c>
      <c r="K212" s="5">
        <v>35955678</v>
      </c>
      <c r="L212" s="2" t="s">
        <v>179</v>
      </c>
      <c r="M212" s="2" t="s">
        <v>429</v>
      </c>
      <c r="N212" s="6">
        <v>44104</v>
      </c>
      <c r="O212" s="4">
        <v>6019190.3799999999</v>
      </c>
      <c r="P212" s="2">
        <v>114565</v>
      </c>
      <c r="Q212" s="2" t="s">
        <v>430</v>
      </c>
      <c r="R212" s="2" t="s">
        <v>431</v>
      </c>
      <c r="S212" s="2" t="s">
        <v>56</v>
      </c>
      <c r="T212" s="2" t="s">
        <v>433</v>
      </c>
      <c r="U212" s="2" t="s">
        <v>97</v>
      </c>
      <c r="W212" s="4">
        <v>624</v>
      </c>
      <c r="X212" s="4">
        <v>748.8</v>
      </c>
      <c r="Y212" s="4">
        <f t="shared" ref="Y212" si="235">INDEX(InternalRates,MATCH($S212,InternalRates01,FALSE),2)</f>
        <v>278.98333333333335</v>
      </c>
      <c r="Z212" s="3" t="str">
        <f t="shared" si="215"/>
        <v>Nie</v>
      </c>
      <c r="AA212" s="3" t="str">
        <f t="shared" si="216"/>
        <v>SLA</v>
      </c>
      <c r="AD212" s="3" t="s">
        <v>48</v>
      </c>
      <c r="AE212" s="6">
        <v>44417</v>
      </c>
      <c r="AF212" s="3" t="s">
        <v>59</v>
      </c>
      <c r="AG212" s="3" t="s">
        <v>48</v>
      </c>
      <c r="AH212" s="3">
        <f>YEAR(SrcDB[[#This Row],[Datum_zverejnenia]])</f>
        <v>2020</v>
      </c>
      <c r="AI212" s="3" cm="1">
        <f t="array" ref="AI212">COUNT(_xlfn.UNIQUE(_xlfn._xlws.FILTER(SrcDB[ID],SrcDB[Objednavatel_ICO]=$H212)))</f>
        <v>6</v>
      </c>
      <c r="AJ212" s="3" cm="1">
        <f t="array" ref="AJ212">COUNT(_xlfn.UNIQUE(_xlfn._xlws.FILTER(SrcDB[ID],SrcDB[Dodavatel_ICO]=$K212)))</f>
        <v>14</v>
      </c>
      <c r="AK212" s="3">
        <f t="shared" si="218"/>
        <v>0</v>
      </c>
      <c r="AL212" s="3">
        <f t="shared" si="219"/>
        <v>0</v>
      </c>
      <c r="AM212" s="17" t="str">
        <f>IF(SrcDB[[#This Row],[Pocet zmluv objednavatela]]&gt;3,SrcDB[[#This Row],[Objednavatel]],"Ostatné")</f>
        <v>Ministerstvo spravodlivosti SR</v>
      </c>
      <c r="AN212" s="17" t="str">
        <f>IF(SrcDB[[#This Row],[Pocet zmluv dodavatela]]&gt;3,SrcDB[[#This Row],[Dodavatel]],"Ostatné")</f>
        <v>SOITRON, s.r.o.</v>
      </c>
    </row>
    <row r="213" spans="1:40" x14ac:dyDescent="0.3">
      <c r="A213" s="2" t="s">
        <v>427</v>
      </c>
      <c r="B213" s="2">
        <v>4992461</v>
      </c>
      <c r="C213" s="3" t="str">
        <f t="shared" si="210"/>
        <v>Nie</v>
      </c>
      <c r="D213" s="3" t="str">
        <f t="shared" si="211"/>
        <v>Áno</v>
      </c>
      <c r="E213" s="3" t="s">
        <v>48</v>
      </c>
      <c r="F213" s="3" t="s">
        <v>49</v>
      </c>
      <c r="G213" s="2" t="str">
        <f t="shared" si="212"/>
        <v>Stredné zmluvy</v>
      </c>
      <c r="H213" s="5" t="s">
        <v>62</v>
      </c>
      <c r="I213" s="2" t="s">
        <v>63</v>
      </c>
      <c r="J213" s="2" t="s">
        <v>428</v>
      </c>
      <c r="K213" s="5">
        <v>35955678</v>
      </c>
      <c r="L213" s="2" t="s">
        <v>179</v>
      </c>
      <c r="M213" s="2" t="s">
        <v>429</v>
      </c>
      <c r="N213" s="6">
        <v>44104</v>
      </c>
      <c r="O213" s="4">
        <v>6019190.3799999999</v>
      </c>
      <c r="P213" s="2">
        <v>114565</v>
      </c>
      <c r="Q213" s="2" t="s">
        <v>430</v>
      </c>
      <c r="R213" s="2" t="s">
        <v>431</v>
      </c>
      <c r="S213" s="2" t="s">
        <v>56</v>
      </c>
      <c r="T213" s="2" t="s">
        <v>434</v>
      </c>
      <c r="U213" s="2" t="s">
        <v>58</v>
      </c>
      <c r="W213" s="4">
        <v>624</v>
      </c>
      <c r="X213" s="4">
        <v>748.8</v>
      </c>
      <c r="Y213" s="4">
        <f t="shared" ref="Y213" si="236">INDEX(InternalRates,MATCH($S213,InternalRates01,FALSE),2)</f>
        <v>278.98333333333335</v>
      </c>
      <c r="Z213" s="3" t="str">
        <f t="shared" si="215"/>
        <v>Nie</v>
      </c>
      <c r="AA213" s="3" t="str">
        <f t="shared" si="216"/>
        <v>SLA</v>
      </c>
      <c r="AD213" s="3" t="s">
        <v>48</v>
      </c>
      <c r="AE213" s="6">
        <v>44417</v>
      </c>
      <c r="AF213" s="3" t="s">
        <v>59</v>
      </c>
      <c r="AG213" s="3" t="s">
        <v>48</v>
      </c>
      <c r="AH213" s="3">
        <f>YEAR(SrcDB[[#This Row],[Datum_zverejnenia]])</f>
        <v>2020</v>
      </c>
      <c r="AI213" s="3" cm="1">
        <f t="array" ref="AI213">COUNT(_xlfn.UNIQUE(_xlfn._xlws.FILTER(SrcDB[ID],SrcDB[Objednavatel_ICO]=$H213)))</f>
        <v>6</v>
      </c>
      <c r="AJ213" s="3" cm="1">
        <f t="array" ref="AJ213">COUNT(_xlfn.UNIQUE(_xlfn._xlws.FILTER(SrcDB[ID],SrcDB[Dodavatel_ICO]=$K213)))</f>
        <v>14</v>
      </c>
      <c r="AK213" s="3">
        <f t="shared" si="218"/>
        <v>0</v>
      </c>
      <c r="AL213" s="3">
        <f t="shared" si="219"/>
        <v>0</v>
      </c>
      <c r="AM213" s="17" t="str">
        <f>IF(SrcDB[[#This Row],[Pocet zmluv objednavatela]]&gt;3,SrcDB[[#This Row],[Objednavatel]],"Ostatné")</f>
        <v>Ministerstvo spravodlivosti SR</v>
      </c>
      <c r="AN213" s="17" t="str">
        <f>IF(SrcDB[[#This Row],[Pocet zmluv dodavatela]]&gt;3,SrcDB[[#This Row],[Dodavatel]],"Ostatné")</f>
        <v>SOITRON, s.r.o.</v>
      </c>
    </row>
    <row r="214" spans="1:40" x14ac:dyDescent="0.3">
      <c r="A214" s="2" t="s">
        <v>427</v>
      </c>
      <c r="B214" s="2">
        <v>4992461</v>
      </c>
      <c r="C214" s="3" t="str">
        <f t="shared" si="210"/>
        <v>Nie</v>
      </c>
      <c r="D214" s="3" t="str">
        <f t="shared" si="211"/>
        <v>Áno</v>
      </c>
      <c r="E214" s="3" t="s">
        <v>48</v>
      </c>
      <c r="F214" s="3" t="s">
        <v>49</v>
      </c>
      <c r="G214" s="2" t="str">
        <f t="shared" si="212"/>
        <v>Stredné zmluvy</v>
      </c>
      <c r="H214" s="5" t="s">
        <v>62</v>
      </c>
      <c r="I214" s="2" t="s">
        <v>63</v>
      </c>
      <c r="J214" s="2" t="s">
        <v>428</v>
      </c>
      <c r="K214" s="5">
        <v>35955678</v>
      </c>
      <c r="L214" s="2" t="s">
        <v>179</v>
      </c>
      <c r="M214" s="2" t="s">
        <v>429</v>
      </c>
      <c r="N214" s="6">
        <v>44104</v>
      </c>
      <c r="O214" s="4">
        <v>6019190.3799999999</v>
      </c>
      <c r="P214" s="2">
        <v>114565</v>
      </c>
      <c r="Q214" s="2" t="s">
        <v>430</v>
      </c>
      <c r="R214" s="2" t="s">
        <v>431</v>
      </c>
      <c r="S214" s="2" t="s">
        <v>69</v>
      </c>
      <c r="T214" s="2" t="s">
        <v>435</v>
      </c>
      <c r="W214" s="4">
        <v>624</v>
      </c>
      <c r="X214" s="4">
        <v>748.8</v>
      </c>
      <c r="Y214" s="4">
        <f t="shared" ref="Y214" si="237">INDEX(InternalRates,MATCH($S214,InternalRates01,FALSE),2)</f>
        <v>278.98333333333335</v>
      </c>
      <c r="Z214" s="3" t="str">
        <f t="shared" si="215"/>
        <v>Nie</v>
      </c>
      <c r="AA214" s="3" t="str">
        <f t="shared" si="216"/>
        <v>SLA</v>
      </c>
      <c r="AD214" s="3" t="s">
        <v>48</v>
      </c>
      <c r="AE214" s="6">
        <v>44417</v>
      </c>
      <c r="AF214" s="3" t="s">
        <v>59</v>
      </c>
      <c r="AG214" s="3" t="s">
        <v>48</v>
      </c>
      <c r="AH214" s="3">
        <f>YEAR(SrcDB[[#This Row],[Datum_zverejnenia]])</f>
        <v>2020</v>
      </c>
      <c r="AI214" s="3" cm="1">
        <f t="array" ref="AI214">COUNT(_xlfn.UNIQUE(_xlfn._xlws.FILTER(SrcDB[ID],SrcDB[Objednavatel_ICO]=$H214)))</f>
        <v>6</v>
      </c>
      <c r="AJ214" s="3" cm="1">
        <f t="array" ref="AJ214">COUNT(_xlfn.UNIQUE(_xlfn._xlws.FILTER(SrcDB[ID],SrcDB[Dodavatel_ICO]=$K214)))</f>
        <v>14</v>
      </c>
      <c r="AK214" s="3">
        <f t="shared" si="218"/>
        <v>0</v>
      </c>
      <c r="AL214" s="3">
        <f t="shared" si="219"/>
        <v>0</v>
      </c>
      <c r="AM214" s="17" t="str">
        <f>IF(SrcDB[[#This Row],[Pocet zmluv objednavatela]]&gt;3,SrcDB[[#This Row],[Objednavatel]],"Ostatné")</f>
        <v>Ministerstvo spravodlivosti SR</v>
      </c>
      <c r="AN214" s="17" t="str">
        <f>IF(SrcDB[[#This Row],[Pocet zmluv dodavatela]]&gt;3,SrcDB[[#This Row],[Dodavatel]],"Ostatné")</f>
        <v>SOITRON, s.r.o.</v>
      </c>
    </row>
    <row r="215" spans="1:40" x14ac:dyDescent="0.3">
      <c r="A215" s="2" t="s">
        <v>427</v>
      </c>
      <c r="B215" s="2">
        <v>4992461</v>
      </c>
      <c r="C215" s="3" t="str">
        <f t="shared" si="210"/>
        <v>Nie</v>
      </c>
      <c r="D215" s="3" t="str">
        <f t="shared" si="211"/>
        <v>Áno</v>
      </c>
      <c r="E215" s="3" t="s">
        <v>48</v>
      </c>
      <c r="F215" s="3" t="s">
        <v>49</v>
      </c>
      <c r="G215" s="2" t="str">
        <f t="shared" si="212"/>
        <v>Stredné zmluvy</v>
      </c>
      <c r="H215" s="5" t="s">
        <v>62</v>
      </c>
      <c r="I215" s="2" t="s">
        <v>63</v>
      </c>
      <c r="J215" s="2" t="s">
        <v>428</v>
      </c>
      <c r="K215" s="5">
        <v>35955678</v>
      </c>
      <c r="L215" s="2" t="s">
        <v>179</v>
      </c>
      <c r="M215" s="2" t="s">
        <v>429</v>
      </c>
      <c r="N215" s="6">
        <v>44104</v>
      </c>
      <c r="O215" s="4">
        <v>6019190.3799999999</v>
      </c>
      <c r="P215" s="2">
        <v>114565</v>
      </c>
      <c r="Q215" s="2" t="s">
        <v>430</v>
      </c>
      <c r="R215" s="2" t="s">
        <v>431</v>
      </c>
      <c r="S215" s="2" t="s">
        <v>56</v>
      </c>
      <c r="T215" s="2" t="s">
        <v>436</v>
      </c>
      <c r="U215" s="2" t="s">
        <v>95</v>
      </c>
      <c r="W215" s="4">
        <v>624</v>
      </c>
      <c r="X215" s="4">
        <v>748.8</v>
      </c>
      <c r="Y215" s="4">
        <f t="shared" ref="Y215" si="238">INDEX(InternalRates,MATCH($S215,InternalRates01,FALSE),2)</f>
        <v>278.98333333333335</v>
      </c>
      <c r="Z215" s="3" t="str">
        <f t="shared" si="215"/>
        <v>Nie</v>
      </c>
      <c r="AA215" s="3" t="str">
        <f t="shared" si="216"/>
        <v>SLA</v>
      </c>
      <c r="AD215" s="3" t="s">
        <v>48</v>
      </c>
      <c r="AE215" s="6">
        <v>44417</v>
      </c>
      <c r="AF215" s="3" t="s">
        <v>59</v>
      </c>
      <c r="AG215" s="3" t="s">
        <v>48</v>
      </c>
      <c r="AH215" s="3">
        <f>YEAR(SrcDB[[#This Row],[Datum_zverejnenia]])</f>
        <v>2020</v>
      </c>
      <c r="AI215" s="3" cm="1">
        <f t="array" ref="AI215">COUNT(_xlfn.UNIQUE(_xlfn._xlws.FILTER(SrcDB[ID],SrcDB[Objednavatel_ICO]=$H215)))</f>
        <v>6</v>
      </c>
      <c r="AJ215" s="3" cm="1">
        <f t="array" ref="AJ215">COUNT(_xlfn.UNIQUE(_xlfn._xlws.FILTER(SrcDB[ID],SrcDB[Dodavatel_ICO]=$K215)))</f>
        <v>14</v>
      </c>
      <c r="AK215" s="3">
        <f t="shared" si="218"/>
        <v>0</v>
      </c>
      <c r="AL215" s="3">
        <f t="shared" si="219"/>
        <v>0</v>
      </c>
      <c r="AM215" s="17" t="str">
        <f>IF(SrcDB[[#This Row],[Pocet zmluv objednavatela]]&gt;3,SrcDB[[#This Row],[Objednavatel]],"Ostatné")</f>
        <v>Ministerstvo spravodlivosti SR</v>
      </c>
      <c r="AN215" s="17" t="str">
        <f>IF(SrcDB[[#This Row],[Pocet zmluv dodavatela]]&gt;3,SrcDB[[#This Row],[Dodavatel]],"Ostatné")</f>
        <v>SOITRON, s.r.o.</v>
      </c>
    </row>
    <row r="216" spans="1:40" x14ac:dyDescent="0.3">
      <c r="A216" s="2" t="s">
        <v>427</v>
      </c>
      <c r="B216" s="2">
        <v>4992461</v>
      </c>
      <c r="C216" s="3" t="str">
        <f t="shared" si="210"/>
        <v>Nie</v>
      </c>
      <c r="D216" s="3" t="str">
        <f t="shared" si="211"/>
        <v>Áno</v>
      </c>
      <c r="E216" s="3" t="s">
        <v>48</v>
      </c>
      <c r="F216" s="3" t="s">
        <v>49</v>
      </c>
      <c r="G216" s="2" t="str">
        <f t="shared" si="212"/>
        <v>Stredné zmluvy</v>
      </c>
      <c r="H216" s="5" t="s">
        <v>62</v>
      </c>
      <c r="I216" s="2" t="s">
        <v>63</v>
      </c>
      <c r="J216" s="2" t="s">
        <v>428</v>
      </c>
      <c r="K216" s="5">
        <v>35955678</v>
      </c>
      <c r="L216" s="2" t="s">
        <v>179</v>
      </c>
      <c r="M216" s="2" t="s">
        <v>429</v>
      </c>
      <c r="N216" s="6">
        <v>44104</v>
      </c>
      <c r="O216" s="4">
        <v>6019190.3799999999</v>
      </c>
      <c r="P216" s="2">
        <v>114565</v>
      </c>
      <c r="Q216" s="2" t="s">
        <v>430</v>
      </c>
      <c r="R216" s="2" t="s">
        <v>431</v>
      </c>
      <c r="S216" s="2" t="s">
        <v>56</v>
      </c>
      <c r="T216" s="2" t="s">
        <v>437</v>
      </c>
      <c r="U216" s="2" t="s">
        <v>58</v>
      </c>
      <c r="W216" s="4">
        <v>624</v>
      </c>
      <c r="X216" s="4">
        <v>748.8</v>
      </c>
      <c r="Y216" s="4">
        <f t="shared" ref="Y216" si="239">INDEX(InternalRates,MATCH($S216,InternalRates01,FALSE),2)</f>
        <v>278.98333333333335</v>
      </c>
      <c r="Z216" s="3" t="str">
        <f t="shared" si="215"/>
        <v>Nie</v>
      </c>
      <c r="AA216" s="3" t="str">
        <f t="shared" si="216"/>
        <v>SLA</v>
      </c>
      <c r="AD216" s="3" t="s">
        <v>48</v>
      </c>
      <c r="AE216" s="6">
        <v>44417</v>
      </c>
      <c r="AF216" s="3" t="s">
        <v>59</v>
      </c>
      <c r="AG216" s="3" t="s">
        <v>48</v>
      </c>
      <c r="AH216" s="3">
        <f>YEAR(SrcDB[[#This Row],[Datum_zverejnenia]])</f>
        <v>2020</v>
      </c>
      <c r="AI216" s="3" cm="1">
        <f t="array" ref="AI216">COUNT(_xlfn.UNIQUE(_xlfn._xlws.FILTER(SrcDB[ID],SrcDB[Objednavatel_ICO]=$H216)))</f>
        <v>6</v>
      </c>
      <c r="AJ216" s="3" cm="1">
        <f t="array" ref="AJ216">COUNT(_xlfn.UNIQUE(_xlfn._xlws.FILTER(SrcDB[ID],SrcDB[Dodavatel_ICO]=$K216)))</f>
        <v>14</v>
      </c>
      <c r="AK216" s="3">
        <f t="shared" si="218"/>
        <v>0</v>
      </c>
      <c r="AL216" s="3">
        <f t="shared" si="219"/>
        <v>0</v>
      </c>
      <c r="AM216" s="17" t="str">
        <f>IF(SrcDB[[#This Row],[Pocet zmluv objednavatela]]&gt;3,SrcDB[[#This Row],[Objednavatel]],"Ostatné")</f>
        <v>Ministerstvo spravodlivosti SR</v>
      </c>
      <c r="AN216" s="17" t="str">
        <f>IF(SrcDB[[#This Row],[Pocet zmluv dodavatela]]&gt;3,SrcDB[[#This Row],[Dodavatel]],"Ostatné")</f>
        <v>SOITRON, s.r.o.</v>
      </c>
    </row>
    <row r="217" spans="1:40" x14ac:dyDescent="0.3">
      <c r="A217" s="2" t="s">
        <v>427</v>
      </c>
      <c r="B217" s="2">
        <v>4992461</v>
      </c>
      <c r="C217" s="3" t="str">
        <f t="shared" si="210"/>
        <v>Nie</v>
      </c>
      <c r="D217" s="3" t="str">
        <f t="shared" si="211"/>
        <v>Áno</v>
      </c>
      <c r="E217" s="3" t="s">
        <v>48</v>
      </c>
      <c r="F217" s="3" t="s">
        <v>49</v>
      </c>
      <c r="G217" s="2" t="str">
        <f t="shared" si="212"/>
        <v>Stredné zmluvy</v>
      </c>
      <c r="H217" s="5" t="s">
        <v>62</v>
      </c>
      <c r="I217" s="2" t="s">
        <v>63</v>
      </c>
      <c r="J217" s="2" t="s">
        <v>428</v>
      </c>
      <c r="K217" s="5">
        <v>35955678</v>
      </c>
      <c r="L217" s="2" t="s">
        <v>179</v>
      </c>
      <c r="M217" s="2" t="s">
        <v>429</v>
      </c>
      <c r="N217" s="6">
        <v>44104</v>
      </c>
      <c r="O217" s="4">
        <v>6019190.3799999999</v>
      </c>
      <c r="P217" s="2">
        <v>114565</v>
      </c>
      <c r="Q217" s="2" t="s">
        <v>430</v>
      </c>
      <c r="R217" s="2" t="s">
        <v>431</v>
      </c>
      <c r="S217" s="2" t="s">
        <v>56</v>
      </c>
      <c r="T217" s="2" t="s">
        <v>438</v>
      </c>
      <c r="U217" s="2" t="s">
        <v>97</v>
      </c>
      <c r="W217" s="4">
        <v>624</v>
      </c>
      <c r="X217" s="4">
        <v>748.8</v>
      </c>
      <c r="Y217" s="4">
        <f t="shared" ref="Y217" si="240">INDEX(InternalRates,MATCH($S217,InternalRates01,FALSE),2)</f>
        <v>278.98333333333335</v>
      </c>
      <c r="Z217" s="3" t="str">
        <f t="shared" si="215"/>
        <v>Nie</v>
      </c>
      <c r="AA217" s="3" t="str">
        <f t="shared" si="216"/>
        <v>SLA</v>
      </c>
      <c r="AD217" s="3" t="s">
        <v>48</v>
      </c>
      <c r="AE217" s="6">
        <v>44417</v>
      </c>
      <c r="AF217" s="3" t="s">
        <v>59</v>
      </c>
      <c r="AG217" s="3" t="s">
        <v>48</v>
      </c>
      <c r="AH217" s="3">
        <f>YEAR(SrcDB[[#This Row],[Datum_zverejnenia]])</f>
        <v>2020</v>
      </c>
      <c r="AI217" s="3" cm="1">
        <f t="array" ref="AI217">COUNT(_xlfn.UNIQUE(_xlfn._xlws.FILTER(SrcDB[ID],SrcDB[Objednavatel_ICO]=$H217)))</f>
        <v>6</v>
      </c>
      <c r="AJ217" s="3" cm="1">
        <f t="array" ref="AJ217">COUNT(_xlfn.UNIQUE(_xlfn._xlws.FILTER(SrcDB[ID],SrcDB[Dodavatel_ICO]=$K217)))</f>
        <v>14</v>
      </c>
      <c r="AK217" s="3">
        <f t="shared" si="218"/>
        <v>0</v>
      </c>
      <c r="AL217" s="3">
        <f t="shared" si="219"/>
        <v>0</v>
      </c>
      <c r="AM217" s="17" t="str">
        <f>IF(SrcDB[[#This Row],[Pocet zmluv objednavatela]]&gt;3,SrcDB[[#This Row],[Objednavatel]],"Ostatné")</f>
        <v>Ministerstvo spravodlivosti SR</v>
      </c>
      <c r="AN217" s="17" t="str">
        <f>IF(SrcDB[[#This Row],[Pocet zmluv dodavatela]]&gt;3,SrcDB[[#This Row],[Dodavatel]],"Ostatné")</f>
        <v>SOITRON, s.r.o.</v>
      </c>
    </row>
    <row r="218" spans="1:40" x14ac:dyDescent="0.3">
      <c r="A218" s="2" t="s">
        <v>439</v>
      </c>
      <c r="B218" s="2">
        <v>5052389</v>
      </c>
      <c r="C218" s="3" t="str">
        <f t="shared" si="210"/>
        <v>Nejasné</v>
      </c>
      <c r="D218" s="3" t="str">
        <f t="shared" si="211"/>
        <v>Nejasné</v>
      </c>
      <c r="E218" s="3" t="s">
        <v>48</v>
      </c>
      <c r="F218" s="3" t="s">
        <v>49</v>
      </c>
      <c r="G218" s="2" t="str">
        <f t="shared" si="212"/>
        <v>Malé zmluvy</v>
      </c>
      <c r="H218" s="5">
        <v>17335345</v>
      </c>
      <c r="I218" s="2" t="s">
        <v>440</v>
      </c>
      <c r="K218" s="5" t="s">
        <v>441</v>
      </c>
      <c r="L218" s="2" t="s">
        <v>442</v>
      </c>
      <c r="N218" s="6">
        <v>44134.503784722219</v>
      </c>
      <c r="O218" s="4">
        <v>277704</v>
      </c>
      <c r="P218" s="2">
        <v>358675</v>
      </c>
      <c r="Q218" s="2" t="s">
        <v>443</v>
      </c>
      <c r="R218" s="2" t="s">
        <v>444</v>
      </c>
      <c r="S218" s="2" t="s">
        <v>183</v>
      </c>
      <c r="T218" s="2" t="s">
        <v>183</v>
      </c>
      <c r="W218" s="4">
        <v>504</v>
      </c>
      <c r="X218" s="4">
        <v>604.79999999999995</v>
      </c>
      <c r="Y218" s="4">
        <f t="shared" ref="Y218" si="241">INDEX(InternalRates,MATCH($S218,InternalRates01,FALSE),2)</f>
        <v>278.98333333333335</v>
      </c>
      <c r="Z218" s="3" t="str">
        <f t="shared" si="215"/>
        <v>Nie</v>
      </c>
      <c r="AA218" s="3" t="str">
        <f t="shared" si="216"/>
        <v>SLA</v>
      </c>
      <c r="AB218" s="4">
        <v>263</v>
      </c>
      <c r="AC218" s="4">
        <v>263</v>
      </c>
      <c r="AD218" s="3" t="s">
        <v>48</v>
      </c>
      <c r="AE218" s="6">
        <v>44510</v>
      </c>
      <c r="AF218" s="3" t="s">
        <v>59</v>
      </c>
      <c r="AG218" s="3" t="s">
        <v>48</v>
      </c>
      <c r="AH218" s="3">
        <f>YEAR(SrcDB[[#This Row],[Datum_zverejnenia]])</f>
        <v>2020</v>
      </c>
      <c r="AI218" s="3" cm="1">
        <f t="array" ref="AI218">COUNT(_xlfn.UNIQUE(_xlfn._xlws.FILTER(SrcDB[ID],SrcDB[Objednavatel_ICO]=$H218)))</f>
        <v>2</v>
      </c>
      <c r="AJ218" s="3" cm="1">
        <f t="array" ref="AJ218">COUNT(_xlfn.UNIQUE(_xlfn._xlws.FILTER(SrcDB[ID],SrcDB[Dodavatel_ICO]=$K218)))</f>
        <v>2</v>
      </c>
      <c r="AK218" s="3">
        <f t="shared" si="218"/>
        <v>1</v>
      </c>
      <c r="AL218" s="3">
        <f t="shared" si="219"/>
        <v>1</v>
      </c>
      <c r="AM218" s="17" t="str">
        <f>IF(SrcDB[[#This Row],[Pocet zmluv objednavatela]]&gt;3,SrcDB[[#This Row],[Objednavatel]],"Ostatné")</f>
        <v>Ostatné</v>
      </c>
      <c r="AN218" s="17" t="str">
        <f>IF(SrcDB[[#This Row],[Pocet zmluv dodavatela]]&gt;3,SrcDB[[#This Row],[Dodavatel]],"Ostatné")</f>
        <v>Ostatné</v>
      </c>
    </row>
    <row r="219" spans="1:40" x14ac:dyDescent="0.3">
      <c r="A219" s="2" t="s">
        <v>445</v>
      </c>
      <c r="B219" s="2">
        <v>5053015</v>
      </c>
      <c r="C219" s="3" t="str">
        <f t="shared" si="210"/>
        <v>Áno</v>
      </c>
      <c r="D219" s="3" t="str">
        <f t="shared" si="211"/>
        <v>Nie</v>
      </c>
      <c r="E219" s="3" t="s">
        <v>49</v>
      </c>
      <c r="F219" s="3" t="s">
        <v>48</v>
      </c>
      <c r="G219" s="2" t="str">
        <f t="shared" si="212"/>
        <v>Veľké zmluvy</v>
      </c>
      <c r="H219" s="5" t="s">
        <v>342</v>
      </c>
      <c r="I219" s="2" t="s">
        <v>343</v>
      </c>
      <c r="J219" s="2" t="s">
        <v>344</v>
      </c>
      <c r="K219" s="5">
        <v>35728531</v>
      </c>
      <c r="L219" s="2" t="s">
        <v>310</v>
      </c>
      <c r="M219" s="2" t="s">
        <v>311</v>
      </c>
      <c r="N219" s="6">
        <v>44134.603356481479</v>
      </c>
      <c r="O219" s="4">
        <v>17145790.030000001</v>
      </c>
      <c r="P219" s="2">
        <v>114723</v>
      </c>
      <c r="Q219" s="2" t="s">
        <v>446</v>
      </c>
      <c r="R219" s="2" t="s">
        <v>447</v>
      </c>
      <c r="S219" s="2" t="s">
        <v>56</v>
      </c>
      <c r="T219" s="2" t="s">
        <v>288</v>
      </c>
      <c r="U219" s="2" t="s">
        <v>289</v>
      </c>
      <c r="W219" s="4">
        <v>550</v>
      </c>
      <c r="X219" s="4">
        <v>660</v>
      </c>
      <c r="Y219" s="4">
        <f t="shared" ref="Y219" si="242">INDEX(InternalRates,MATCH($S219,InternalRates01,FALSE),2)</f>
        <v>278.98333333333335</v>
      </c>
      <c r="Z219" s="3" t="str">
        <f t="shared" si="215"/>
        <v>Nie</v>
      </c>
      <c r="AA219" s="3" t="str">
        <f t="shared" si="216"/>
        <v>ZoD</v>
      </c>
      <c r="AB219" s="4">
        <v>5</v>
      </c>
      <c r="AD219" s="3" t="s">
        <v>48</v>
      </c>
      <c r="AE219" s="6">
        <v>44417</v>
      </c>
      <c r="AF219" s="3" t="s">
        <v>59</v>
      </c>
      <c r="AG219" s="3" t="s">
        <v>49</v>
      </c>
      <c r="AH219" s="3">
        <f>YEAR(SrcDB[[#This Row],[Datum_zverejnenia]])</f>
        <v>2020</v>
      </c>
      <c r="AI219" s="3" cm="1">
        <f t="array" ref="AI219">COUNT(_xlfn.UNIQUE(_xlfn._xlws.FILTER(SrcDB[ID],SrcDB[Objednavatel_ICO]=$H219)))</f>
        <v>15</v>
      </c>
      <c r="AJ219" s="3" cm="1">
        <f t="array" ref="AJ219">COUNT(_xlfn.UNIQUE(_xlfn._xlws.FILTER(SrcDB[ID],SrcDB[Dodavatel_ICO]=$K219)))</f>
        <v>8</v>
      </c>
      <c r="AK219" s="3">
        <f t="shared" si="218"/>
        <v>1</v>
      </c>
      <c r="AL219" s="3">
        <f t="shared" si="219"/>
        <v>1</v>
      </c>
      <c r="AM219" s="17" t="str">
        <f>IF(SrcDB[[#This Row],[Pocet zmluv objednavatela]]&gt;3,SrcDB[[#This Row],[Objednavatel]],"Ostatné")</f>
        <v>Ministerstvo vnútra SR</v>
      </c>
      <c r="AN219" s="17" t="str">
        <f>IF(SrcDB[[#This Row],[Pocet zmluv dodavatela]]&gt;3,SrcDB[[#This Row],[Dodavatel]],"Ostatné")</f>
        <v>InterWay, a.s.</v>
      </c>
    </row>
    <row r="220" spans="1:40" x14ac:dyDescent="0.3">
      <c r="A220" s="2" t="s">
        <v>445</v>
      </c>
      <c r="B220" s="2">
        <v>5053015</v>
      </c>
      <c r="C220" s="3" t="str">
        <f t="shared" si="210"/>
        <v>Áno</v>
      </c>
      <c r="D220" s="3" t="str">
        <f t="shared" si="211"/>
        <v>Nie</v>
      </c>
      <c r="E220" s="3" t="s">
        <v>49</v>
      </c>
      <c r="F220" s="3" t="s">
        <v>48</v>
      </c>
      <c r="G220" s="2" t="str">
        <f t="shared" si="212"/>
        <v>Veľké zmluvy</v>
      </c>
      <c r="H220" s="5" t="s">
        <v>342</v>
      </c>
      <c r="I220" s="2" t="s">
        <v>343</v>
      </c>
      <c r="J220" s="2" t="s">
        <v>344</v>
      </c>
      <c r="K220" s="5">
        <v>35728531</v>
      </c>
      <c r="L220" s="2" t="s">
        <v>310</v>
      </c>
      <c r="M220" s="2" t="s">
        <v>311</v>
      </c>
      <c r="N220" s="6">
        <v>44134.603356481479</v>
      </c>
      <c r="O220" s="4">
        <v>17145790.030000001</v>
      </c>
      <c r="P220" s="2">
        <v>114723</v>
      </c>
      <c r="Q220" s="2" t="s">
        <v>446</v>
      </c>
      <c r="R220" s="2" t="s">
        <v>447</v>
      </c>
      <c r="S220" s="2" t="s">
        <v>73</v>
      </c>
      <c r="T220" s="2" t="s">
        <v>90</v>
      </c>
      <c r="W220" s="4">
        <v>650</v>
      </c>
      <c r="X220" s="4">
        <v>780</v>
      </c>
      <c r="Y220" s="4">
        <f t="shared" ref="Y220" si="243">INDEX(InternalRates,MATCH($S220,InternalRates01,FALSE),2)</f>
        <v>278.98333333333335</v>
      </c>
      <c r="Z220" s="3" t="str">
        <f t="shared" si="215"/>
        <v>Nie</v>
      </c>
      <c r="AA220" s="3" t="str">
        <f t="shared" si="216"/>
        <v>ZoD</v>
      </c>
      <c r="AB220" s="4">
        <v>90</v>
      </c>
      <c r="AD220" s="3" t="s">
        <v>48</v>
      </c>
      <c r="AE220" s="6">
        <v>44417</v>
      </c>
      <c r="AF220" s="3" t="s">
        <v>59</v>
      </c>
      <c r="AG220" s="3" t="s">
        <v>49</v>
      </c>
      <c r="AH220" s="3">
        <f>YEAR(SrcDB[[#This Row],[Datum_zverejnenia]])</f>
        <v>2020</v>
      </c>
      <c r="AI220" s="3" cm="1">
        <f t="array" ref="AI220">COUNT(_xlfn.UNIQUE(_xlfn._xlws.FILTER(SrcDB[ID],SrcDB[Objednavatel_ICO]=$H220)))</f>
        <v>15</v>
      </c>
      <c r="AJ220" s="3" cm="1">
        <f t="array" ref="AJ220">COUNT(_xlfn.UNIQUE(_xlfn._xlws.FILTER(SrcDB[ID],SrcDB[Dodavatel_ICO]=$K220)))</f>
        <v>8</v>
      </c>
      <c r="AK220" s="3">
        <f t="shared" si="218"/>
        <v>0</v>
      </c>
      <c r="AL220" s="3">
        <f t="shared" si="219"/>
        <v>0</v>
      </c>
      <c r="AM220" s="17" t="str">
        <f>IF(SrcDB[[#This Row],[Pocet zmluv objednavatela]]&gt;3,SrcDB[[#This Row],[Objednavatel]],"Ostatné")</f>
        <v>Ministerstvo vnútra SR</v>
      </c>
      <c r="AN220" s="17" t="str">
        <f>IF(SrcDB[[#This Row],[Pocet zmluv dodavatela]]&gt;3,SrcDB[[#This Row],[Dodavatel]],"Ostatné")</f>
        <v>InterWay, a.s.</v>
      </c>
    </row>
    <row r="221" spans="1:40" x14ac:dyDescent="0.3">
      <c r="A221" s="2" t="s">
        <v>445</v>
      </c>
      <c r="B221" s="2">
        <v>5053015</v>
      </c>
      <c r="C221" s="3" t="str">
        <f t="shared" si="210"/>
        <v>Áno</v>
      </c>
      <c r="D221" s="3" t="str">
        <f t="shared" si="211"/>
        <v>Nie</v>
      </c>
      <c r="E221" s="3" t="s">
        <v>49</v>
      </c>
      <c r="F221" s="3" t="s">
        <v>48</v>
      </c>
      <c r="G221" s="2" t="str">
        <f t="shared" si="212"/>
        <v>Veľké zmluvy</v>
      </c>
      <c r="H221" s="5" t="s">
        <v>342</v>
      </c>
      <c r="I221" s="2" t="s">
        <v>343</v>
      </c>
      <c r="J221" s="2" t="s">
        <v>344</v>
      </c>
      <c r="K221" s="5">
        <v>35728531</v>
      </c>
      <c r="L221" s="2" t="s">
        <v>310</v>
      </c>
      <c r="M221" s="2" t="s">
        <v>311</v>
      </c>
      <c r="N221" s="6">
        <v>44134</v>
      </c>
      <c r="O221" s="4">
        <v>17145790.030000001</v>
      </c>
      <c r="P221" s="2">
        <v>114723</v>
      </c>
      <c r="Q221" s="2" t="s">
        <v>446</v>
      </c>
      <c r="R221" s="2" t="s">
        <v>447</v>
      </c>
      <c r="S221" s="2" t="s">
        <v>56</v>
      </c>
      <c r="T221" s="2" t="s">
        <v>96</v>
      </c>
      <c r="U221" s="2" t="s">
        <v>97</v>
      </c>
      <c r="W221" s="4">
        <v>580</v>
      </c>
      <c r="X221" s="4">
        <v>696</v>
      </c>
      <c r="Y221" s="4">
        <f t="shared" ref="Y221" si="244">INDEX(InternalRates,MATCH($S221,InternalRates01,FALSE),2)</f>
        <v>278.98333333333335</v>
      </c>
      <c r="Z221" s="3" t="str">
        <f t="shared" si="215"/>
        <v>Nie</v>
      </c>
      <c r="AA221" s="3" t="str">
        <f t="shared" si="216"/>
        <v>ZoD</v>
      </c>
      <c r="AB221" s="4">
        <v>5</v>
      </c>
      <c r="AD221" s="3" t="s">
        <v>48</v>
      </c>
      <c r="AE221" s="6">
        <v>44417</v>
      </c>
      <c r="AF221" s="3" t="s">
        <v>59</v>
      </c>
      <c r="AG221" s="3" t="s">
        <v>49</v>
      </c>
      <c r="AH221" s="3">
        <f>YEAR(SrcDB[[#This Row],[Datum_zverejnenia]])</f>
        <v>2020</v>
      </c>
      <c r="AI221" s="3" cm="1">
        <f t="array" ref="AI221">COUNT(_xlfn.UNIQUE(_xlfn._xlws.FILTER(SrcDB[ID],SrcDB[Objednavatel_ICO]=$H221)))</f>
        <v>15</v>
      </c>
      <c r="AJ221" s="3" cm="1">
        <f t="array" ref="AJ221">COUNT(_xlfn.UNIQUE(_xlfn._xlws.FILTER(SrcDB[ID],SrcDB[Dodavatel_ICO]=$K221)))</f>
        <v>8</v>
      </c>
      <c r="AK221" s="3">
        <f t="shared" si="218"/>
        <v>0</v>
      </c>
      <c r="AL221" s="3">
        <f t="shared" si="219"/>
        <v>0</v>
      </c>
      <c r="AM221" s="17" t="str">
        <f>IF(SrcDB[[#This Row],[Pocet zmluv objednavatela]]&gt;3,SrcDB[[#This Row],[Objednavatel]],"Ostatné")</f>
        <v>Ministerstvo vnútra SR</v>
      </c>
      <c r="AN221" s="17" t="str">
        <f>IF(SrcDB[[#This Row],[Pocet zmluv dodavatela]]&gt;3,SrcDB[[#This Row],[Dodavatel]],"Ostatné")</f>
        <v>InterWay, a.s.</v>
      </c>
    </row>
    <row r="222" spans="1:40" x14ac:dyDescent="0.3">
      <c r="A222" s="2" t="s">
        <v>445</v>
      </c>
      <c r="B222" s="2">
        <v>5053015</v>
      </c>
      <c r="C222" s="3" t="str">
        <f t="shared" si="210"/>
        <v>Áno</v>
      </c>
      <c r="D222" s="3" t="str">
        <f t="shared" si="211"/>
        <v>Nie</v>
      </c>
      <c r="E222" s="3" t="s">
        <v>49</v>
      </c>
      <c r="F222" s="3" t="s">
        <v>48</v>
      </c>
      <c r="G222" s="2" t="str">
        <f t="shared" si="212"/>
        <v>Veľké zmluvy</v>
      </c>
      <c r="H222" s="5" t="s">
        <v>342</v>
      </c>
      <c r="I222" s="2" t="s">
        <v>343</v>
      </c>
      <c r="J222" s="2" t="s">
        <v>344</v>
      </c>
      <c r="K222" s="5">
        <v>35728531</v>
      </c>
      <c r="L222" s="2" t="s">
        <v>310</v>
      </c>
      <c r="M222" s="2" t="s">
        <v>311</v>
      </c>
      <c r="N222" s="6">
        <v>44134</v>
      </c>
      <c r="O222" s="4">
        <v>17145790.030000001</v>
      </c>
      <c r="P222" s="2">
        <v>114723</v>
      </c>
      <c r="Q222" s="2" t="s">
        <v>446</v>
      </c>
      <c r="R222" s="2" t="s">
        <v>447</v>
      </c>
      <c r="S222" s="2" t="s">
        <v>71</v>
      </c>
      <c r="T222" s="2" t="s">
        <v>196</v>
      </c>
      <c r="W222" s="4">
        <v>800</v>
      </c>
      <c r="X222" s="4">
        <v>960</v>
      </c>
      <c r="Y222" s="4">
        <f t="shared" ref="Y222" si="245">INDEX(InternalRates,MATCH($S222,InternalRates01,FALSE),2)</f>
        <v>354.0333333333333</v>
      </c>
      <c r="Z222" s="3" t="str">
        <f t="shared" si="215"/>
        <v>Nie</v>
      </c>
      <c r="AA222" s="3" t="str">
        <f t="shared" si="216"/>
        <v>ZoD</v>
      </c>
      <c r="AB222" s="4">
        <v>72</v>
      </c>
      <c r="AD222" s="3" t="s">
        <v>48</v>
      </c>
      <c r="AE222" s="6">
        <v>44417</v>
      </c>
      <c r="AF222" s="3" t="s">
        <v>59</v>
      </c>
      <c r="AG222" s="3" t="s">
        <v>49</v>
      </c>
      <c r="AH222" s="3">
        <f>YEAR(SrcDB[[#This Row],[Datum_zverejnenia]])</f>
        <v>2020</v>
      </c>
      <c r="AI222" s="3" cm="1">
        <f t="array" ref="AI222">COUNT(_xlfn.UNIQUE(_xlfn._xlws.FILTER(SrcDB[ID],SrcDB[Objednavatel_ICO]=$H222)))</f>
        <v>15</v>
      </c>
      <c r="AJ222" s="3" cm="1">
        <f t="array" ref="AJ222">COUNT(_xlfn.UNIQUE(_xlfn._xlws.FILTER(SrcDB[ID],SrcDB[Dodavatel_ICO]=$K222)))</f>
        <v>8</v>
      </c>
      <c r="AK222" s="3">
        <f t="shared" si="218"/>
        <v>0</v>
      </c>
      <c r="AL222" s="3">
        <f t="shared" si="219"/>
        <v>0</v>
      </c>
      <c r="AM222" s="17" t="str">
        <f>IF(SrcDB[[#This Row],[Pocet zmluv objednavatela]]&gt;3,SrcDB[[#This Row],[Objednavatel]],"Ostatné")</f>
        <v>Ministerstvo vnútra SR</v>
      </c>
      <c r="AN222" s="17" t="str">
        <f>IF(SrcDB[[#This Row],[Pocet zmluv dodavatela]]&gt;3,SrcDB[[#This Row],[Dodavatel]],"Ostatné")</f>
        <v>InterWay, a.s.</v>
      </c>
    </row>
    <row r="223" spans="1:40" x14ac:dyDescent="0.3">
      <c r="A223" s="2" t="s">
        <v>445</v>
      </c>
      <c r="B223" s="2">
        <v>5053015</v>
      </c>
      <c r="C223" s="3" t="str">
        <f t="shared" si="210"/>
        <v>Áno</v>
      </c>
      <c r="D223" s="3" t="str">
        <f t="shared" si="211"/>
        <v>Nie</v>
      </c>
      <c r="E223" s="3" t="s">
        <v>49</v>
      </c>
      <c r="F223" s="3" t="s">
        <v>48</v>
      </c>
      <c r="G223" s="2" t="str">
        <f t="shared" si="212"/>
        <v>Veľké zmluvy</v>
      </c>
      <c r="H223" s="5" t="s">
        <v>342</v>
      </c>
      <c r="I223" s="2" t="s">
        <v>343</v>
      </c>
      <c r="J223" s="2" t="s">
        <v>344</v>
      </c>
      <c r="K223" s="5">
        <v>35728531</v>
      </c>
      <c r="L223" s="2" t="s">
        <v>310</v>
      </c>
      <c r="M223" s="2" t="s">
        <v>311</v>
      </c>
      <c r="N223" s="6">
        <v>44134</v>
      </c>
      <c r="O223" s="4">
        <v>17145790.030000001</v>
      </c>
      <c r="P223" s="2">
        <v>114723</v>
      </c>
      <c r="Q223" s="2" t="s">
        <v>446</v>
      </c>
      <c r="R223" s="2" t="s">
        <v>447</v>
      </c>
      <c r="S223" s="2" t="s">
        <v>56</v>
      </c>
      <c r="T223" s="2" t="s">
        <v>448</v>
      </c>
      <c r="U223" s="2" t="s">
        <v>449</v>
      </c>
      <c r="W223" s="4">
        <v>516.9</v>
      </c>
      <c r="X223" s="4">
        <v>620.28</v>
      </c>
      <c r="Y223" s="4">
        <f t="shared" ref="Y223" si="246">INDEX(InternalRates,MATCH($S223,InternalRates01,FALSE),2)</f>
        <v>278.98333333333335</v>
      </c>
      <c r="Z223" s="3" t="str">
        <f t="shared" si="215"/>
        <v>Nie</v>
      </c>
      <c r="AA223" s="3" t="str">
        <f t="shared" si="216"/>
        <v>ZoD</v>
      </c>
      <c r="AB223" s="4">
        <v>5</v>
      </c>
      <c r="AD223" s="3" t="s">
        <v>48</v>
      </c>
      <c r="AE223" s="6">
        <v>44417</v>
      </c>
      <c r="AF223" s="3" t="s">
        <v>59</v>
      </c>
      <c r="AG223" s="3" t="s">
        <v>49</v>
      </c>
      <c r="AH223" s="3">
        <f>YEAR(SrcDB[[#This Row],[Datum_zverejnenia]])</f>
        <v>2020</v>
      </c>
      <c r="AI223" s="3" cm="1">
        <f t="array" ref="AI223">COUNT(_xlfn.UNIQUE(_xlfn._xlws.FILTER(SrcDB[ID],SrcDB[Objednavatel_ICO]=$H223)))</f>
        <v>15</v>
      </c>
      <c r="AJ223" s="3" cm="1">
        <f t="array" ref="AJ223">COUNT(_xlfn.UNIQUE(_xlfn._xlws.FILTER(SrcDB[ID],SrcDB[Dodavatel_ICO]=$K223)))</f>
        <v>8</v>
      </c>
      <c r="AK223" s="3">
        <f t="shared" si="218"/>
        <v>0</v>
      </c>
      <c r="AL223" s="3">
        <f t="shared" si="219"/>
        <v>0</v>
      </c>
      <c r="AM223" s="17" t="str">
        <f>IF(SrcDB[[#This Row],[Pocet zmluv objednavatela]]&gt;3,SrcDB[[#This Row],[Objednavatel]],"Ostatné")</f>
        <v>Ministerstvo vnútra SR</v>
      </c>
      <c r="AN223" s="17" t="str">
        <f>IF(SrcDB[[#This Row],[Pocet zmluv dodavatela]]&gt;3,SrcDB[[#This Row],[Dodavatel]],"Ostatné")</f>
        <v>InterWay, a.s.</v>
      </c>
    </row>
    <row r="224" spans="1:40" x14ac:dyDescent="0.3">
      <c r="A224" s="2" t="s">
        <v>445</v>
      </c>
      <c r="B224" s="2">
        <v>5053015</v>
      </c>
      <c r="C224" s="3" t="str">
        <f t="shared" si="210"/>
        <v>Áno</v>
      </c>
      <c r="D224" s="3" t="str">
        <f t="shared" si="211"/>
        <v>Nie</v>
      </c>
      <c r="E224" s="3" t="s">
        <v>49</v>
      </c>
      <c r="F224" s="3" t="s">
        <v>48</v>
      </c>
      <c r="G224" s="2" t="str">
        <f t="shared" si="212"/>
        <v>Veľké zmluvy</v>
      </c>
      <c r="H224" s="5" t="s">
        <v>342</v>
      </c>
      <c r="I224" s="2" t="s">
        <v>343</v>
      </c>
      <c r="J224" s="2" t="s">
        <v>344</v>
      </c>
      <c r="K224" s="5">
        <v>35728531</v>
      </c>
      <c r="L224" s="2" t="s">
        <v>310</v>
      </c>
      <c r="M224" s="2" t="s">
        <v>311</v>
      </c>
      <c r="N224" s="6">
        <v>44134</v>
      </c>
      <c r="O224" s="4">
        <v>17145790.030000001</v>
      </c>
      <c r="P224" s="2">
        <v>114723</v>
      </c>
      <c r="Q224" s="2" t="s">
        <v>446</v>
      </c>
      <c r="R224" s="2" t="s">
        <v>447</v>
      </c>
      <c r="S224" s="2" t="s">
        <v>56</v>
      </c>
      <c r="T224" s="2" t="s">
        <v>94</v>
      </c>
      <c r="U224" s="2" t="s">
        <v>95</v>
      </c>
      <c r="W224" s="4">
        <v>950</v>
      </c>
      <c r="X224" s="4">
        <v>1140</v>
      </c>
      <c r="Y224" s="4">
        <f t="shared" ref="Y224" si="247">INDEX(InternalRates,MATCH($S224,InternalRates01,FALSE),2)</f>
        <v>278.98333333333335</v>
      </c>
      <c r="Z224" s="3" t="str">
        <f t="shared" si="215"/>
        <v>Nie</v>
      </c>
      <c r="AA224" s="3" t="str">
        <f t="shared" si="216"/>
        <v>ZoD</v>
      </c>
      <c r="AB224" s="4">
        <v>40</v>
      </c>
      <c r="AD224" s="3" t="s">
        <v>48</v>
      </c>
      <c r="AE224" s="6">
        <v>44417</v>
      </c>
      <c r="AF224" s="3" t="s">
        <v>59</v>
      </c>
      <c r="AG224" s="3" t="s">
        <v>49</v>
      </c>
      <c r="AH224" s="3">
        <f>YEAR(SrcDB[[#This Row],[Datum_zverejnenia]])</f>
        <v>2020</v>
      </c>
      <c r="AI224" s="3" cm="1">
        <f t="array" ref="AI224">COUNT(_xlfn.UNIQUE(_xlfn._xlws.FILTER(SrcDB[ID],SrcDB[Objednavatel_ICO]=$H224)))</f>
        <v>15</v>
      </c>
      <c r="AJ224" s="3" cm="1">
        <f t="array" ref="AJ224">COUNT(_xlfn.UNIQUE(_xlfn._xlws.FILTER(SrcDB[ID],SrcDB[Dodavatel_ICO]=$K224)))</f>
        <v>8</v>
      </c>
      <c r="AK224" s="3">
        <f t="shared" si="218"/>
        <v>0</v>
      </c>
      <c r="AL224" s="3">
        <f t="shared" si="219"/>
        <v>0</v>
      </c>
      <c r="AM224" s="17" t="str">
        <f>IF(SrcDB[[#This Row],[Pocet zmluv objednavatela]]&gt;3,SrcDB[[#This Row],[Objednavatel]],"Ostatné")</f>
        <v>Ministerstvo vnútra SR</v>
      </c>
      <c r="AN224" s="17" t="str">
        <f>IF(SrcDB[[#This Row],[Pocet zmluv dodavatela]]&gt;3,SrcDB[[#This Row],[Dodavatel]],"Ostatné")</f>
        <v>InterWay, a.s.</v>
      </c>
    </row>
    <row r="225" spans="1:40" x14ac:dyDescent="0.3">
      <c r="A225" s="2" t="s">
        <v>445</v>
      </c>
      <c r="B225" s="2">
        <v>5053015</v>
      </c>
      <c r="C225" s="3" t="str">
        <f t="shared" si="210"/>
        <v>Áno</v>
      </c>
      <c r="D225" s="3" t="str">
        <f t="shared" si="211"/>
        <v>Nie</v>
      </c>
      <c r="E225" s="3" t="s">
        <v>49</v>
      </c>
      <c r="F225" s="3" t="s">
        <v>48</v>
      </c>
      <c r="G225" s="2" t="str">
        <f t="shared" si="212"/>
        <v>Veľké zmluvy</v>
      </c>
      <c r="H225" s="5" t="s">
        <v>342</v>
      </c>
      <c r="I225" s="2" t="s">
        <v>343</v>
      </c>
      <c r="J225" s="2" t="s">
        <v>344</v>
      </c>
      <c r="K225" s="5">
        <v>35728531</v>
      </c>
      <c r="L225" s="2" t="s">
        <v>310</v>
      </c>
      <c r="M225" s="2" t="s">
        <v>311</v>
      </c>
      <c r="N225" s="6">
        <v>44134</v>
      </c>
      <c r="O225" s="4">
        <v>17145790.030000001</v>
      </c>
      <c r="P225" s="2">
        <v>114723</v>
      </c>
      <c r="Q225" s="2" t="s">
        <v>446</v>
      </c>
      <c r="R225" s="2" t="s">
        <v>447</v>
      </c>
      <c r="S225" s="2" t="s">
        <v>77</v>
      </c>
      <c r="T225" s="2" t="s">
        <v>92</v>
      </c>
      <c r="W225" s="4">
        <v>580</v>
      </c>
      <c r="X225" s="4">
        <v>696</v>
      </c>
      <c r="Y225" s="4">
        <f t="shared" ref="Y225" si="248">INDEX(InternalRates,MATCH($S225,InternalRates01,FALSE),2)</f>
        <v>278.98333333333335</v>
      </c>
      <c r="Z225" s="3" t="str">
        <f t="shared" si="215"/>
        <v>Nie</v>
      </c>
      <c r="AA225" s="3" t="str">
        <f t="shared" si="216"/>
        <v>ZoD</v>
      </c>
      <c r="AB225" s="4">
        <v>46</v>
      </c>
      <c r="AD225" s="3" t="s">
        <v>48</v>
      </c>
      <c r="AE225" s="6">
        <v>44417</v>
      </c>
      <c r="AF225" s="3" t="s">
        <v>59</v>
      </c>
      <c r="AG225" s="3" t="s">
        <v>49</v>
      </c>
      <c r="AH225" s="3">
        <f>YEAR(SrcDB[[#This Row],[Datum_zverejnenia]])</f>
        <v>2020</v>
      </c>
      <c r="AI225" s="3" cm="1">
        <f t="array" ref="AI225">COUNT(_xlfn.UNIQUE(_xlfn._xlws.FILTER(SrcDB[ID],SrcDB[Objednavatel_ICO]=$H225)))</f>
        <v>15</v>
      </c>
      <c r="AJ225" s="3" cm="1">
        <f t="array" ref="AJ225">COUNT(_xlfn.UNIQUE(_xlfn._xlws.FILTER(SrcDB[ID],SrcDB[Dodavatel_ICO]=$K225)))</f>
        <v>8</v>
      </c>
      <c r="AK225" s="3">
        <f t="shared" si="218"/>
        <v>0</v>
      </c>
      <c r="AL225" s="3">
        <f t="shared" si="219"/>
        <v>0</v>
      </c>
      <c r="AM225" s="17" t="str">
        <f>IF(SrcDB[[#This Row],[Pocet zmluv objednavatela]]&gt;3,SrcDB[[#This Row],[Objednavatel]],"Ostatné")</f>
        <v>Ministerstvo vnútra SR</v>
      </c>
      <c r="AN225" s="17" t="str">
        <f>IF(SrcDB[[#This Row],[Pocet zmluv dodavatela]]&gt;3,SrcDB[[#This Row],[Dodavatel]],"Ostatné")</f>
        <v>InterWay, a.s.</v>
      </c>
    </row>
    <row r="226" spans="1:40" x14ac:dyDescent="0.3">
      <c r="A226" s="2" t="s">
        <v>445</v>
      </c>
      <c r="B226" s="2">
        <v>5053015</v>
      </c>
      <c r="C226" s="3" t="str">
        <f t="shared" si="210"/>
        <v>Áno</v>
      </c>
      <c r="D226" s="3" t="str">
        <f t="shared" si="211"/>
        <v>Nie</v>
      </c>
      <c r="E226" s="3" t="s">
        <v>49</v>
      </c>
      <c r="F226" s="3" t="s">
        <v>48</v>
      </c>
      <c r="G226" s="2" t="str">
        <f t="shared" si="212"/>
        <v>Veľké zmluvy</v>
      </c>
      <c r="H226" s="5" t="s">
        <v>342</v>
      </c>
      <c r="I226" s="2" t="s">
        <v>343</v>
      </c>
      <c r="J226" s="2" t="s">
        <v>344</v>
      </c>
      <c r="K226" s="5">
        <v>35728531</v>
      </c>
      <c r="L226" s="2" t="s">
        <v>310</v>
      </c>
      <c r="M226" s="2" t="s">
        <v>311</v>
      </c>
      <c r="N226" s="6">
        <v>44134</v>
      </c>
      <c r="O226" s="4">
        <v>17145790.030000001</v>
      </c>
      <c r="P226" s="2">
        <v>114723</v>
      </c>
      <c r="Q226" s="2" t="s">
        <v>446</v>
      </c>
      <c r="R226" s="2" t="s">
        <v>447</v>
      </c>
      <c r="S226" s="2" t="s">
        <v>56</v>
      </c>
      <c r="T226" s="2" t="s">
        <v>448</v>
      </c>
      <c r="U226" s="2" t="s">
        <v>449</v>
      </c>
      <c r="W226" s="4">
        <v>700.5</v>
      </c>
      <c r="X226" s="4">
        <v>840.6</v>
      </c>
      <c r="Y226" s="4">
        <f t="shared" ref="Y226" si="249">INDEX(InternalRates,MATCH($S226,InternalRates01,FALSE),2)</f>
        <v>278.98333333333335</v>
      </c>
      <c r="Z226" s="3" t="str">
        <f t="shared" si="215"/>
        <v>Nie</v>
      </c>
      <c r="AA226" s="3" t="str">
        <f t="shared" si="216"/>
        <v>ZoD</v>
      </c>
      <c r="AB226" s="4">
        <v>2</v>
      </c>
      <c r="AD226" s="3" t="s">
        <v>48</v>
      </c>
      <c r="AE226" s="6">
        <v>44417</v>
      </c>
      <c r="AF226" s="3" t="s">
        <v>59</v>
      </c>
      <c r="AG226" s="3" t="s">
        <v>49</v>
      </c>
      <c r="AH226" s="3">
        <f>YEAR(SrcDB[[#This Row],[Datum_zverejnenia]])</f>
        <v>2020</v>
      </c>
      <c r="AI226" s="3" cm="1">
        <f t="array" ref="AI226">COUNT(_xlfn.UNIQUE(_xlfn._xlws.FILTER(SrcDB[ID],SrcDB[Objednavatel_ICO]=$H226)))</f>
        <v>15</v>
      </c>
      <c r="AJ226" s="3" cm="1">
        <f t="array" ref="AJ226">COUNT(_xlfn.UNIQUE(_xlfn._xlws.FILTER(SrcDB[ID],SrcDB[Dodavatel_ICO]=$K226)))</f>
        <v>8</v>
      </c>
      <c r="AK226" s="3">
        <f t="shared" si="218"/>
        <v>0</v>
      </c>
      <c r="AL226" s="3">
        <f t="shared" si="219"/>
        <v>0</v>
      </c>
      <c r="AM226" s="17" t="str">
        <f>IF(SrcDB[[#This Row],[Pocet zmluv objednavatela]]&gt;3,SrcDB[[#This Row],[Objednavatel]],"Ostatné")</f>
        <v>Ministerstvo vnútra SR</v>
      </c>
      <c r="AN226" s="17" t="str">
        <f>IF(SrcDB[[#This Row],[Pocet zmluv dodavatela]]&gt;3,SrcDB[[#This Row],[Dodavatel]],"Ostatné")</f>
        <v>InterWay, a.s.</v>
      </c>
    </row>
    <row r="227" spans="1:40" x14ac:dyDescent="0.3">
      <c r="A227" s="2" t="s">
        <v>445</v>
      </c>
      <c r="B227" s="2">
        <v>5053015</v>
      </c>
      <c r="C227" s="3" t="str">
        <f t="shared" si="210"/>
        <v>Áno</v>
      </c>
      <c r="D227" s="3" t="str">
        <f t="shared" si="211"/>
        <v>Nie</v>
      </c>
      <c r="E227" s="3" t="s">
        <v>49</v>
      </c>
      <c r="F227" s="3" t="s">
        <v>48</v>
      </c>
      <c r="G227" s="2" t="str">
        <f t="shared" si="212"/>
        <v>Veľké zmluvy</v>
      </c>
      <c r="H227" s="5" t="s">
        <v>342</v>
      </c>
      <c r="I227" s="2" t="s">
        <v>343</v>
      </c>
      <c r="J227" s="2" t="s">
        <v>344</v>
      </c>
      <c r="K227" s="5">
        <v>35728531</v>
      </c>
      <c r="L227" s="2" t="s">
        <v>310</v>
      </c>
      <c r="M227" s="2" t="s">
        <v>311</v>
      </c>
      <c r="N227" s="6">
        <v>44134</v>
      </c>
      <c r="O227" s="4">
        <v>17145790.030000001</v>
      </c>
      <c r="P227" s="2">
        <v>114723</v>
      </c>
      <c r="Q227" s="2" t="s">
        <v>446</v>
      </c>
      <c r="R227" s="2" t="s">
        <v>447</v>
      </c>
      <c r="S227" s="2" t="s">
        <v>79</v>
      </c>
      <c r="T227" s="2" t="s">
        <v>93</v>
      </c>
      <c r="W227" s="4">
        <v>480</v>
      </c>
      <c r="X227" s="4">
        <v>576</v>
      </c>
      <c r="Y227" s="4">
        <f t="shared" ref="Y227" si="250">INDEX(InternalRates,MATCH($S227,InternalRates01,FALSE),2)</f>
        <v>278.98333333333335</v>
      </c>
      <c r="Z227" s="3" t="str">
        <f t="shared" si="215"/>
        <v>Nie</v>
      </c>
      <c r="AA227" s="3" t="str">
        <f t="shared" si="216"/>
        <v>ZoD</v>
      </c>
      <c r="AB227" s="4">
        <v>31</v>
      </c>
      <c r="AD227" s="3" t="s">
        <v>48</v>
      </c>
      <c r="AE227" s="6">
        <v>44417</v>
      </c>
      <c r="AF227" s="3" t="s">
        <v>59</v>
      </c>
      <c r="AG227" s="3" t="s">
        <v>49</v>
      </c>
      <c r="AH227" s="3">
        <f>YEAR(SrcDB[[#This Row],[Datum_zverejnenia]])</f>
        <v>2020</v>
      </c>
      <c r="AI227" s="3" cm="1">
        <f t="array" ref="AI227">COUNT(_xlfn.UNIQUE(_xlfn._xlws.FILTER(SrcDB[ID],SrcDB[Objednavatel_ICO]=$H227)))</f>
        <v>15</v>
      </c>
      <c r="AJ227" s="3" cm="1">
        <f t="array" ref="AJ227">COUNT(_xlfn.UNIQUE(_xlfn._xlws.FILTER(SrcDB[ID],SrcDB[Dodavatel_ICO]=$K227)))</f>
        <v>8</v>
      </c>
      <c r="AK227" s="3">
        <f t="shared" si="218"/>
        <v>0</v>
      </c>
      <c r="AL227" s="3">
        <f t="shared" si="219"/>
        <v>0</v>
      </c>
      <c r="AM227" s="17" t="str">
        <f>IF(SrcDB[[#This Row],[Pocet zmluv objednavatela]]&gt;3,SrcDB[[#This Row],[Objednavatel]],"Ostatné")</f>
        <v>Ministerstvo vnútra SR</v>
      </c>
      <c r="AN227" s="17" t="str">
        <f>IF(SrcDB[[#This Row],[Pocet zmluv dodavatela]]&gt;3,SrcDB[[#This Row],[Dodavatel]],"Ostatné")</f>
        <v>InterWay, a.s.</v>
      </c>
    </row>
    <row r="228" spans="1:40" x14ac:dyDescent="0.3">
      <c r="A228" s="2" t="s">
        <v>445</v>
      </c>
      <c r="B228" s="2">
        <v>5053015</v>
      </c>
      <c r="C228" s="3" t="str">
        <f t="shared" si="210"/>
        <v>Áno</v>
      </c>
      <c r="D228" s="3" t="str">
        <f t="shared" si="211"/>
        <v>Nie</v>
      </c>
      <c r="E228" s="3" t="s">
        <v>49</v>
      </c>
      <c r="F228" s="3" t="s">
        <v>48</v>
      </c>
      <c r="G228" s="2" t="str">
        <f t="shared" si="212"/>
        <v>Veľké zmluvy</v>
      </c>
      <c r="H228" s="5" t="s">
        <v>342</v>
      </c>
      <c r="I228" s="2" t="s">
        <v>343</v>
      </c>
      <c r="J228" s="2" t="s">
        <v>344</v>
      </c>
      <c r="K228" s="5">
        <v>35728531</v>
      </c>
      <c r="L228" s="2" t="s">
        <v>310</v>
      </c>
      <c r="M228" s="2" t="s">
        <v>311</v>
      </c>
      <c r="N228" s="6">
        <v>44134</v>
      </c>
      <c r="O228" s="4">
        <v>17145790.030000001</v>
      </c>
      <c r="P228" s="2">
        <v>114723</v>
      </c>
      <c r="Q228" s="2" t="s">
        <v>446</v>
      </c>
      <c r="R228" s="2" t="s">
        <v>447</v>
      </c>
      <c r="S228" s="2" t="s">
        <v>56</v>
      </c>
      <c r="T228" s="2" t="s">
        <v>448</v>
      </c>
      <c r="U228" s="2" t="s">
        <v>449</v>
      </c>
      <c r="W228" s="4">
        <v>651.75</v>
      </c>
      <c r="X228" s="4">
        <v>782.1</v>
      </c>
      <c r="Y228" s="4">
        <f t="shared" ref="Y228" si="251">INDEX(InternalRates,MATCH($S228,InternalRates01,FALSE),2)</f>
        <v>278.98333333333335</v>
      </c>
      <c r="Z228" s="3" t="str">
        <f t="shared" si="215"/>
        <v>Nie</v>
      </c>
      <c r="AA228" s="3" t="str">
        <f t="shared" si="216"/>
        <v>ZoD</v>
      </c>
      <c r="AB228" s="4">
        <v>2</v>
      </c>
      <c r="AD228" s="3" t="s">
        <v>48</v>
      </c>
      <c r="AE228" s="6">
        <v>44417</v>
      </c>
      <c r="AF228" s="3" t="s">
        <v>59</v>
      </c>
      <c r="AG228" s="3" t="s">
        <v>49</v>
      </c>
      <c r="AH228" s="3">
        <f>YEAR(SrcDB[[#This Row],[Datum_zverejnenia]])</f>
        <v>2020</v>
      </c>
      <c r="AI228" s="3" cm="1">
        <f t="array" ref="AI228">COUNT(_xlfn.UNIQUE(_xlfn._xlws.FILTER(SrcDB[ID],SrcDB[Objednavatel_ICO]=$H228)))</f>
        <v>15</v>
      </c>
      <c r="AJ228" s="3" cm="1">
        <f t="array" ref="AJ228">COUNT(_xlfn.UNIQUE(_xlfn._xlws.FILTER(SrcDB[ID],SrcDB[Dodavatel_ICO]=$K228)))</f>
        <v>8</v>
      </c>
      <c r="AK228" s="3">
        <f t="shared" si="218"/>
        <v>0</v>
      </c>
      <c r="AL228" s="3">
        <f t="shared" si="219"/>
        <v>0</v>
      </c>
      <c r="AM228" s="17" t="str">
        <f>IF(SrcDB[[#This Row],[Pocet zmluv objednavatela]]&gt;3,SrcDB[[#This Row],[Objednavatel]],"Ostatné")</f>
        <v>Ministerstvo vnútra SR</v>
      </c>
      <c r="AN228" s="17" t="str">
        <f>IF(SrcDB[[#This Row],[Pocet zmluv dodavatela]]&gt;3,SrcDB[[#This Row],[Dodavatel]],"Ostatné")</f>
        <v>InterWay, a.s.</v>
      </c>
    </row>
    <row r="229" spans="1:40" x14ac:dyDescent="0.3">
      <c r="A229" s="2" t="s">
        <v>445</v>
      </c>
      <c r="B229" s="2">
        <v>5053015</v>
      </c>
      <c r="C229" s="3" t="str">
        <f t="shared" si="210"/>
        <v>Áno</v>
      </c>
      <c r="D229" s="3" t="str">
        <f t="shared" si="211"/>
        <v>Nie</v>
      </c>
      <c r="E229" s="3" t="s">
        <v>49</v>
      </c>
      <c r="F229" s="3" t="s">
        <v>48</v>
      </c>
      <c r="G229" s="2" t="str">
        <f t="shared" si="212"/>
        <v>Veľké zmluvy</v>
      </c>
      <c r="H229" s="5" t="s">
        <v>342</v>
      </c>
      <c r="I229" s="2" t="s">
        <v>343</v>
      </c>
      <c r="J229" s="2" t="s">
        <v>344</v>
      </c>
      <c r="K229" s="5">
        <v>35728531</v>
      </c>
      <c r="L229" s="2" t="s">
        <v>310</v>
      </c>
      <c r="M229" s="2" t="s">
        <v>311</v>
      </c>
      <c r="N229" s="6">
        <v>44134</v>
      </c>
      <c r="O229" s="4">
        <v>17145790.030000001</v>
      </c>
      <c r="P229" s="2">
        <v>114723</v>
      </c>
      <c r="Q229" s="2" t="s">
        <v>446</v>
      </c>
      <c r="R229" s="2" t="s">
        <v>447</v>
      </c>
      <c r="S229" s="2" t="s">
        <v>56</v>
      </c>
      <c r="T229" s="2" t="s">
        <v>448</v>
      </c>
      <c r="U229" s="2" t="s">
        <v>449</v>
      </c>
      <c r="W229" s="4">
        <v>523.5</v>
      </c>
      <c r="X229" s="4">
        <v>628.19999999999993</v>
      </c>
      <c r="Y229" s="4">
        <f t="shared" ref="Y229" si="252">INDEX(InternalRates,MATCH($S229,InternalRates01,FALSE),2)</f>
        <v>278.98333333333335</v>
      </c>
      <c r="Z229" s="3" t="str">
        <f t="shared" si="215"/>
        <v>Nie</v>
      </c>
      <c r="AA229" s="3" t="str">
        <f t="shared" si="216"/>
        <v>ZoD</v>
      </c>
      <c r="AB229" s="4">
        <v>1</v>
      </c>
      <c r="AD229" s="3" t="s">
        <v>48</v>
      </c>
      <c r="AE229" s="6">
        <v>44417</v>
      </c>
      <c r="AF229" s="3" t="s">
        <v>59</v>
      </c>
      <c r="AG229" s="3" t="s">
        <v>49</v>
      </c>
      <c r="AH229" s="3">
        <f>YEAR(SrcDB[[#This Row],[Datum_zverejnenia]])</f>
        <v>2020</v>
      </c>
      <c r="AI229" s="3" cm="1">
        <f t="array" ref="AI229">COUNT(_xlfn.UNIQUE(_xlfn._xlws.FILTER(SrcDB[ID],SrcDB[Objednavatel_ICO]=$H229)))</f>
        <v>15</v>
      </c>
      <c r="AJ229" s="3" cm="1">
        <f t="array" ref="AJ229">COUNT(_xlfn.UNIQUE(_xlfn._xlws.FILTER(SrcDB[ID],SrcDB[Dodavatel_ICO]=$K229)))</f>
        <v>8</v>
      </c>
      <c r="AK229" s="3">
        <f t="shared" si="218"/>
        <v>0</v>
      </c>
      <c r="AL229" s="3">
        <f t="shared" si="219"/>
        <v>0</v>
      </c>
      <c r="AM229" s="17" t="str">
        <f>IF(SrcDB[[#This Row],[Pocet zmluv objednavatela]]&gt;3,SrcDB[[#This Row],[Objednavatel]],"Ostatné")</f>
        <v>Ministerstvo vnútra SR</v>
      </c>
      <c r="AN229" s="17" t="str">
        <f>IF(SrcDB[[#This Row],[Pocet zmluv dodavatela]]&gt;3,SrcDB[[#This Row],[Dodavatel]],"Ostatné")</f>
        <v>InterWay, a.s.</v>
      </c>
    </row>
    <row r="230" spans="1:40" x14ac:dyDescent="0.3">
      <c r="A230" s="2" t="s">
        <v>445</v>
      </c>
      <c r="B230" s="2">
        <v>5053015</v>
      </c>
      <c r="C230" s="3" t="str">
        <f t="shared" si="210"/>
        <v>Áno</v>
      </c>
      <c r="D230" s="3" t="str">
        <f t="shared" si="211"/>
        <v>Nie</v>
      </c>
      <c r="E230" s="3" t="s">
        <v>49</v>
      </c>
      <c r="F230" s="3" t="s">
        <v>48</v>
      </c>
      <c r="G230" s="2" t="str">
        <f t="shared" si="212"/>
        <v>Veľké zmluvy</v>
      </c>
      <c r="H230" s="5" t="s">
        <v>342</v>
      </c>
      <c r="I230" s="2" t="s">
        <v>343</v>
      </c>
      <c r="J230" s="2" t="s">
        <v>344</v>
      </c>
      <c r="K230" s="5">
        <v>35728531</v>
      </c>
      <c r="L230" s="2" t="s">
        <v>310</v>
      </c>
      <c r="M230" s="2" t="s">
        <v>311</v>
      </c>
      <c r="N230" s="6">
        <v>44134</v>
      </c>
      <c r="O230" s="4">
        <v>17145790.030000001</v>
      </c>
      <c r="P230" s="2">
        <v>114723</v>
      </c>
      <c r="Q230" s="2" t="s">
        <v>446</v>
      </c>
      <c r="R230" s="2" t="s">
        <v>447</v>
      </c>
      <c r="S230" s="2" t="s">
        <v>56</v>
      </c>
      <c r="T230" s="2" t="s">
        <v>448</v>
      </c>
      <c r="U230" s="2" t="s">
        <v>449</v>
      </c>
      <c r="W230" s="4">
        <v>297.5</v>
      </c>
      <c r="X230" s="4">
        <v>357</v>
      </c>
      <c r="Y230" s="4">
        <f t="shared" ref="Y230" si="253">INDEX(InternalRates,MATCH($S230,InternalRates01,FALSE),2)</f>
        <v>278.98333333333335</v>
      </c>
      <c r="Z230" s="3" t="str">
        <f t="shared" si="215"/>
        <v>Nie</v>
      </c>
      <c r="AA230" s="3" t="str">
        <f t="shared" si="216"/>
        <v>ZoD</v>
      </c>
      <c r="AB230" s="4">
        <v>1</v>
      </c>
      <c r="AD230" s="3" t="s">
        <v>48</v>
      </c>
      <c r="AE230" s="6">
        <v>44417</v>
      </c>
      <c r="AF230" s="3" t="s">
        <v>59</v>
      </c>
      <c r="AG230" s="3" t="s">
        <v>49</v>
      </c>
      <c r="AH230" s="3">
        <f>YEAR(SrcDB[[#This Row],[Datum_zverejnenia]])</f>
        <v>2020</v>
      </c>
      <c r="AI230" s="3" cm="1">
        <f t="array" ref="AI230">COUNT(_xlfn.UNIQUE(_xlfn._xlws.FILTER(SrcDB[ID],SrcDB[Objednavatel_ICO]=$H230)))</f>
        <v>15</v>
      </c>
      <c r="AJ230" s="3" cm="1">
        <f t="array" ref="AJ230">COUNT(_xlfn.UNIQUE(_xlfn._xlws.FILTER(SrcDB[ID],SrcDB[Dodavatel_ICO]=$K230)))</f>
        <v>8</v>
      </c>
      <c r="AK230" s="3">
        <f t="shared" si="218"/>
        <v>0</v>
      </c>
      <c r="AL230" s="3">
        <f t="shared" si="219"/>
        <v>0</v>
      </c>
      <c r="AM230" s="17" t="str">
        <f>IF(SrcDB[[#This Row],[Pocet zmluv objednavatela]]&gt;3,SrcDB[[#This Row],[Objednavatel]],"Ostatné")</f>
        <v>Ministerstvo vnútra SR</v>
      </c>
      <c r="AN230" s="17" t="str">
        <f>IF(SrcDB[[#This Row],[Pocet zmluv dodavatela]]&gt;3,SrcDB[[#This Row],[Dodavatel]],"Ostatné")</f>
        <v>InterWay, a.s.</v>
      </c>
    </row>
    <row r="231" spans="1:40" x14ac:dyDescent="0.3">
      <c r="A231" s="2" t="s">
        <v>445</v>
      </c>
      <c r="B231" s="2">
        <v>5053015</v>
      </c>
      <c r="C231" s="3" t="str">
        <f t="shared" si="210"/>
        <v>Áno</v>
      </c>
      <c r="D231" s="3" t="str">
        <f t="shared" si="211"/>
        <v>Nie</v>
      </c>
      <c r="E231" s="3" t="s">
        <v>49</v>
      </c>
      <c r="F231" s="3" t="s">
        <v>48</v>
      </c>
      <c r="G231" s="2" t="str">
        <f t="shared" si="212"/>
        <v>Veľké zmluvy</v>
      </c>
      <c r="H231" s="5" t="s">
        <v>342</v>
      </c>
      <c r="I231" s="2" t="s">
        <v>343</v>
      </c>
      <c r="J231" s="2" t="s">
        <v>344</v>
      </c>
      <c r="K231" s="5">
        <v>35728531</v>
      </c>
      <c r="L231" s="2" t="s">
        <v>310</v>
      </c>
      <c r="M231" s="2" t="s">
        <v>311</v>
      </c>
      <c r="N231" s="6">
        <v>44134</v>
      </c>
      <c r="O231" s="4">
        <v>17145790.030000001</v>
      </c>
      <c r="P231" s="2">
        <v>114723</v>
      </c>
      <c r="Q231" s="2" t="s">
        <v>446</v>
      </c>
      <c r="R231" s="2" t="s">
        <v>447</v>
      </c>
      <c r="S231" s="2" t="s">
        <v>56</v>
      </c>
      <c r="T231" s="2" t="s">
        <v>448</v>
      </c>
      <c r="U231" s="2" t="s">
        <v>449</v>
      </c>
      <c r="W231" s="4">
        <v>600</v>
      </c>
      <c r="X231" s="4">
        <v>720</v>
      </c>
      <c r="Y231" s="4">
        <f t="shared" ref="Y231" si="254">INDEX(InternalRates,MATCH($S231,InternalRates01,FALSE),2)</f>
        <v>278.98333333333335</v>
      </c>
      <c r="Z231" s="3" t="str">
        <f t="shared" si="215"/>
        <v>Nie</v>
      </c>
      <c r="AA231" s="3" t="str">
        <f t="shared" si="216"/>
        <v>ZoD</v>
      </c>
      <c r="AB231" s="4">
        <v>1</v>
      </c>
      <c r="AD231" s="3" t="s">
        <v>48</v>
      </c>
      <c r="AE231" s="6">
        <v>44417</v>
      </c>
      <c r="AF231" s="3" t="s">
        <v>59</v>
      </c>
      <c r="AG231" s="3" t="s">
        <v>49</v>
      </c>
      <c r="AH231" s="3">
        <f>YEAR(SrcDB[[#This Row],[Datum_zverejnenia]])</f>
        <v>2020</v>
      </c>
      <c r="AI231" s="3" cm="1">
        <f t="array" ref="AI231">COUNT(_xlfn.UNIQUE(_xlfn._xlws.FILTER(SrcDB[ID],SrcDB[Objednavatel_ICO]=$H231)))</f>
        <v>15</v>
      </c>
      <c r="AJ231" s="3" cm="1">
        <f t="array" ref="AJ231">COUNT(_xlfn.UNIQUE(_xlfn._xlws.FILTER(SrcDB[ID],SrcDB[Dodavatel_ICO]=$K231)))</f>
        <v>8</v>
      </c>
      <c r="AK231" s="3">
        <f t="shared" si="218"/>
        <v>0</v>
      </c>
      <c r="AL231" s="3">
        <f t="shared" si="219"/>
        <v>0</v>
      </c>
      <c r="AM231" s="17" t="str">
        <f>IF(SrcDB[[#This Row],[Pocet zmluv objednavatela]]&gt;3,SrcDB[[#This Row],[Objednavatel]],"Ostatné")</f>
        <v>Ministerstvo vnútra SR</v>
      </c>
      <c r="AN231" s="17" t="str">
        <f>IF(SrcDB[[#This Row],[Pocet zmluv dodavatela]]&gt;3,SrcDB[[#This Row],[Dodavatel]],"Ostatné")</f>
        <v>InterWay, a.s.</v>
      </c>
    </row>
    <row r="232" spans="1:40" x14ac:dyDescent="0.3">
      <c r="A232" s="2" t="s">
        <v>445</v>
      </c>
      <c r="B232" s="2">
        <v>5053015</v>
      </c>
      <c r="C232" s="3" t="str">
        <f t="shared" si="210"/>
        <v>Áno</v>
      </c>
      <c r="D232" s="3" t="str">
        <f t="shared" si="211"/>
        <v>Nie</v>
      </c>
      <c r="E232" s="3" t="s">
        <v>49</v>
      </c>
      <c r="F232" s="3" t="s">
        <v>48</v>
      </c>
      <c r="G232" s="2" t="str">
        <f t="shared" si="212"/>
        <v>Veľké zmluvy</v>
      </c>
      <c r="H232" s="5" t="s">
        <v>342</v>
      </c>
      <c r="I232" s="2" t="s">
        <v>343</v>
      </c>
      <c r="J232" s="2" t="s">
        <v>344</v>
      </c>
      <c r="K232" s="5">
        <v>35728531</v>
      </c>
      <c r="L232" s="2" t="s">
        <v>310</v>
      </c>
      <c r="M232" s="2" t="s">
        <v>311</v>
      </c>
      <c r="N232" s="6">
        <v>44134</v>
      </c>
      <c r="O232" s="4">
        <v>17145790.030000001</v>
      </c>
      <c r="P232" s="2">
        <v>114723</v>
      </c>
      <c r="Q232" s="2" t="s">
        <v>446</v>
      </c>
      <c r="R232" s="2" t="s">
        <v>447</v>
      </c>
      <c r="S232" s="2" t="s">
        <v>56</v>
      </c>
      <c r="T232" s="2" t="s">
        <v>448</v>
      </c>
      <c r="U232" s="2" t="s">
        <v>449</v>
      </c>
      <c r="W232" s="4">
        <v>665.45</v>
      </c>
      <c r="X232" s="4">
        <v>798.54000000000008</v>
      </c>
      <c r="Y232" s="4">
        <f t="shared" ref="Y232" si="255">INDEX(InternalRates,MATCH($S232,InternalRates01,FALSE),2)</f>
        <v>278.98333333333335</v>
      </c>
      <c r="Z232" s="3" t="str">
        <f t="shared" si="215"/>
        <v>Nie</v>
      </c>
      <c r="AA232" s="3" t="str">
        <f t="shared" si="216"/>
        <v>ZoD</v>
      </c>
      <c r="AB232" s="4">
        <v>10</v>
      </c>
      <c r="AD232" s="3" t="s">
        <v>48</v>
      </c>
      <c r="AE232" s="6">
        <v>44417</v>
      </c>
      <c r="AF232" s="3" t="s">
        <v>59</v>
      </c>
      <c r="AG232" s="3" t="s">
        <v>49</v>
      </c>
      <c r="AH232" s="3">
        <f>YEAR(SrcDB[[#This Row],[Datum_zverejnenia]])</f>
        <v>2020</v>
      </c>
      <c r="AI232" s="3" cm="1">
        <f t="array" ref="AI232">COUNT(_xlfn.UNIQUE(_xlfn._xlws.FILTER(SrcDB[ID],SrcDB[Objednavatel_ICO]=$H232)))</f>
        <v>15</v>
      </c>
      <c r="AJ232" s="3" cm="1">
        <f t="array" ref="AJ232">COUNT(_xlfn.UNIQUE(_xlfn._xlws.FILTER(SrcDB[ID],SrcDB[Dodavatel_ICO]=$K232)))</f>
        <v>8</v>
      </c>
      <c r="AK232" s="3">
        <f t="shared" si="218"/>
        <v>0</v>
      </c>
      <c r="AL232" s="3">
        <f t="shared" si="219"/>
        <v>0</v>
      </c>
      <c r="AM232" s="17" t="str">
        <f>IF(SrcDB[[#This Row],[Pocet zmluv objednavatela]]&gt;3,SrcDB[[#This Row],[Objednavatel]],"Ostatné")</f>
        <v>Ministerstvo vnútra SR</v>
      </c>
      <c r="AN232" s="17" t="str">
        <f>IF(SrcDB[[#This Row],[Pocet zmluv dodavatela]]&gt;3,SrcDB[[#This Row],[Dodavatel]],"Ostatné")</f>
        <v>InterWay, a.s.</v>
      </c>
    </row>
    <row r="233" spans="1:40" x14ac:dyDescent="0.3">
      <c r="A233" s="2" t="s">
        <v>445</v>
      </c>
      <c r="B233" s="2">
        <v>5053015</v>
      </c>
      <c r="C233" s="3" t="str">
        <f t="shared" si="210"/>
        <v>Áno</v>
      </c>
      <c r="D233" s="3" t="str">
        <f t="shared" si="211"/>
        <v>Nie</v>
      </c>
      <c r="E233" s="3" t="s">
        <v>49</v>
      </c>
      <c r="F233" s="3" t="s">
        <v>48</v>
      </c>
      <c r="G233" s="2" t="str">
        <f t="shared" si="212"/>
        <v>Veľké zmluvy</v>
      </c>
      <c r="H233" s="5" t="s">
        <v>342</v>
      </c>
      <c r="I233" s="2" t="s">
        <v>343</v>
      </c>
      <c r="J233" s="2" t="s">
        <v>344</v>
      </c>
      <c r="K233" s="5">
        <v>35728531</v>
      </c>
      <c r="L233" s="2" t="s">
        <v>310</v>
      </c>
      <c r="M233" s="2" t="s">
        <v>311</v>
      </c>
      <c r="N233" s="6">
        <v>44134</v>
      </c>
      <c r="O233" s="4">
        <v>17145790.030000001</v>
      </c>
      <c r="P233" s="2">
        <v>114723</v>
      </c>
      <c r="Q233" s="2" t="s">
        <v>446</v>
      </c>
      <c r="R233" s="2" t="s">
        <v>447</v>
      </c>
      <c r="S233" s="2" t="s">
        <v>56</v>
      </c>
      <c r="T233" s="2" t="s">
        <v>448</v>
      </c>
      <c r="U233" s="2" t="s">
        <v>449</v>
      </c>
      <c r="W233" s="4">
        <v>650.20000000000005</v>
      </c>
      <c r="X233" s="4">
        <v>780.24</v>
      </c>
      <c r="Y233" s="4">
        <f t="shared" ref="Y233" si="256">INDEX(InternalRates,MATCH($S233,InternalRates01,FALSE),2)</f>
        <v>278.98333333333335</v>
      </c>
      <c r="Z233" s="3" t="str">
        <f t="shared" si="215"/>
        <v>Nie</v>
      </c>
      <c r="AA233" s="3" t="str">
        <f t="shared" si="216"/>
        <v>ZoD</v>
      </c>
      <c r="AB233" s="4">
        <v>5</v>
      </c>
      <c r="AD233" s="3" t="s">
        <v>48</v>
      </c>
      <c r="AE233" s="6">
        <v>44417</v>
      </c>
      <c r="AF233" s="3" t="s">
        <v>59</v>
      </c>
      <c r="AG233" s="3" t="s">
        <v>49</v>
      </c>
      <c r="AH233" s="3">
        <f>YEAR(SrcDB[[#This Row],[Datum_zverejnenia]])</f>
        <v>2020</v>
      </c>
      <c r="AI233" s="3" cm="1">
        <f t="array" ref="AI233">COUNT(_xlfn.UNIQUE(_xlfn._xlws.FILTER(SrcDB[ID],SrcDB[Objednavatel_ICO]=$H233)))</f>
        <v>15</v>
      </c>
      <c r="AJ233" s="3" cm="1">
        <f t="array" ref="AJ233">COUNT(_xlfn.UNIQUE(_xlfn._xlws.FILTER(SrcDB[ID],SrcDB[Dodavatel_ICO]=$K233)))</f>
        <v>8</v>
      </c>
      <c r="AK233" s="3">
        <f t="shared" si="218"/>
        <v>0</v>
      </c>
      <c r="AL233" s="3">
        <f t="shared" si="219"/>
        <v>0</v>
      </c>
      <c r="AM233" s="17" t="str">
        <f>IF(SrcDB[[#This Row],[Pocet zmluv objednavatela]]&gt;3,SrcDB[[#This Row],[Objednavatel]],"Ostatné")</f>
        <v>Ministerstvo vnútra SR</v>
      </c>
      <c r="AN233" s="17" t="str">
        <f>IF(SrcDB[[#This Row],[Pocet zmluv dodavatela]]&gt;3,SrcDB[[#This Row],[Dodavatel]],"Ostatné")</f>
        <v>InterWay, a.s.</v>
      </c>
    </row>
    <row r="234" spans="1:40" x14ac:dyDescent="0.3">
      <c r="A234" s="2" t="s">
        <v>445</v>
      </c>
      <c r="B234" s="2">
        <v>5053015</v>
      </c>
      <c r="C234" s="3" t="str">
        <f t="shared" si="210"/>
        <v>Áno</v>
      </c>
      <c r="D234" s="3" t="str">
        <f t="shared" si="211"/>
        <v>Nie</v>
      </c>
      <c r="E234" s="3" t="s">
        <v>49</v>
      </c>
      <c r="F234" s="3" t="s">
        <v>48</v>
      </c>
      <c r="G234" s="2" t="str">
        <f t="shared" si="212"/>
        <v>Veľké zmluvy</v>
      </c>
      <c r="H234" s="5" t="s">
        <v>342</v>
      </c>
      <c r="I234" s="2" t="s">
        <v>343</v>
      </c>
      <c r="J234" s="2" t="s">
        <v>344</v>
      </c>
      <c r="K234" s="5">
        <v>35728531</v>
      </c>
      <c r="L234" s="2" t="s">
        <v>310</v>
      </c>
      <c r="M234" s="2" t="s">
        <v>311</v>
      </c>
      <c r="N234" s="6">
        <v>44134</v>
      </c>
      <c r="O234" s="4">
        <v>17145790.030000001</v>
      </c>
      <c r="P234" s="2">
        <v>114723</v>
      </c>
      <c r="Q234" s="2" t="s">
        <v>446</v>
      </c>
      <c r="R234" s="2" t="s">
        <v>447</v>
      </c>
      <c r="S234" s="2" t="s">
        <v>56</v>
      </c>
      <c r="T234" s="2" t="s">
        <v>448</v>
      </c>
      <c r="U234" s="2" t="s">
        <v>449</v>
      </c>
      <c r="W234" s="4">
        <v>631.75</v>
      </c>
      <c r="X234" s="4">
        <v>758.1</v>
      </c>
      <c r="Y234" s="4">
        <f t="shared" ref="Y234" si="257">INDEX(InternalRates,MATCH($S234,InternalRates01,FALSE),2)</f>
        <v>278.98333333333335</v>
      </c>
      <c r="Z234" s="3" t="str">
        <f t="shared" si="215"/>
        <v>Nie</v>
      </c>
      <c r="AA234" s="3" t="str">
        <f t="shared" si="216"/>
        <v>ZoD</v>
      </c>
      <c r="AB234" s="4">
        <v>2</v>
      </c>
      <c r="AD234" s="3" t="s">
        <v>48</v>
      </c>
      <c r="AE234" s="6">
        <v>44417</v>
      </c>
      <c r="AF234" s="3" t="s">
        <v>59</v>
      </c>
      <c r="AG234" s="3" t="s">
        <v>49</v>
      </c>
      <c r="AH234" s="3">
        <f>YEAR(SrcDB[[#This Row],[Datum_zverejnenia]])</f>
        <v>2020</v>
      </c>
      <c r="AI234" s="3" cm="1">
        <f t="array" ref="AI234">COUNT(_xlfn.UNIQUE(_xlfn._xlws.FILTER(SrcDB[ID],SrcDB[Objednavatel_ICO]=$H234)))</f>
        <v>15</v>
      </c>
      <c r="AJ234" s="3" cm="1">
        <f t="array" ref="AJ234">COUNT(_xlfn.UNIQUE(_xlfn._xlws.FILTER(SrcDB[ID],SrcDB[Dodavatel_ICO]=$K234)))</f>
        <v>8</v>
      </c>
      <c r="AK234" s="3">
        <f t="shared" si="218"/>
        <v>0</v>
      </c>
      <c r="AL234" s="3">
        <f t="shared" si="219"/>
        <v>0</v>
      </c>
      <c r="AM234" s="17" t="str">
        <f>IF(SrcDB[[#This Row],[Pocet zmluv objednavatela]]&gt;3,SrcDB[[#This Row],[Objednavatel]],"Ostatné")</f>
        <v>Ministerstvo vnútra SR</v>
      </c>
      <c r="AN234" s="17" t="str">
        <f>IF(SrcDB[[#This Row],[Pocet zmluv dodavatela]]&gt;3,SrcDB[[#This Row],[Dodavatel]],"Ostatné")</f>
        <v>InterWay, a.s.</v>
      </c>
    </row>
    <row r="235" spans="1:40" x14ac:dyDescent="0.3">
      <c r="A235" s="2" t="s">
        <v>445</v>
      </c>
      <c r="B235" s="2">
        <v>5053015</v>
      </c>
      <c r="C235" s="3" t="str">
        <f t="shared" si="210"/>
        <v>Áno</v>
      </c>
      <c r="D235" s="3" t="str">
        <f t="shared" si="211"/>
        <v>Nie</v>
      </c>
      <c r="E235" s="3" t="s">
        <v>49</v>
      </c>
      <c r="F235" s="3" t="s">
        <v>48</v>
      </c>
      <c r="G235" s="2" t="str">
        <f t="shared" si="212"/>
        <v>Veľké zmluvy</v>
      </c>
      <c r="H235" s="5" t="s">
        <v>342</v>
      </c>
      <c r="I235" s="2" t="s">
        <v>343</v>
      </c>
      <c r="J235" s="2" t="s">
        <v>344</v>
      </c>
      <c r="K235" s="5">
        <v>35728531</v>
      </c>
      <c r="L235" s="2" t="s">
        <v>310</v>
      </c>
      <c r="M235" s="2" t="s">
        <v>311</v>
      </c>
      <c r="N235" s="6">
        <v>44134</v>
      </c>
      <c r="O235" s="4">
        <v>17145790.030000001</v>
      </c>
      <c r="P235" s="2">
        <v>114723</v>
      </c>
      <c r="Q235" s="2" t="s">
        <v>446</v>
      </c>
      <c r="R235" s="2" t="s">
        <v>447</v>
      </c>
      <c r="S235" s="2" t="s">
        <v>56</v>
      </c>
      <c r="T235" s="2" t="s">
        <v>448</v>
      </c>
      <c r="U235" s="2" t="s">
        <v>449</v>
      </c>
      <c r="W235" s="4">
        <v>711.75</v>
      </c>
      <c r="X235" s="4">
        <v>854.1</v>
      </c>
      <c r="Y235" s="4">
        <f t="shared" ref="Y235" si="258">INDEX(InternalRates,MATCH($S235,InternalRates01,FALSE),2)</f>
        <v>278.98333333333335</v>
      </c>
      <c r="Z235" s="3" t="str">
        <f t="shared" si="215"/>
        <v>Nie</v>
      </c>
      <c r="AA235" s="3" t="str">
        <f t="shared" si="216"/>
        <v>ZoD</v>
      </c>
      <c r="AB235" s="4">
        <v>2</v>
      </c>
      <c r="AD235" s="3" t="s">
        <v>48</v>
      </c>
      <c r="AE235" s="6">
        <v>44417</v>
      </c>
      <c r="AF235" s="3" t="s">
        <v>59</v>
      </c>
      <c r="AG235" s="3" t="s">
        <v>49</v>
      </c>
      <c r="AH235" s="3">
        <f>YEAR(SrcDB[[#This Row],[Datum_zverejnenia]])</f>
        <v>2020</v>
      </c>
      <c r="AI235" s="3" cm="1">
        <f t="array" ref="AI235">COUNT(_xlfn.UNIQUE(_xlfn._xlws.FILTER(SrcDB[ID],SrcDB[Objednavatel_ICO]=$H235)))</f>
        <v>15</v>
      </c>
      <c r="AJ235" s="3" cm="1">
        <f t="array" ref="AJ235">COUNT(_xlfn.UNIQUE(_xlfn._xlws.FILTER(SrcDB[ID],SrcDB[Dodavatel_ICO]=$K235)))</f>
        <v>8</v>
      </c>
      <c r="AK235" s="3">
        <f t="shared" si="218"/>
        <v>0</v>
      </c>
      <c r="AL235" s="3">
        <f t="shared" si="219"/>
        <v>0</v>
      </c>
      <c r="AM235" s="17" t="str">
        <f>IF(SrcDB[[#This Row],[Pocet zmluv objednavatela]]&gt;3,SrcDB[[#This Row],[Objednavatel]],"Ostatné")</f>
        <v>Ministerstvo vnútra SR</v>
      </c>
      <c r="AN235" s="17" t="str">
        <f>IF(SrcDB[[#This Row],[Pocet zmluv dodavatela]]&gt;3,SrcDB[[#This Row],[Dodavatel]],"Ostatné")</f>
        <v>InterWay, a.s.</v>
      </c>
    </row>
    <row r="236" spans="1:40" x14ac:dyDescent="0.3">
      <c r="A236" s="2" t="s">
        <v>445</v>
      </c>
      <c r="B236" s="2">
        <v>5053015</v>
      </c>
      <c r="C236" s="3" t="str">
        <f t="shared" si="210"/>
        <v>Áno</v>
      </c>
      <c r="D236" s="3" t="str">
        <f t="shared" si="211"/>
        <v>Nie</v>
      </c>
      <c r="E236" s="3" t="s">
        <v>49</v>
      </c>
      <c r="F236" s="3" t="s">
        <v>48</v>
      </c>
      <c r="G236" s="2" t="str">
        <f t="shared" si="212"/>
        <v>Veľké zmluvy</v>
      </c>
      <c r="H236" s="5" t="s">
        <v>342</v>
      </c>
      <c r="I236" s="2" t="s">
        <v>343</v>
      </c>
      <c r="J236" s="2" t="s">
        <v>344</v>
      </c>
      <c r="K236" s="5">
        <v>35728531</v>
      </c>
      <c r="L236" s="2" t="s">
        <v>310</v>
      </c>
      <c r="M236" s="2" t="s">
        <v>311</v>
      </c>
      <c r="N236" s="6">
        <v>44134</v>
      </c>
      <c r="O236" s="4">
        <v>17145790.030000001</v>
      </c>
      <c r="P236" s="2">
        <v>114723</v>
      </c>
      <c r="Q236" s="2" t="s">
        <v>446</v>
      </c>
      <c r="R236" s="2" t="s">
        <v>447</v>
      </c>
      <c r="S236" s="2" t="s">
        <v>56</v>
      </c>
      <c r="T236" s="2" t="s">
        <v>448</v>
      </c>
      <c r="U236" s="2" t="s">
        <v>449</v>
      </c>
      <c r="W236" s="4">
        <v>637.5</v>
      </c>
      <c r="X236" s="4">
        <v>765</v>
      </c>
      <c r="Y236" s="4">
        <f t="shared" ref="Y236" si="259">INDEX(InternalRates,MATCH($S236,InternalRates01,FALSE),2)</f>
        <v>278.98333333333335</v>
      </c>
      <c r="Z236" s="3" t="str">
        <f t="shared" si="215"/>
        <v>Nie</v>
      </c>
      <c r="AA236" s="3" t="str">
        <f t="shared" si="216"/>
        <v>ZoD</v>
      </c>
      <c r="AB236" s="4">
        <v>1</v>
      </c>
      <c r="AD236" s="3" t="s">
        <v>48</v>
      </c>
      <c r="AE236" s="6">
        <v>44417</v>
      </c>
      <c r="AF236" s="3" t="s">
        <v>59</v>
      </c>
      <c r="AG236" s="3" t="s">
        <v>49</v>
      </c>
      <c r="AH236" s="3">
        <f>YEAR(SrcDB[[#This Row],[Datum_zverejnenia]])</f>
        <v>2020</v>
      </c>
      <c r="AI236" s="3" cm="1">
        <f t="array" ref="AI236">COUNT(_xlfn.UNIQUE(_xlfn._xlws.FILTER(SrcDB[ID],SrcDB[Objednavatel_ICO]=$H236)))</f>
        <v>15</v>
      </c>
      <c r="AJ236" s="3" cm="1">
        <f t="array" ref="AJ236">COUNT(_xlfn.UNIQUE(_xlfn._xlws.FILTER(SrcDB[ID],SrcDB[Dodavatel_ICO]=$K236)))</f>
        <v>8</v>
      </c>
      <c r="AK236" s="3">
        <f t="shared" si="218"/>
        <v>0</v>
      </c>
      <c r="AL236" s="3">
        <f t="shared" si="219"/>
        <v>0</v>
      </c>
      <c r="AM236" s="17" t="str">
        <f>IF(SrcDB[[#This Row],[Pocet zmluv objednavatela]]&gt;3,SrcDB[[#This Row],[Objednavatel]],"Ostatné")</f>
        <v>Ministerstvo vnútra SR</v>
      </c>
      <c r="AN236" s="17" t="str">
        <f>IF(SrcDB[[#This Row],[Pocet zmluv dodavatela]]&gt;3,SrcDB[[#This Row],[Dodavatel]],"Ostatné")</f>
        <v>InterWay, a.s.</v>
      </c>
    </row>
    <row r="237" spans="1:40" x14ac:dyDescent="0.3">
      <c r="A237" s="2" t="s">
        <v>445</v>
      </c>
      <c r="B237" s="2">
        <v>5053015</v>
      </c>
      <c r="C237" s="3" t="str">
        <f t="shared" si="210"/>
        <v>Áno</v>
      </c>
      <c r="D237" s="3" t="str">
        <f t="shared" si="211"/>
        <v>Nie</v>
      </c>
      <c r="E237" s="3" t="s">
        <v>49</v>
      </c>
      <c r="F237" s="3" t="s">
        <v>48</v>
      </c>
      <c r="G237" s="2" t="str">
        <f t="shared" si="212"/>
        <v>Veľké zmluvy</v>
      </c>
      <c r="H237" s="5" t="s">
        <v>342</v>
      </c>
      <c r="I237" s="2" t="s">
        <v>343</v>
      </c>
      <c r="J237" s="2" t="s">
        <v>344</v>
      </c>
      <c r="K237" s="5">
        <v>35728531</v>
      </c>
      <c r="L237" s="2" t="s">
        <v>310</v>
      </c>
      <c r="M237" s="2" t="s">
        <v>311</v>
      </c>
      <c r="N237" s="6">
        <v>44134</v>
      </c>
      <c r="O237" s="4">
        <v>17145790.030000001</v>
      </c>
      <c r="P237" s="2">
        <v>114723</v>
      </c>
      <c r="Q237" s="2" t="s">
        <v>446</v>
      </c>
      <c r="R237" s="2" t="s">
        <v>447</v>
      </c>
      <c r="S237" s="2" t="s">
        <v>56</v>
      </c>
      <c r="T237" s="2" t="s">
        <v>448</v>
      </c>
      <c r="U237" s="2" t="s">
        <v>449</v>
      </c>
      <c r="W237" s="4">
        <v>480</v>
      </c>
      <c r="X237" s="4">
        <v>576</v>
      </c>
      <c r="Y237" s="4">
        <f t="shared" ref="Y237" si="260">INDEX(InternalRates,MATCH($S237,InternalRates01,FALSE),2)</f>
        <v>278.98333333333335</v>
      </c>
      <c r="Z237" s="3" t="str">
        <f t="shared" si="215"/>
        <v>Nie</v>
      </c>
      <c r="AA237" s="3" t="str">
        <f t="shared" si="216"/>
        <v>ZoD</v>
      </c>
      <c r="AB237" s="4">
        <v>1</v>
      </c>
      <c r="AD237" s="3" t="s">
        <v>48</v>
      </c>
      <c r="AE237" s="6">
        <v>44417</v>
      </c>
      <c r="AF237" s="3" t="s">
        <v>59</v>
      </c>
      <c r="AG237" s="3" t="s">
        <v>49</v>
      </c>
      <c r="AH237" s="3">
        <f>YEAR(SrcDB[[#This Row],[Datum_zverejnenia]])</f>
        <v>2020</v>
      </c>
      <c r="AI237" s="3" cm="1">
        <f t="array" ref="AI237">COUNT(_xlfn.UNIQUE(_xlfn._xlws.FILTER(SrcDB[ID],SrcDB[Objednavatel_ICO]=$H237)))</f>
        <v>15</v>
      </c>
      <c r="AJ237" s="3" cm="1">
        <f t="array" ref="AJ237">COUNT(_xlfn.UNIQUE(_xlfn._xlws.FILTER(SrcDB[ID],SrcDB[Dodavatel_ICO]=$K237)))</f>
        <v>8</v>
      </c>
      <c r="AK237" s="3">
        <f t="shared" si="218"/>
        <v>0</v>
      </c>
      <c r="AL237" s="3">
        <f t="shared" si="219"/>
        <v>0</v>
      </c>
      <c r="AM237" s="17" t="str">
        <f>IF(SrcDB[[#This Row],[Pocet zmluv objednavatela]]&gt;3,SrcDB[[#This Row],[Objednavatel]],"Ostatné")</f>
        <v>Ministerstvo vnútra SR</v>
      </c>
      <c r="AN237" s="17" t="str">
        <f>IF(SrcDB[[#This Row],[Pocet zmluv dodavatela]]&gt;3,SrcDB[[#This Row],[Dodavatel]],"Ostatné")</f>
        <v>InterWay, a.s.</v>
      </c>
    </row>
    <row r="238" spans="1:40" x14ac:dyDescent="0.3">
      <c r="A238" s="2" t="s">
        <v>445</v>
      </c>
      <c r="B238" s="2">
        <v>5053015</v>
      </c>
      <c r="C238" s="3" t="str">
        <f t="shared" si="210"/>
        <v>Áno</v>
      </c>
      <c r="D238" s="3" t="str">
        <f t="shared" si="211"/>
        <v>Nie</v>
      </c>
      <c r="E238" s="3" t="s">
        <v>49</v>
      </c>
      <c r="F238" s="3" t="s">
        <v>48</v>
      </c>
      <c r="G238" s="2" t="str">
        <f t="shared" si="212"/>
        <v>Veľké zmluvy</v>
      </c>
      <c r="H238" s="5" t="s">
        <v>342</v>
      </c>
      <c r="I238" s="2" t="s">
        <v>343</v>
      </c>
      <c r="J238" s="2" t="s">
        <v>344</v>
      </c>
      <c r="K238" s="5">
        <v>35728531</v>
      </c>
      <c r="L238" s="2" t="s">
        <v>310</v>
      </c>
      <c r="M238" s="2" t="s">
        <v>311</v>
      </c>
      <c r="N238" s="6">
        <v>44134</v>
      </c>
      <c r="O238" s="4">
        <v>17145790.030000001</v>
      </c>
      <c r="P238" s="2">
        <v>114723</v>
      </c>
      <c r="Q238" s="2" t="s">
        <v>446</v>
      </c>
      <c r="R238" s="2" t="s">
        <v>447</v>
      </c>
      <c r="S238" s="2" t="s">
        <v>56</v>
      </c>
      <c r="T238" s="2" t="s">
        <v>448</v>
      </c>
      <c r="U238" s="2" t="s">
        <v>449</v>
      </c>
      <c r="W238" s="4">
        <v>690</v>
      </c>
      <c r="X238" s="4">
        <v>828</v>
      </c>
      <c r="Y238" s="4">
        <f t="shared" ref="Y238" si="261">INDEX(InternalRates,MATCH($S238,InternalRates01,FALSE),2)</f>
        <v>278.98333333333335</v>
      </c>
      <c r="Z238" s="3" t="str">
        <f t="shared" si="215"/>
        <v>Nie</v>
      </c>
      <c r="AA238" s="3" t="str">
        <f t="shared" si="216"/>
        <v>ZoD</v>
      </c>
      <c r="AB238" s="4">
        <v>2</v>
      </c>
      <c r="AD238" s="3" t="s">
        <v>48</v>
      </c>
      <c r="AE238" s="6">
        <v>44417</v>
      </c>
      <c r="AF238" s="3" t="s">
        <v>59</v>
      </c>
      <c r="AG238" s="3" t="s">
        <v>49</v>
      </c>
      <c r="AH238" s="3">
        <f>YEAR(SrcDB[[#This Row],[Datum_zverejnenia]])</f>
        <v>2020</v>
      </c>
      <c r="AI238" s="3" cm="1">
        <f t="array" ref="AI238">COUNT(_xlfn.UNIQUE(_xlfn._xlws.FILTER(SrcDB[ID],SrcDB[Objednavatel_ICO]=$H238)))</f>
        <v>15</v>
      </c>
      <c r="AJ238" s="3" cm="1">
        <f t="array" ref="AJ238">COUNT(_xlfn.UNIQUE(_xlfn._xlws.FILTER(SrcDB[ID],SrcDB[Dodavatel_ICO]=$K238)))</f>
        <v>8</v>
      </c>
      <c r="AK238" s="3">
        <f t="shared" si="218"/>
        <v>0</v>
      </c>
      <c r="AL238" s="3">
        <f t="shared" si="219"/>
        <v>0</v>
      </c>
      <c r="AM238" s="17" t="str">
        <f>IF(SrcDB[[#This Row],[Pocet zmluv objednavatela]]&gt;3,SrcDB[[#This Row],[Objednavatel]],"Ostatné")</f>
        <v>Ministerstvo vnútra SR</v>
      </c>
      <c r="AN238" s="17" t="str">
        <f>IF(SrcDB[[#This Row],[Pocet zmluv dodavatela]]&gt;3,SrcDB[[#This Row],[Dodavatel]],"Ostatné")</f>
        <v>InterWay, a.s.</v>
      </c>
    </row>
    <row r="239" spans="1:40" x14ac:dyDescent="0.3">
      <c r="A239" s="2" t="s">
        <v>445</v>
      </c>
      <c r="B239" s="2">
        <v>5053015</v>
      </c>
      <c r="C239" s="3" t="str">
        <f t="shared" si="210"/>
        <v>Áno</v>
      </c>
      <c r="D239" s="3" t="str">
        <f t="shared" si="211"/>
        <v>Nie</v>
      </c>
      <c r="E239" s="3" t="s">
        <v>49</v>
      </c>
      <c r="F239" s="3" t="s">
        <v>48</v>
      </c>
      <c r="G239" s="2" t="str">
        <f t="shared" si="212"/>
        <v>Veľké zmluvy</v>
      </c>
      <c r="H239" s="5" t="s">
        <v>342</v>
      </c>
      <c r="I239" s="2" t="s">
        <v>343</v>
      </c>
      <c r="J239" s="2" t="s">
        <v>344</v>
      </c>
      <c r="K239" s="5">
        <v>35728531</v>
      </c>
      <c r="L239" s="2" t="s">
        <v>310</v>
      </c>
      <c r="M239" s="2" t="s">
        <v>311</v>
      </c>
      <c r="N239" s="6">
        <v>44134</v>
      </c>
      <c r="O239" s="4">
        <v>17145790.030000001</v>
      </c>
      <c r="P239" s="2">
        <v>114723</v>
      </c>
      <c r="Q239" s="2" t="s">
        <v>446</v>
      </c>
      <c r="R239" s="2" t="s">
        <v>447</v>
      </c>
      <c r="S239" s="2" t="s">
        <v>56</v>
      </c>
      <c r="T239" s="2" t="s">
        <v>450</v>
      </c>
      <c r="U239" s="2" t="s">
        <v>208</v>
      </c>
      <c r="W239" s="4">
        <v>500</v>
      </c>
      <c r="X239" s="4">
        <v>600</v>
      </c>
      <c r="Y239" s="4">
        <f t="shared" ref="Y239" si="262">INDEX(InternalRates,MATCH($S239,InternalRates01,FALSE),2)</f>
        <v>278.98333333333335</v>
      </c>
      <c r="Z239" s="3" t="str">
        <f t="shared" si="215"/>
        <v>Nie</v>
      </c>
      <c r="AA239" s="3" t="str">
        <f t="shared" si="216"/>
        <v>ZoD</v>
      </c>
      <c r="AB239" s="4">
        <v>220</v>
      </c>
      <c r="AD239" s="3" t="s">
        <v>48</v>
      </c>
      <c r="AE239" s="6">
        <v>44417</v>
      </c>
      <c r="AF239" s="3" t="s">
        <v>59</v>
      </c>
      <c r="AG239" s="3" t="s">
        <v>49</v>
      </c>
      <c r="AH239" s="3">
        <f>YEAR(SrcDB[[#This Row],[Datum_zverejnenia]])</f>
        <v>2020</v>
      </c>
      <c r="AI239" s="3" cm="1">
        <f t="array" ref="AI239">COUNT(_xlfn.UNIQUE(_xlfn._xlws.FILTER(SrcDB[ID],SrcDB[Objednavatel_ICO]=$H239)))</f>
        <v>15</v>
      </c>
      <c r="AJ239" s="3" cm="1">
        <f t="array" ref="AJ239">COUNT(_xlfn.UNIQUE(_xlfn._xlws.FILTER(SrcDB[ID],SrcDB[Dodavatel_ICO]=$K239)))</f>
        <v>8</v>
      </c>
      <c r="AK239" s="3">
        <f t="shared" si="218"/>
        <v>0</v>
      </c>
      <c r="AL239" s="3">
        <f t="shared" si="219"/>
        <v>0</v>
      </c>
      <c r="AM239" s="17" t="str">
        <f>IF(SrcDB[[#This Row],[Pocet zmluv objednavatela]]&gt;3,SrcDB[[#This Row],[Objednavatel]],"Ostatné")</f>
        <v>Ministerstvo vnútra SR</v>
      </c>
      <c r="AN239" s="17" t="str">
        <f>IF(SrcDB[[#This Row],[Pocet zmluv dodavatela]]&gt;3,SrcDB[[#This Row],[Dodavatel]],"Ostatné")</f>
        <v>InterWay, a.s.</v>
      </c>
    </row>
    <row r="240" spans="1:40" x14ac:dyDescent="0.3">
      <c r="A240" s="2" t="s">
        <v>445</v>
      </c>
      <c r="B240" s="2">
        <v>5053015</v>
      </c>
      <c r="C240" s="3" t="str">
        <f t="shared" si="210"/>
        <v>Áno</v>
      </c>
      <c r="D240" s="3" t="str">
        <f t="shared" si="211"/>
        <v>Nie</v>
      </c>
      <c r="E240" s="3" t="s">
        <v>49</v>
      </c>
      <c r="F240" s="3" t="s">
        <v>48</v>
      </c>
      <c r="G240" s="2" t="str">
        <f t="shared" si="212"/>
        <v>Veľké zmluvy</v>
      </c>
      <c r="H240" s="5" t="s">
        <v>342</v>
      </c>
      <c r="I240" s="2" t="s">
        <v>343</v>
      </c>
      <c r="J240" s="2" t="s">
        <v>344</v>
      </c>
      <c r="K240" s="5">
        <v>35728531</v>
      </c>
      <c r="L240" s="2" t="s">
        <v>310</v>
      </c>
      <c r="M240" s="2" t="s">
        <v>311</v>
      </c>
      <c r="N240" s="6">
        <v>44134</v>
      </c>
      <c r="O240" s="4">
        <v>17145790.030000001</v>
      </c>
      <c r="P240" s="2">
        <v>114723</v>
      </c>
      <c r="Q240" s="2" t="s">
        <v>446</v>
      </c>
      <c r="R240" s="2" t="s">
        <v>447</v>
      </c>
      <c r="S240" s="2" t="s">
        <v>56</v>
      </c>
      <c r="T240" s="2" t="s">
        <v>448</v>
      </c>
      <c r="U240" s="2" t="s">
        <v>449</v>
      </c>
      <c r="W240" s="4">
        <v>700</v>
      </c>
      <c r="X240" s="4">
        <v>840</v>
      </c>
      <c r="Y240" s="4">
        <f t="shared" ref="Y240" si="263">INDEX(InternalRates,MATCH($S240,InternalRates01,FALSE),2)</f>
        <v>278.98333333333335</v>
      </c>
      <c r="Z240" s="3" t="str">
        <f t="shared" si="215"/>
        <v>Nie</v>
      </c>
      <c r="AA240" s="3" t="str">
        <f t="shared" si="216"/>
        <v>ZoD</v>
      </c>
      <c r="AB240" s="4">
        <v>1</v>
      </c>
      <c r="AD240" s="3" t="s">
        <v>48</v>
      </c>
      <c r="AE240" s="6">
        <v>44417</v>
      </c>
      <c r="AF240" s="3" t="s">
        <v>59</v>
      </c>
      <c r="AG240" s="3" t="s">
        <v>49</v>
      </c>
      <c r="AH240" s="3">
        <f>YEAR(SrcDB[[#This Row],[Datum_zverejnenia]])</f>
        <v>2020</v>
      </c>
      <c r="AI240" s="3" cm="1">
        <f t="array" ref="AI240">COUNT(_xlfn.UNIQUE(_xlfn._xlws.FILTER(SrcDB[ID],SrcDB[Objednavatel_ICO]=$H240)))</f>
        <v>15</v>
      </c>
      <c r="AJ240" s="3" cm="1">
        <f t="array" ref="AJ240">COUNT(_xlfn.UNIQUE(_xlfn._xlws.FILTER(SrcDB[ID],SrcDB[Dodavatel_ICO]=$K240)))</f>
        <v>8</v>
      </c>
      <c r="AK240" s="3">
        <f t="shared" si="218"/>
        <v>0</v>
      </c>
      <c r="AL240" s="3">
        <f t="shared" si="219"/>
        <v>0</v>
      </c>
      <c r="AM240" s="17" t="str">
        <f>IF(SrcDB[[#This Row],[Pocet zmluv objednavatela]]&gt;3,SrcDB[[#This Row],[Objednavatel]],"Ostatné")</f>
        <v>Ministerstvo vnútra SR</v>
      </c>
      <c r="AN240" s="17" t="str">
        <f>IF(SrcDB[[#This Row],[Pocet zmluv dodavatela]]&gt;3,SrcDB[[#This Row],[Dodavatel]],"Ostatné")</f>
        <v>InterWay, a.s.</v>
      </c>
    </row>
    <row r="241" spans="1:40" x14ac:dyDescent="0.3">
      <c r="A241" s="2" t="s">
        <v>445</v>
      </c>
      <c r="B241" s="2">
        <v>5053015</v>
      </c>
      <c r="C241" s="3" t="str">
        <f t="shared" si="210"/>
        <v>Áno</v>
      </c>
      <c r="D241" s="3" t="str">
        <f t="shared" si="211"/>
        <v>Nie</v>
      </c>
      <c r="E241" s="3" t="s">
        <v>49</v>
      </c>
      <c r="F241" s="3" t="s">
        <v>48</v>
      </c>
      <c r="G241" s="2" t="str">
        <f t="shared" si="212"/>
        <v>Veľké zmluvy</v>
      </c>
      <c r="H241" s="5" t="s">
        <v>342</v>
      </c>
      <c r="I241" s="2" t="s">
        <v>343</v>
      </c>
      <c r="J241" s="2" t="s">
        <v>344</v>
      </c>
      <c r="K241" s="5">
        <v>35728531</v>
      </c>
      <c r="L241" s="2" t="s">
        <v>310</v>
      </c>
      <c r="M241" s="2" t="s">
        <v>311</v>
      </c>
      <c r="N241" s="6">
        <v>44134</v>
      </c>
      <c r="O241" s="4">
        <v>17145790.030000001</v>
      </c>
      <c r="P241" s="2">
        <v>114723</v>
      </c>
      <c r="Q241" s="2" t="s">
        <v>446</v>
      </c>
      <c r="R241" s="2" t="s">
        <v>447</v>
      </c>
      <c r="S241" s="2" t="s">
        <v>56</v>
      </c>
      <c r="T241" s="2" t="s">
        <v>448</v>
      </c>
      <c r="U241" s="2" t="s">
        <v>449</v>
      </c>
      <c r="W241" s="4">
        <v>640</v>
      </c>
      <c r="X241" s="4">
        <v>768</v>
      </c>
      <c r="Y241" s="4">
        <f t="shared" ref="Y241" si="264">INDEX(InternalRates,MATCH($S241,InternalRates01,FALSE),2)</f>
        <v>278.98333333333335</v>
      </c>
      <c r="Z241" s="3" t="str">
        <f t="shared" si="215"/>
        <v>Nie</v>
      </c>
      <c r="AA241" s="3" t="str">
        <f t="shared" si="216"/>
        <v>ZoD</v>
      </c>
      <c r="AB241" s="4">
        <v>1</v>
      </c>
      <c r="AD241" s="3" t="s">
        <v>48</v>
      </c>
      <c r="AE241" s="6">
        <v>44417</v>
      </c>
      <c r="AF241" s="3" t="s">
        <v>59</v>
      </c>
      <c r="AG241" s="3" t="s">
        <v>49</v>
      </c>
      <c r="AH241" s="3">
        <f>YEAR(SrcDB[[#This Row],[Datum_zverejnenia]])</f>
        <v>2020</v>
      </c>
      <c r="AI241" s="3" cm="1">
        <f t="array" ref="AI241">COUNT(_xlfn.UNIQUE(_xlfn._xlws.FILTER(SrcDB[ID],SrcDB[Objednavatel_ICO]=$H241)))</f>
        <v>15</v>
      </c>
      <c r="AJ241" s="3" cm="1">
        <f t="array" ref="AJ241">COUNT(_xlfn.UNIQUE(_xlfn._xlws.FILTER(SrcDB[ID],SrcDB[Dodavatel_ICO]=$K241)))</f>
        <v>8</v>
      </c>
      <c r="AK241" s="3">
        <f t="shared" si="218"/>
        <v>0</v>
      </c>
      <c r="AL241" s="3">
        <f t="shared" si="219"/>
        <v>0</v>
      </c>
      <c r="AM241" s="17" t="str">
        <f>IF(SrcDB[[#This Row],[Pocet zmluv objednavatela]]&gt;3,SrcDB[[#This Row],[Objednavatel]],"Ostatné")</f>
        <v>Ministerstvo vnútra SR</v>
      </c>
      <c r="AN241" s="17" t="str">
        <f>IF(SrcDB[[#This Row],[Pocet zmluv dodavatela]]&gt;3,SrcDB[[#This Row],[Dodavatel]],"Ostatné")</f>
        <v>InterWay, a.s.</v>
      </c>
    </row>
    <row r="242" spans="1:40" x14ac:dyDescent="0.3">
      <c r="A242" s="2" t="s">
        <v>445</v>
      </c>
      <c r="B242" s="2">
        <v>5053015</v>
      </c>
      <c r="C242" s="3" t="str">
        <f t="shared" si="210"/>
        <v>Áno</v>
      </c>
      <c r="D242" s="3" t="str">
        <f t="shared" si="211"/>
        <v>Nie</v>
      </c>
      <c r="E242" s="3" t="s">
        <v>49</v>
      </c>
      <c r="F242" s="3" t="s">
        <v>48</v>
      </c>
      <c r="G242" s="2" t="str">
        <f t="shared" si="212"/>
        <v>Veľké zmluvy</v>
      </c>
      <c r="H242" s="5" t="s">
        <v>342</v>
      </c>
      <c r="I242" s="2" t="s">
        <v>343</v>
      </c>
      <c r="J242" s="2" t="s">
        <v>344</v>
      </c>
      <c r="K242" s="5">
        <v>35728531</v>
      </c>
      <c r="L242" s="2" t="s">
        <v>310</v>
      </c>
      <c r="M242" s="2" t="s">
        <v>311</v>
      </c>
      <c r="N242" s="6">
        <v>44134</v>
      </c>
      <c r="O242" s="4">
        <v>17145790.030000001</v>
      </c>
      <c r="P242" s="2">
        <v>114723</v>
      </c>
      <c r="Q242" s="2" t="s">
        <v>446</v>
      </c>
      <c r="R242" s="2" t="s">
        <v>447</v>
      </c>
      <c r="S242" s="2" t="s">
        <v>56</v>
      </c>
      <c r="T242" s="2" t="s">
        <v>448</v>
      </c>
      <c r="U242" s="2" t="s">
        <v>449</v>
      </c>
      <c r="W242" s="4">
        <v>660</v>
      </c>
      <c r="X242" s="4">
        <v>792</v>
      </c>
      <c r="Y242" s="4">
        <f t="shared" ref="Y242" si="265">INDEX(InternalRates,MATCH($S242,InternalRates01,FALSE),2)</f>
        <v>278.98333333333335</v>
      </c>
      <c r="Z242" s="3" t="str">
        <f t="shared" si="215"/>
        <v>Nie</v>
      </c>
      <c r="AA242" s="3" t="str">
        <f t="shared" si="216"/>
        <v>ZoD</v>
      </c>
      <c r="AB242" s="4">
        <v>1</v>
      </c>
      <c r="AD242" s="3" t="s">
        <v>48</v>
      </c>
      <c r="AE242" s="6">
        <v>44417</v>
      </c>
      <c r="AF242" s="3" t="s">
        <v>59</v>
      </c>
      <c r="AG242" s="3" t="s">
        <v>49</v>
      </c>
      <c r="AH242" s="3">
        <f>YEAR(SrcDB[[#This Row],[Datum_zverejnenia]])</f>
        <v>2020</v>
      </c>
      <c r="AI242" s="3" cm="1">
        <f t="array" ref="AI242">COUNT(_xlfn.UNIQUE(_xlfn._xlws.FILTER(SrcDB[ID],SrcDB[Objednavatel_ICO]=$H242)))</f>
        <v>15</v>
      </c>
      <c r="AJ242" s="3" cm="1">
        <f t="array" ref="AJ242">COUNT(_xlfn.UNIQUE(_xlfn._xlws.FILTER(SrcDB[ID],SrcDB[Dodavatel_ICO]=$K242)))</f>
        <v>8</v>
      </c>
      <c r="AK242" s="3">
        <f t="shared" si="218"/>
        <v>0</v>
      </c>
      <c r="AL242" s="3">
        <f t="shared" si="219"/>
        <v>0</v>
      </c>
      <c r="AM242" s="17" t="str">
        <f>IF(SrcDB[[#This Row],[Pocet zmluv objednavatela]]&gt;3,SrcDB[[#This Row],[Objednavatel]],"Ostatné")</f>
        <v>Ministerstvo vnútra SR</v>
      </c>
      <c r="AN242" s="17" t="str">
        <f>IF(SrcDB[[#This Row],[Pocet zmluv dodavatela]]&gt;3,SrcDB[[#This Row],[Dodavatel]],"Ostatné")</f>
        <v>InterWay, a.s.</v>
      </c>
    </row>
    <row r="243" spans="1:40" x14ac:dyDescent="0.3">
      <c r="A243" s="2" t="s">
        <v>445</v>
      </c>
      <c r="B243" s="2">
        <v>5053015</v>
      </c>
      <c r="C243" s="3" t="str">
        <f t="shared" si="210"/>
        <v>Áno</v>
      </c>
      <c r="D243" s="3" t="str">
        <f t="shared" si="211"/>
        <v>Nie</v>
      </c>
      <c r="E243" s="3" t="s">
        <v>49</v>
      </c>
      <c r="F243" s="3" t="s">
        <v>48</v>
      </c>
      <c r="G243" s="2" t="str">
        <f t="shared" si="212"/>
        <v>Veľké zmluvy</v>
      </c>
      <c r="H243" s="5" t="s">
        <v>342</v>
      </c>
      <c r="I243" s="2" t="s">
        <v>343</v>
      </c>
      <c r="J243" s="2" t="s">
        <v>344</v>
      </c>
      <c r="K243" s="5">
        <v>35728531</v>
      </c>
      <c r="L243" s="2" t="s">
        <v>310</v>
      </c>
      <c r="M243" s="2" t="s">
        <v>311</v>
      </c>
      <c r="N243" s="6">
        <v>44134</v>
      </c>
      <c r="O243" s="4">
        <v>17145790.030000001</v>
      </c>
      <c r="P243" s="2">
        <v>114723</v>
      </c>
      <c r="Q243" s="2" t="s">
        <v>446</v>
      </c>
      <c r="R243" s="2" t="s">
        <v>447</v>
      </c>
      <c r="S243" s="2" t="s">
        <v>56</v>
      </c>
      <c r="T243" s="2" t="s">
        <v>448</v>
      </c>
      <c r="U243" s="2" t="s">
        <v>449</v>
      </c>
      <c r="W243" s="4">
        <v>667.5</v>
      </c>
      <c r="X243" s="4">
        <v>801</v>
      </c>
      <c r="Y243" s="4">
        <f t="shared" ref="Y243" si="266">INDEX(InternalRates,MATCH($S243,InternalRates01,FALSE),2)</f>
        <v>278.98333333333335</v>
      </c>
      <c r="Z243" s="3" t="str">
        <f t="shared" si="215"/>
        <v>Nie</v>
      </c>
      <c r="AA243" s="3" t="str">
        <f t="shared" si="216"/>
        <v>ZoD</v>
      </c>
      <c r="AB243" s="4">
        <v>4</v>
      </c>
      <c r="AD243" s="3" t="s">
        <v>48</v>
      </c>
      <c r="AE243" s="6">
        <v>44417</v>
      </c>
      <c r="AF243" s="3" t="s">
        <v>59</v>
      </c>
      <c r="AG243" s="3" t="s">
        <v>49</v>
      </c>
      <c r="AH243" s="3">
        <f>YEAR(SrcDB[[#This Row],[Datum_zverejnenia]])</f>
        <v>2020</v>
      </c>
      <c r="AI243" s="3" cm="1">
        <f t="array" ref="AI243">COUNT(_xlfn.UNIQUE(_xlfn._xlws.FILTER(SrcDB[ID],SrcDB[Objednavatel_ICO]=$H243)))</f>
        <v>15</v>
      </c>
      <c r="AJ243" s="3" cm="1">
        <f t="array" ref="AJ243">COUNT(_xlfn.UNIQUE(_xlfn._xlws.FILTER(SrcDB[ID],SrcDB[Dodavatel_ICO]=$K243)))</f>
        <v>8</v>
      </c>
      <c r="AK243" s="3">
        <f t="shared" si="218"/>
        <v>0</v>
      </c>
      <c r="AL243" s="3">
        <f t="shared" si="219"/>
        <v>0</v>
      </c>
      <c r="AM243" s="17" t="str">
        <f>IF(SrcDB[[#This Row],[Pocet zmluv objednavatela]]&gt;3,SrcDB[[#This Row],[Objednavatel]],"Ostatné")</f>
        <v>Ministerstvo vnútra SR</v>
      </c>
      <c r="AN243" s="17" t="str">
        <f>IF(SrcDB[[#This Row],[Pocet zmluv dodavatela]]&gt;3,SrcDB[[#This Row],[Dodavatel]],"Ostatné")</f>
        <v>InterWay, a.s.</v>
      </c>
    </row>
    <row r="244" spans="1:40" x14ac:dyDescent="0.3">
      <c r="A244" s="2" t="s">
        <v>445</v>
      </c>
      <c r="B244" s="2">
        <v>5053015</v>
      </c>
      <c r="C244" s="3" t="str">
        <f t="shared" si="210"/>
        <v>Áno</v>
      </c>
      <c r="D244" s="3" t="str">
        <f t="shared" si="211"/>
        <v>Nie</v>
      </c>
      <c r="E244" s="3" t="s">
        <v>49</v>
      </c>
      <c r="F244" s="3" t="s">
        <v>48</v>
      </c>
      <c r="G244" s="2" t="str">
        <f t="shared" si="212"/>
        <v>Veľké zmluvy</v>
      </c>
      <c r="H244" s="5" t="s">
        <v>342</v>
      </c>
      <c r="I244" s="2" t="s">
        <v>343</v>
      </c>
      <c r="J244" s="2" t="s">
        <v>344</v>
      </c>
      <c r="K244" s="5">
        <v>35728531</v>
      </c>
      <c r="L244" s="2" t="s">
        <v>310</v>
      </c>
      <c r="M244" s="2" t="s">
        <v>311</v>
      </c>
      <c r="N244" s="6">
        <v>44134</v>
      </c>
      <c r="O244" s="4">
        <v>17145790.030000001</v>
      </c>
      <c r="P244" s="2">
        <v>114723</v>
      </c>
      <c r="Q244" s="2" t="s">
        <v>446</v>
      </c>
      <c r="R244" s="2" t="s">
        <v>447</v>
      </c>
      <c r="S244" s="2" t="s">
        <v>56</v>
      </c>
      <c r="T244" s="2" t="s">
        <v>448</v>
      </c>
      <c r="U244" s="2" t="s">
        <v>449</v>
      </c>
      <c r="W244" s="4">
        <v>680</v>
      </c>
      <c r="X244" s="4">
        <v>816</v>
      </c>
      <c r="Y244" s="4">
        <f t="shared" ref="Y244" si="267">INDEX(InternalRates,MATCH($S244,InternalRates01,FALSE),2)</f>
        <v>278.98333333333335</v>
      </c>
      <c r="Z244" s="3" t="str">
        <f t="shared" si="215"/>
        <v>Nie</v>
      </c>
      <c r="AA244" s="3" t="str">
        <f t="shared" si="216"/>
        <v>ZoD</v>
      </c>
      <c r="AB244" s="4">
        <v>2</v>
      </c>
      <c r="AD244" s="3" t="s">
        <v>48</v>
      </c>
      <c r="AE244" s="6">
        <v>44417</v>
      </c>
      <c r="AF244" s="3" t="s">
        <v>59</v>
      </c>
      <c r="AG244" s="3" t="s">
        <v>49</v>
      </c>
      <c r="AH244" s="3">
        <f>YEAR(SrcDB[[#This Row],[Datum_zverejnenia]])</f>
        <v>2020</v>
      </c>
      <c r="AI244" s="3" cm="1">
        <f t="array" ref="AI244">COUNT(_xlfn.UNIQUE(_xlfn._xlws.FILTER(SrcDB[ID],SrcDB[Objednavatel_ICO]=$H244)))</f>
        <v>15</v>
      </c>
      <c r="AJ244" s="3" cm="1">
        <f t="array" ref="AJ244">COUNT(_xlfn.UNIQUE(_xlfn._xlws.FILTER(SrcDB[ID],SrcDB[Dodavatel_ICO]=$K244)))</f>
        <v>8</v>
      </c>
      <c r="AK244" s="3">
        <f t="shared" si="218"/>
        <v>0</v>
      </c>
      <c r="AL244" s="3">
        <f t="shared" si="219"/>
        <v>0</v>
      </c>
      <c r="AM244" s="17" t="str">
        <f>IF(SrcDB[[#This Row],[Pocet zmluv objednavatela]]&gt;3,SrcDB[[#This Row],[Objednavatel]],"Ostatné")</f>
        <v>Ministerstvo vnútra SR</v>
      </c>
      <c r="AN244" s="17" t="str">
        <f>IF(SrcDB[[#This Row],[Pocet zmluv dodavatela]]&gt;3,SrcDB[[#This Row],[Dodavatel]],"Ostatné")</f>
        <v>InterWay, a.s.</v>
      </c>
    </row>
    <row r="245" spans="1:40" x14ac:dyDescent="0.3">
      <c r="A245" s="2" t="s">
        <v>445</v>
      </c>
      <c r="B245" s="2">
        <v>5053015</v>
      </c>
      <c r="C245" s="3" t="str">
        <f t="shared" si="210"/>
        <v>Áno</v>
      </c>
      <c r="D245" s="3" t="str">
        <f t="shared" si="211"/>
        <v>Nie</v>
      </c>
      <c r="E245" s="3" t="s">
        <v>49</v>
      </c>
      <c r="F245" s="3" t="s">
        <v>48</v>
      </c>
      <c r="G245" s="2" t="str">
        <f t="shared" si="212"/>
        <v>Veľké zmluvy</v>
      </c>
      <c r="H245" s="5" t="s">
        <v>342</v>
      </c>
      <c r="I245" s="2" t="s">
        <v>343</v>
      </c>
      <c r="J245" s="2" t="s">
        <v>344</v>
      </c>
      <c r="K245" s="5">
        <v>35728531</v>
      </c>
      <c r="L245" s="2" t="s">
        <v>310</v>
      </c>
      <c r="M245" s="2" t="s">
        <v>311</v>
      </c>
      <c r="N245" s="6">
        <v>44134</v>
      </c>
      <c r="O245" s="4">
        <v>17145790.030000001</v>
      </c>
      <c r="P245" s="2">
        <v>114723</v>
      </c>
      <c r="Q245" s="2" t="s">
        <v>446</v>
      </c>
      <c r="R245" s="2" t="s">
        <v>447</v>
      </c>
      <c r="S245" s="2" t="s">
        <v>56</v>
      </c>
      <c r="T245" s="2" t="s">
        <v>448</v>
      </c>
      <c r="U245" s="2" t="s">
        <v>449</v>
      </c>
      <c r="W245" s="4">
        <v>645</v>
      </c>
      <c r="X245" s="4">
        <v>774</v>
      </c>
      <c r="Y245" s="4">
        <f t="shared" ref="Y245" si="268">INDEX(InternalRates,MATCH($S245,InternalRates01,FALSE),2)</f>
        <v>278.98333333333335</v>
      </c>
      <c r="Z245" s="3" t="str">
        <f t="shared" si="215"/>
        <v>Nie</v>
      </c>
      <c r="AA245" s="3" t="str">
        <f t="shared" si="216"/>
        <v>ZoD</v>
      </c>
      <c r="AB245" s="4">
        <v>2</v>
      </c>
      <c r="AD245" s="3" t="s">
        <v>48</v>
      </c>
      <c r="AE245" s="6">
        <v>44417</v>
      </c>
      <c r="AF245" s="3" t="s">
        <v>59</v>
      </c>
      <c r="AG245" s="3" t="s">
        <v>49</v>
      </c>
      <c r="AH245" s="3">
        <f>YEAR(SrcDB[[#This Row],[Datum_zverejnenia]])</f>
        <v>2020</v>
      </c>
      <c r="AI245" s="3" cm="1">
        <f t="array" ref="AI245">COUNT(_xlfn.UNIQUE(_xlfn._xlws.FILTER(SrcDB[ID],SrcDB[Objednavatel_ICO]=$H245)))</f>
        <v>15</v>
      </c>
      <c r="AJ245" s="3" cm="1">
        <f t="array" ref="AJ245">COUNT(_xlfn.UNIQUE(_xlfn._xlws.FILTER(SrcDB[ID],SrcDB[Dodavatel_ICO]=$K245)))</f>
        <v>8</v>
      </c>
      <c r="AK245" s="3">
        <f t="shared" si="218"/>
        <v>0</v>
      </c>
      <c r="AL245" s="3">
        <f t="shared" si="219"/>
        <v>0</v>
      </c>
      <c r="AM245" s="17" t="str">
        <f>IF(SrcDB[[#This Row],[Pocet zmluv objednavatela]]&gt;3,SrcDB[[#This Row],[Objednavatel]],"Ostatné")</f>
        <v>Ministerstvo vnútra SR</v>
      </c>
      <c r="AN245" s="17" t="str">
        <f>IF(SrcDB[[#This Row],[Pocet zmluv dodavatela]]&gt;3,SrcDB[[#This Row],[Dodavatel]],"Ostatné")</f>
        <v>InterWay, a.s.</v>
      </c>
    </row>
    <row r="246" spans="1:40" x14ac:dyDescent="0.3">
      <c r="A246" s="2" t="s">
        <v>445</v>
      </c>
      <c r="B246" s="2">
        <v>5053015</v>
      </c>
      <c r="C246" s="3" t="str">
        <f t="shared" si="210"/>
        <v>Áno</v>
      </c>
      <c r="D246" s="3" t="str">
        <f t="shared" si="211"/>
        <v>Nie</v>
      </c>
      <c r="E246" s="3" t="s">
        <v>49</v>
      </c>
      <c r="F246" s="3" t="s">
        <v>48</v>
      </c>
      <c r="G246" s="2" t="str">
        <f t="shared" si="212"/>
        <v>Veľké zmluvy</v>
      </c>
      <c r="H246" s="5" t="s">
        <v>342</v>
      </c>
      <c r="I246" s="2" t="s">
        <v>343</v>
      </c>
      <c r="J246" s="2" t="s">
        <v>344</v>
      </c>
      <c r="K246" s="5">
        <v>35728531</v>
      </c>
      <c r="L246" s="2" t="s">
        <v>310</v>
      </c>
      <c r="M246" s="2" t="s">
        <v>311</v>
      </c>
      <c r="N246" s="6">
        <v>44134</v>
      </c>
      <c r="O246" s="4">
        <v>17145790.030000001</v>
      </c>
      <c r="P246" s="2">
        <v>114723</v>
      </c>
      <c r="Q246" s="2" t="s">
        <v>446</v>
      </c>
      <c r="R246" s="2" t="s">
        <v>447</v>
      </c>
      <c r="S246" s="2" t="s">
        <v>56</v>
      </c>
      <c r="T246" s="2" t="s">
        <v>448</v>
      </c>
      <c r="U246" s="2" t="s">
        <v>449</v>
      </c>
      <c r="W246" s="4">
        <v>678.2</v>
      </c>
      <c r="X246" s="4">
        <v>813.84</v>
      </c>
      <c r="Y246" s="4">
        <f t="shared" ref="Y246" si="269">INDEX(InternalRates,MATCH($S246,InternalRates01,FALSE),2)</f>
        <v>278.98333333333335</v>
      </c>
      <c r="Z246" s="3" t="str">
        <f t="shared" si="215"/>
        <v>Nie</v>
      </c>
      <c r="AA246" s="3" t="str">
        <f t="shared" si="216"/>
        <v>ZoD</v>
      </c>
      <c r="AB246" s="4">
        <v>2</v>
      </c>
      <c r="AD246" s="3" t="s">
        <v>48</v>
      </c>
      <c r="AE246" s="6">
        <v>44417</v>
      </c>
      <c r="AF246" s="3" t="s">
        <v>59</v>
      </c>
      <c r="AG246" s="3" t="s">
        <v>49</v>
      </c>
      <c r="AH246" s="3">
        <f>YEAR(SrcDB[[#This Row],[Datum_zverejnenia]])</f>
        <v>2020</v>
      </c>
      <c r="AI246" s="3" cm="1">
        <f t="array" ref="AI246">COUNT(_xlfn.UNIQUE(_xlfn._xlws.FILTER(SrcDB[ID],SrcDB[Objednavatel_ICO]=$H246)))</f>
        <v>15</v>
      </c>
      <c r="AJ246" s="3" cm="1">
        <f t="array" ref="AJ246">COUNT(_xlfn.UNIQUE(_xlfn._xlws.FILTER(SrcDB[ID],SrcDB[Dodavatel_ICO]=$K246)))</f>
        <v>8</v>
      </c>
      <c r="AK246" s="3">
        <f t="shared" si="218"/>
        <v>0</v>
      </c>
      <c r="AL246" s="3">
        <f t="shared" si="219"/>
        <v>0</v>
      </c>
      <c r="AM246" s="17" t="str">
        <f>IF(SrcDB[[#This Row],[Pocet zmluv objednavatela]]&gt;3,SrcDB[[#This Row],[Objednavatel]],"Ostatné")</f>
        <v>Ministerstvo vnútra SR</v>
      </c>
      <c r="AN246" s="17" t="str">
        <f>IF(SrcDB[[#This Row],[Pocet zmluv dodavatela]]&gt;3,SrcDB[[#This Row],[Dodavatel]],"Ostatné")</f>
        <v>InterWay, a.s.</v>
      </c>
    </row>
    <row r="247" spans="1:40" x14ac:dyDescent="0.3">
      <c r="A247" s="2" t="s">
        <v>445</v>
      </c>
      <c r="B247" s="2">
        <v>5053015</v>
      </c>
      <c r="C247" s="3" t="str">
        <f t="shared" si="210"/>
        <v>Áno</v>
      </c>
      <c r="D247" s="3" t="str">
        <f t="shared" si="211"/>
        <v>Nie</v>
      </c>
      <c r="E247" s="3" t="s">
        <v>49</v>
      </c>
      <c r="F247" s="3" t="s">
        <v>48</v>
      </c>
      <c r="G247" s="2" t="str">
        <f t="shared" si="212"/>
        <v>Veľké zmluvy</v>
      </c>
      <c r="H247" s="5" t="s">
        <v>342</v>
      </c>
      <c r="I247" s="2" t="s">
        <v>343</v>
      </c>
      <c r="J247" s="2" t="s">
        <v>344</v>
      </c>
      <c r="K247" s="5">
        <v>35728531</v>
      </c>
      <c r="L247" s="2" t="s">
        <v>310</v>
      </c>
      <c r="M247" s="2" t="s">
        <v>311</v>
      </c>
      <c r="N247" s="6">
        <v>44134</v>
      </c>
      <c r="O247" s="4">
        <v>17145790.030000001</v>
      </c>
      <c r="P247" s="2">
        <v>114723</v>
      </c>
      <c r="Q247" s="2" t="s">
        <v>446</v>
      </c>
      <c r="R247" s="2" t="s">
        <v>447</v>
      </c>
      <c r="S247" s="2" t="s">
        <v>56</v>
      </c>
      <c r="T247" s="2" t="s">
        <v>448</v>
      </c>
      <c r="U247" s="2" t="s">
        <v>449</v>
      </c>
      <c r="W247" s="4">
        <v>702.4</v>
      </c>
      <c r="X247" s="4">
        <v>842.88</v>
      </c>
      <c r="Y247" s="4">
        <f t="shared" ref="Y247" si="270">INDEX(InternalRates,MATCH($S247,InternalRates01,FALSE),2)</f>
        <v>278.98333333333335</v>
      </c>
      <c r="Z247" s="3" t="str">
        <f t="shared" si="215"/>
        <v>Nie</v>
      </c>
      <c r="AA247" s="3" t="str">
        <f t="shared" si="216"/>
        <v>ZoD</v>
      </c>
      <c r="AB247" s="4">
        <v>4</v>
      </c>
      <c r="AD247" s="3" t="s">
        <v>48</v>
      </c>
      <c r="AE247" s="6">
        <v>44417</v>
      </c>
      <c r="AF247" s="3" t="s">
        <v>59</v>
      </c>
      <c r="AG247" s="3" t="s">
        <v>49</v>
      </c>
      <c r="AH247" s="3">
        <f>YEAR(SrcDB[[#This Row],[Datum_zverejnenia]])</f>
        <v>2020</v>
      </c>
      <c r="AI247" s="3" cm="1">
        <f t="array" ref="AI247">COUNT(_xlfn.UNIQUE(_xlfn._xlws.FILTER(SrcDB[ID],SrcDB[Objednavatel_ICO]=$H247)))</f>
        <v>15</v>
      </c>
      <c r="AJ247" s="3" cm="1">
        <f t="array" ref="AJ247">COUNT(_xlfn.UNIQUE(_xlfn._xlws.FILTER(SrcDB[ID],SrcDB[Dodavatel_ICO]=$K247)))</f>
        <v>8</v>
      </c>
      <c r="AK247" s="3">
        <f t="shared" si="218"/>
        <v>0</v>
      </c>
      <c r="AL247" s="3">
        <f t="shared" si="219"/>
        <v>0</v>
      </c>
      <c r="AM247" s="17" t="str">
        <f>IF(SrcDB[[#This Row],[Pocet zmluv objednavatela]]&gt;3,SrcDB[[#This Row],[Objednavatel]],"Ostatné")</f>
        <v>Ministerstvo vnútra SR</v>
      </c>
      <c r="AN247" s="17" t="str">
        <f>IF(SrcDB[[#This Row],[Pocet zmluv dodavatela]]&gt;3,SrcDB[[#This Row],[Dodavatel]],"Ostatné")</f>
        <v>InterWay, a.s.</v>
      </c>
    </row>
    <row r="248" spans="1:40" x14ac:dyDescent="0.3">
      <c r="A248" s="2" t="s">
        <v>445</v>
      </c>
      <c r="B248" s="2">
        <v>5053015</v>
      </c>
      <c r="C248" s="3" t="str">
        <f t="shared" si="210"/>
        <v>Áno</v>
      </c>
      <c r="D248" s="3" t="str">
        <f t="shared" si="211"/>
        <v>Nie</v>
      </c>
      <c r="E248" s="3" t="s">
        <v>49</v>
      </c>
      <c r="F248" s="3" t="s">
        <v>48</v>
      </c>
      <c r="G248" s="2" t="str">
        <f t="shared" si="212"/>
        <v>Veľké zmluvy</v>
      </c>
      <c r="H248" s="5" t="s">
        <v>342</v>
      </c>
      <c r="I248" s="2" t="s">
        <v>343</v>
      </c>
      <c r="J248" s="2" t="s">
        <v>344</v>
      </c>
      <c r="K248" s="5">
        <v>35728531</v>
      </c>
      <c r="L248" s="2" t="s">
        <v>310</v>
      </c>
      <c r="M248" s="2" t="s">
        <v>311</v>
      </c>
      <c r="N248" s="6">
        <v>44134</v>
      </c>
      <c r="O248" s="4">
        <v>17145790.030000001</v>
      </c>
      <c r="P248" s="2">
        <v>114723</v>
      </c>
      <c r="Q248" s="2" t="s">
        <v>446</v>
      </c>
      <c r="R248" s="2" t="s">
        <v>447</v>
      </c>
      <c r="S248" s="2" t="s">
        <v>98</v>
      </c>
      <c r="T248" s="2" t="s">
        <v>99</v>
      </c>
      <c r="W248" s="4">
        <v>500</v>
      </c>
      <c r="X248" s="4">
        <v>600</v>
      </c>
      <c r="Y248" s="4">
        <f t="shared" ref="Y248" si="271">INDEX(InternalRates,MATCH($S248,InternalRates01,FALSE),2)</f>
        <v>278.98333333333335</v>
      </c>
      <c r="Z248" s="3" t="str">
        <f t="shared" si="215"/>
        <v>Nie</v>
      </c>
      <c r="AA248" s="3" t="str">
        <f t="shared" si="216"/>
        <v>ZoD</v>
      </c>
      <c r="AB248" s="4">
        <v>4</v>
      </c>
      <c r="AD248" s="3" t="s">
        <v>48</v>
      </c>
      <c r="AE248" s="6">
        <v>44417</v>
      </c>
      <c r="AF248" s="3" t="s">
        <v>59</v>
      </c>
      <c r="AG248" s="3" t="s">
        <v>49</v>
      </c>
      <c r="AH248" s="3">
        <f>YEAR(SrcDB[[#This Row],[Datum_zverejnenia]])</f>
        <v>2020</v>
      </c>
      <c r="AI248" s="3" cm="1">
        <f t="array" ref="AI248">COUNT(_xlfn.UNIQUE(_xlfn._xlws.FILTER(SrcDB[ID],SrcDB[Objednavatel_ICO]=$H248)))</f>
        <v>15</v>
      </c>
      <c r="AJ248" s="3" cm="1">
        <f t="array" ref="AJ248">COUNT(_xlfn.UNIQUE(_xlfn._xlws.FILTER(SrcDB[ID],SrcDB[Dodavatel_ICO]=$K248)))</f>
        <v>8</v>
      </c>
      <c r="AK248" s="3">
        <f t="shared" si="218"/>
        <v>0</v>
      </c>
      <c r="AL248" s="3">
        <f t="shared" si="219"/>
        <v>0</v>
      </c>
      <c r="AM248" s="17" t="str">
        <f>IF(SrcDB[[#This Row],[Pocet zmluv objednavatela]]&gt;3,SrcDB[[#This Row],[Objednavatel]],"Ostatné")</f>
        <v>Ministerstvo vnútra SR</v>
      </c>
      <c r="AN248" s="17" t="str">
        <f>IF(SrcDB[[#This Row],[Pocet zmluv dodavatela]]&gt;3,SrcDB[[#This Row],[Dodavatel]],"Ostatné")</f>
        <v>InterWay, a.s.</v>
      </c>
    </row>
    <row r="249" spans="1:40" x14ac:dyDescent="0.3">
      <c r="A249" s="2" t="s">
        <v>445</v>
      </c>
      <c r="B249" s="2">
        <v>5053015</v>
      </c>
      <c r="C249" s="3" t="str">
        <f t="shared" si="210"/>
        <v>Áno</v>
      </c>
      <c r="D249" s="3" t="str">
        <f t="shared" si="211"/>
        <v>Nie</v>
      </c>
      <c r="E249" s="3" t="s">
        <v>49</v>
      </c>
      <c r="F249" s="3" t="s">
        <v>48</v>
      </c>
      <c r="G249" s="2" t="str">
        <f t="shared" si="212"/>
        <v>Veľké zmluvy</v>
      </c>
      <c r="H249" s="5" t="s">
        <v>342</v>
      </c>
      <c r="I249" s="2" t="s">
        <v>343</v>
      </c>
      <c r="J249" s="2" t="s">
        <v>344</v>
      </c>
      <c r="K249" s="5">
        <v>35728531</v>
      </c>
      <c r="L249" s="2" t="s">
        <v>310</v>
      </c>
      <c r="M249" s="2" t="s">
        <v>311</v>
      </c>
      <c r="N249" s="6">
        <v>44134</v>
      </c>
      <c r="O249" s="4">
        <v>17145790.030000001</v>
      </c>
      <c r="P249" s="2">
        <v>114723</v>
      </c>
      <c r="Q249" s="2" t="s">
        <v>446</v>
      </c>
      <c r="R249" s="2" t="s">
        <v>447</v>
      </c>
      <c r="S249" s="2" t="s">
        <v>56</v>
      </c>
      <c r="T249" s="2" t="s">
        <v>448</v>
      </c>
      <c r="U249" s="2" t="s">
        <v>449</v>
      </c>
      <c r="W249" s="4">
        <v>610</v>
      </c>
      <c r="X249" s="4">
        <v>732</v>
      </c>
      <c r="Y249" s="4">
        <f t="shared" ref="Y249" si="272">INDEX(InternalRates,MATCH($S249,InternalRates01,FALSE),2)</f>
        <v>278.98333333333335</v>
      </c>
      <c r="Z249" s="3" t="str">
        <f t="shared" si="215"/>
        <v>Nie</v>
      </c>
      <c r="AA249" s="3" t="str">
        <f t="shared" si="216"/>
        <v>ZoD</v>
      </c>
      <c r="AB249" s="4">
        <v>2</v>
      </c>
      <c r="AD249" s="3" t="s">
        <v>48</v>
      </c>
      <c r="AE249" s="6">
        <v>44417</v>
      </c>
      <c r="AF249" s="3" t="s">
        <v>59</v>
      </c>
      <c r="AG249" s="3" t="s">
        <v>49</v>
      </c>
      <c r="AH249" s="3">
        <f>YEAR(SrcDB[[#This Row],[Datum_zverejnenia]])</f>
        <v>2020</v>
      </c>
      <c r="AI249" s="3" cm="1">
        <f t="array" ref="AI249">COUNT(_xlfn.UNIQUE(_xlfn._xlws.FILTER(SrcDB[ID],SrcDB[Objednavatel_ICO]=$H249)))</f>
        <v>15</v>
      </c>
      <c r="AJ249" s="3" cm="1">
        <f t="array" ref="AJ249">COUNT(_xlfn.UNIQUE(_xlfn._xlws.FILTER(SrcDB[ID],SrcDB[Dodavatel_ICO]=$K249)))</f>
        <v>8</v>
      </c>
      <c r="AK249" s="3">
        <f t="shared" si="218"/>
        <v>0</v>
      </c>
      <c r="AL249" s="3">
        <f t="shared" si="219"/>
        <v>0</v>
      </c>
      <c r="AM249" s="17" t="str">
        <f>IF(SrcDB[[#This Row],[Pocet zmluv objednavatela]]&gt;3,SrcDB[[#This Row],[Objednavatel]],"Ostatné")</f>
        <v>Ministerstvo vnútra SR</v>
      </c>
      <c r="AN249" s="17" t="str">
        <f>IF(SrcDB[[#This Row],[Pocet zmluv dodavatela]]&gt;3,SrcDB[[#This Row],[Dodavatel]],"Ostatné")</f>
        <v>InterWay, a.s.</v>
      </c>
    </row>
    <row r="250" spans="1:40" x14ac:dyDescent="0.3">
      <c r="A250" s="2" t="s">
        <v>445</v>
      </c>
      <c r="B250" s="2">
        <v>5053015</v>
      </c>
      <c r="C250" s="3" t="str">
        <f t="shared" si="210"/>
        <v>Áno</v>
      </c>
      <c r="D250" s="3" t="str">
        <f t="shared" si="211"/>
        <v>Nie</v>
      </c>
      <c r="E250" s="3" t="s">
        <v>49</v>
      </c>
      <c r="F250" s="3" t="s">
        <v>48</v>
      </c>
      <c r="G250" s="2" t="str">
        <f t="shared" si="212"/>
        <v>Veľké zmluvy</v>
      </c>
      <c r="H250" s="5" t="s">
        <v>342</v>
      </c>
      <c r="I250" s="2" t="s">
        <v>343</v>
      </c>
      <c r="J250" s="2" t="s">
        <v>344</v>
      </c>
      <c r="K250" s="5">
        <v>35728531</v>
      </c>
      <c r="L250" s="2" t="s">
        <v>310</v>
      </c>
      <c r="M250" s="2" t="s">
        <v>311</v>
      </c>
      <c r="N250" s="6">
        <v>44134</v>
      </c>
      <c r="O250" s="4">
        <v>17145790.030000001</v>
      </c>
      <c r="P250" s="2">
        <v>114723</v>
      </c>
      <c r="Q250" s="2" t="s">
        <v>446</v>
      </c>
      <c r="R250" s="2" t="s">
        <v>447</v>
      </c>
      <c r="S250" s="2" t="s">
        <v>56</v>
      </c>
      <c r="T250" s="2" t="s">
        <v>448</v>
      </c>
      <c r="U250" s="2" t="s">
        <v>449</v>
      </c>
      <c r="W250" s="4">
        <v>687</v>
      </c>
      <c r="X250" s="4">
        <v>824.4</v>
      </c>
      <c r="Y250" s="4">
        <f t="shared" ref="Y250" si="273">INDEX(InternalRates,MATCH($S250,InternalRates01,FALSE),2)</f>
        <v>278.98333333333335</v>
      </c>
      <c r="Z250" s="3" t="str">
        <f t="shared" si="215"/>
        <v>Nie</v>
      </c>
      <c r="AA250" s="3" t="str">
        <f t="shared" si="216"/>
        <v>ZoD</v>
      </c>
      <c r="AB250" s="4">
        <v>1</v>
      </c>
      <c r="AD250" s="3" t="s">
        <v>48</v>
      </c>
      <c r="AE250" s="6">
        <v>44417</v>
      </c>
      <c r="AF250" s="3" t="s">
        <v>59</v>
      </c>
      <c r="AG250" s="3" t="s">
        <v>49</v>
      </c>
      <c r="AH250" s="3">
        <f>YEAR(SrcDB[[#This Row],[Datum_zverejnenia]])</f>
        <v>2020</v>
      </c>
      <c r="AI250" s="3" cm="1">
        <f t="array" ref="AI250">COUNT(_xlfn.UNIQUE(_xlfn._xlws.FILTER(SrcDB[ID],SrcDB[Objednavatel_ICO]=$H250)))</f>
        <v>15</v>
      </c>
      <c r="AJ250" s="3" cm="1">
        <f t="array" ref="AJ250">COUNT(_xlfn.UNIQUE(_xlfn._xlws.FILTER(SrcDB[ID],SrcDB[Dodavatel_ICO]=$K250)))</f>
        <v>8</v>
      </c>
      <c r="AK250" s="3">
        <f t="shared" si="218"/>
        <v>0</v>
      </c>
      <c r="AL250" s="3">
        <f t="shared" si="219"/>
        <v>0</v>
      </c>
      <c r="AM250" s="17" t="str">
        <f>IF(SrcDB[[#This Row],[Pocet zmluv objednavatela]]&gt;3,SrcDB[[#This Row],[Objednavatel]],"Ostatné")</f>
        <v>Ministerstvo vnútra SR</v>
      </c>
      <c r="AN250" s="17" t="str">
        <f>IF(SrcDB[[#This Row],[Pocet zmluv dodavatela]]&gt;3,SrcDB[[#This Row],[Dodavatel]],"Ostatné")</f>
        <v>InterWay, a.s.</v>
      </c>
    </row>
    <row r="251" spans="1:40" x14ac:dyDescent="0.3">
      <c r="A251" s="2" t="s">
        <v>445</v>
      </c>
      <c r="B251" s="2">
        <v>5053015</v>
      </c>
      <c r="C251" s="3" t="str">
        <f t="shared" si="210"/>
        <v>Áno</v>
      </c>
      <c r="D251" s="3" t="str">
        <f t="shared" si="211"/>
        <v>Nie</v>
      </c>
      <c r="E251" s="3" t="s">
        <v>49</v>
      </c>
      <c r="F251" s="3" t="s">
        <v>48</v>
      </c>
      <c r="G251" s="2" t="str">
        <f t="shared" si="212"/>
        <v>Veľké zmluvy</v>
      </c>
      <c r="H251" s="5" t="s">
        <v>342</v>
      </c>
      <c r="I251" s="2" t="s">
        <v>343</v>
      </c>
      <c r="J251" s="2" t="s">
        <v>344</v>
      </c>
      <c r="K251" s="5">
        <v>35728531</v>
      </c>
      <c r="L251" s="2" t="s">
        <v>310</v>
      </c>
      <c r="M251" s="2" t="s">
        <v>311</v>
      </c>
      <c r="N251" s="6">
        <v>44134</v>
      </c>
      <c r="O251" s="4">
        <v>17145790.030000001</v>
      </c>
      <c r="P251" s="2">
        <v>114723</v>
      </c>
      <c r="Q251" s="2" t="s">
        <v>446</v>
      </c>
      <c r="R251" s="2" t="s">
        <v>447</v>
      </c>
      <c r="S251" s="2" t="s">
        <v>56</v>
      </c>
      <c r="T251" s="2" t="s">
        <v>448</v>
      </c>
      <c r="U251" s="2" t="s">
        <v>449</v>
      </c>
      <c r="W251" s="4">
        <v>650</v>
      </c>
      <c r="X251" s="4">
        <v>780</v>
      </c>
      <c r="Y251" s="4">
        <f t="shared" ref="Y251" si="274">INDEX(InternalRates,MATCH($S251,InternalRates01,FALSE),2)</f>
        <v>278.98333333333335</v>
      </c>
      <c r="Z251" s="3" t="str">
        <f t="shared" si="215"/>
        <v>Nie</v>
      </c>
      <c r="AA251" s="3" t="str">
        <f t="shared" si="216"/>
        <v>ZoD</v>
      </c>
      <c r="AB251" s="4">
        <v>1</v>
      </c>
      <c r="AD251" s="3" t="s">
        <v>48</v>
      </c>
      <c r="AE251" s="6">
        <v>44417</v>
      </c>
      <c r="AF251" s="3" t="s">
        <v>59</v>
      </c>
      <c r="AG251" s="3" t="s">
        <v>49</v>
      </c>
      <c r="AH251" s="3">
        <f>YEAR(SrcDB[[#This Row],[Datum_zverejnenia]])</f>
        <v>2020</v>
      </c>
      <c r="AI251" s="3" cm="1">
        <f t="array" ref="AI251">COUNT(_xlfn.UNIQUE(_xlfn._xlws.FILTER(SrcDB[ID],SrcDB[Objednavatel_ICO]=$H251)))</f>
        <v>15</v>
      </c>
      <c r="AJ251" s="3" cm="1">
        <f t="array" ref="AJ251">COUNT(_xlfn.UNIQUE(_xlfn._xlws.FILTER(SrcDB[ID],SrcDB[Dodavatel_ICO]=$K251)))</f>
        <v>8</v>
      </c>
      <c r="AK251" s="3">
        <f t="shared" si="218"/>
        <v>0</v>
      </c>
      <c r="AL251" s="3">
        <f t="shared" si="219"/>
        <v>0</v>
      </c>
      <c r="AM251" s="17" t="str">
        <f>IF(SrcDB[[#This Row],[Pocet zmluv objednavatela]]&gt;3,SrcDB[[#This Row],[Objednavatel]],"Ostatné")</f>
        <v>Ministerstvo vnútra SR</v>
      </c>
      <c r="AN251" s="17" t="str">
        <f>IF(SrcDB[[#This Row],[Pocet zmluv dodavatela]]&gt;3,SrcDB[[#This Row],[Dodavatel]],"Ostatné")</f>
        <v>InterWay, a.s.</v>
      </c>
    </row>
    <row r="252" spans="1:40" x14ac:dyDescent="0.3">
      <c r="A252" s="2" t="s">
        <v>451</v>
      </c>
      <c r="B252" s="2">
        <v>5084726</v>
      </c>
      <c r="C252" s="3" t="str">
        <f t="shared" si="210"/>
        <v>Nejasné</v>
      </c>
      <c r="D252" s="3" t="str">
        <f t="shared" si="211"/>
        <v>Nejasné</v>
      </c>
      <c r="E252" s="3" t="s">
        <v>48</v>
      </c>
      <c r="F252" s="3" t="s">
        <v>49</v>
      </c>
      <c r="G252" s="2" t="str">
        <f t="shared" si="212"/>
        <v>Malé zmluvy</v>
      </c>
      <c r="H252" s="5" t="s">
        <v>452</v>
      </c>
      <c r="I252" s="2" t="s">
        <v>453</v>
      </c>
      <c r="J252" s="2" t="s">
        <v>454</v>
      </c>
      <c r="K252" s="5">
        <v>35810734</v>
      </c>
      <c r="L252" s="2" t="s">
        <v>257</v>
      </c>
      <c r="M252" s="2" t="s">
        <v>455</v>
      </c>
      <c r="N252" s="6">
        <v>44153.587800925925</v>
      </c>
      <c r="O252" s="4">
        <v>699530.4</v>
      </c>
      <c r="P252" s="2">
        <v>356772</v>
      </c>
      <c r="Q252" s="2" t="s">
        <v>456</v>
      </c>
      <c r="R252" s="2" t="s">
        <v>457</v>
      </c>
      <c r="S252" s="2" t="s">
        <v>69</v>
      </c>
      <c r="T252" s="2" t="s">
        <v>70</v>
      </c>
      <c r="W252" s="4">
        <v>736</v>
      </c>
      <c r="X252" s="4">
        <v>883.19999999999993</v>
      </c>
      <c r="Y252" s="4">
        <f t="shared" ref="Y252" si="275">INDEX(InternalRates,MATCH($S252,InternalRates01,FALSE),2)</f>
        <v>278.98333333333335</v>
      </c>
      <c r="Z252" s="3" t="str">
        <f t="shared" si="215"/>
        <v>Nie</v>
      </c>
      <c r="AA252" s="3" t="str">
        <f t="shared" si="216"/>
        <v>SLA</v>
      </c>
      <c r="AB252" s="4">
        <v>9.625</v>
      </c>
      <c r="AD252" s="3" t="s">
        <v>48</v>
      </c>
      <c r="AE252" s="6">
        <v>44424</v>
      </c>
      <c r="AF252" s="3" t="s">
        <v>59</v>
      </c>
      <c r="AG252" s="3" t="s">
        <v>60</v>
      </c>
      <c r="AH252" s="3">
        <f>YEAR(SrcDB[[#This Row],[Datum_zverejnenia]])</f>
        <v>2020</v>
      </c>
      <c r="AI252" s="3" cm="1">
        <f t="array" ref="AI252">COUNT(_xlfn.UNIQUE(_xlfn._xlws.FILTER(SrcDB[ID],SrcDB[Objednavatel_ICO]=$H252)))</f>
        <v>2</v>
      </c>
      <c r="AJ252" s="3" cm="1">
        <f t="array" ref="AJ252">COUNT(_xlfn.UNIQUE(_xlfn._xlws.FILTER(SrcDB[ID],SrcDB[Dodavatel_ICO]=$K252)))</f>
        <v>10</v>
      </c>
      <c r="AK252" s="3">
        <f t="shared" si="218"/>
        <v>1</v>
      </c>
      <c r="AL252" s="3">
        <f t="shared" si="219"/>
        <v>1</v>
      </c>
      <c r="AM252" s="17" t="str">
        <f>IF(SrcDB[[#This Row],[Pocet zmluv objednavatela]]&gt;3,SrcDB[[#This Row],[Objednavatel]],"Ostatné")</f>
        <v>Ostatné</v>
      </c>
      <c r="AN252" s="17" t="str">
        <f>IF(SrcDB[[#This Row],[Pocet zmluv dodavatela]]&gt;3,SrcDB[[#This Row],[Dodavatel]],"Ostatné")</f>
        <v>DATALAN, a.s.</v>
      </c>
    </row>
    <row r="253" spans="1:40" x14ac:dyDescent="0.3">
      <c r="A253" s="2" t="s">
        <v>451</v>
      </c>
      <c r="B253" s="2">
        <v>5084726</v>
      </c>
      <c r="C253" s="3" t="str">
        <f t="shared" si="210"/>
        <v>Nejasné</v>
      </c>
      <c r="D253" s="3" t="str">
        <f t="shared" si="211"/>
        <v>Nejasné</v>
      </c>
      <c r="E253" s="3" t="s">
        <v>48</v>
      </c>
      <c r="F253" s="3" t="s">
        <v>49</v>
      </c>
      <c r="G253" s="2" t="str">
        <f t="shared" si="212"/>
        <v>Malé zmluvy</v>
      </c>
      <c r="H253" s="5" t="s">
        <v>452</v>
      </c>
      <c r="I253" s="2" t="s">
        <v>453</v>
      </c>
      <c r="J253" s="2" t="s">
        <v>454</v>
      </c>
      <c r="K253" s="5">
        <v>35810734</v>
      </c>
      <c r="L253" s="2" t="s">
        <v>257</v>
      </c>
      <c r="M253" s="2" t="s">
        <v>455</v>
      </c>
      <c r="N253" s="6">
        <v>44153.587800925925</v>
      </c>
      <c r="O253" s="4">
        <v>699530.4</v>
      </c>
      <c r="P253" s="2">
        <v>356772</v>
      </c>
      <c r="Q253" s="2" t="s">
        <v>456</v>
      </c>
      <c r="R253" s="2" t="s">
        <v>457</v>
      </c>
      <c r="S253" s="2" t="s">
        <v>56</v>
      </c>
      <c r="T253" s="2" t="s">
        <v>458</v>
      </c>
      <c r="U253" s="2" t="s">
        <v>129</v>
      </c>
      <c r="W253" s="4">
        <v>704</v>
      </c>
      <c r="X253" s="4">
        <v>844.8</v>
      </c>
      <c r="Y253" s="4">
        <f t="shared" ref="Y253" si="276">INDEX(InternalRates,MATCH($S253,InternalRates01,FALSE),2)</f>
        <v>278.98333333333335</v>
      </c>
      <c r="Z253" s="3" t="str">
        <f t="shared" si="215"/>
        <v>Nie</v>
      </c>
      <c r="AA253" s="3" t="str">
        <f t="shared" si="216"/>
        <v>SLA</v>
      </c>
      <c r="AB253" s="4">
        <v>12.5</v>
      </c>
      <c r="AD253" s="3" t="s">
        <v>48</v>
      </c>
      <c r="AE253" s="6">
        <v>44424</v>
      </c>
      <c r="AF253" s="3" t="s">
        <v>59</v>
      </c>
      <c r="AG253" s="3" t="s">
        <v>60</v>
      </c>
      <c r="AH253" s="3">
        <f>YEAR(SrcDB[[#This Row],[Datum_zverejnenia]])</f>
        <v>2020</v>
      </c>
      <c r="AI253" s="3" cm="1">
        <f t="array" ref="AI253">COUNT(_xlfn.UNIQUE(_xlfn._xlws.FILTER(SrcDB[ID],SrcDB[Objednavatel_ICO]=$H253)))</f>
        <v>2</v>
      </c>
      <c r="AJ253" s="3" cm="1">
        <f t="array" ref="AJ253">COUNT(_xlfn.UNIQUE(_xlfn._xlws.FILTER(SrcDB[ID],SrcDB[Dodavatel_ICO]=$K253)))</f>
        <v>10</v>
      </c>
      <c r="AK253" s="3">
        <f t="shared" si="218"/>
        <v>0</v>
      </c>
      <c r="AL253" s="3">
        <f t="shared" si="219"/>
        <v>0</v>
      </c>
      <c r="AM253" s="17" t="str">
        <f>IF(SrcDB[[#This Row],[Pocet zmluv objednavatela]]&gt;3,SrcDB[[#This Row],[Objednavatel]],"Ostatné")</f>
        <v>Ostatné</v>
      </c>
      <c r="AN253" s="17" t="str">
        <f>IF(SrcDB[[#This Row],[Pocet zmluv dodavatela]]&gt;3,SrcDB[[#This Row],[Dodavatel]],"Ostatné")</f>
        <v>DATALAN, a.s.</v>
      </c>
    </row>
    <row r="254" spans="1:40" x14ac:dyDescent="0.3">
      <c r="A254" s="2" t="s">
        <v>451</v>
      </c>
      <c r="B254" s="2">
        <v>5084726</v>
      </c>
      <c r="C254" s="3" t="str">
        <f t="shared" si="210"/>
        <v>Nejasné</v>
      </c>
      <c r="D254" s="3" t="str">
        <f t="shared" si="211"/>
        <v>Nejasné</v>
      </c>
      <c r="E254" s="3" t="s">
        <v>48</v>
      </c>
      <c r="F254" s="3" t="s">
        <v>49</v>
      </c>
      <c r="G254" s="2" t="str">
        <f t="shared" si="212"/>
        <v>Malé zmluvy</v>
      </c>
      <c r="H254" s="5" t="s">
        <v>452</v>
      </c>
      <c r="I254" s="2" t="s">
        <v>453</v>
      </c>
      <c r="J254" s="2" t="s">
        <v>454</v>
      </c>
      <c r="K254" s="5">
        <v>35810734</v>
      </c>
      <c r="L254" s="2" t="s">
        <v>257</v>
      </c>
      <c r="M254" s="2" t="s">
        <v>455</v>
      </c>
      <c r="N254" s="6">
        <v>44153</v>
      </c>
      <c r="O254" s="4">
        <v>699530.4</v>
      </c>
      <c r="P254" s="2">
        <v>356772</v>
      </c>
      <c r="Q254" s="2" t="s">
        <v>456</v>
      </c>
      <c r="R254" s="2" t="s">
        <v>457</v>
      </c>
      <c r="S254" s="2" t="s">
        <v>73</v>
      </c>
      <c r="T254" s="2" t="s">
        <v>73</v>
      </c>
      <c r="W254" s="4">
        <v>576</v>
      </c>
      <c r="X254" s="4">
        <v>691.19999999999993</v>
      </c>
      <c r="Y254" s="4">
        <f t="shared" ref="Y254" si="277">INDEX(InternalRates,MATCH($S254,InternalRates01,FALSE),2)</f>
        <v>278.98333333333335</v>
      </c>
      <c r="Z254" s="3" t="str">
        <f t="shared" si="215"/>
        <v>Nie</v>
      </c>
      <c r="AA254" s="3" t="str">
        <f t="shared" si="216"/>
        <v>SLA</v>
      </c>
      <c r="AB254" s="4">
        <v>30</v>
      </c>
      <c r="AD254" s="3" t="s">
        <v>48</v>
      </c>
      <c r="AE254" s="6">
        <v>44424</v>
      </c>
      <c r="AF254" s="3" t="s">
        <v>59</v>
      </c>
      <c r="AG254" s="3" t="s">
        <v>60</v>
      </c>
      <c r="AH254" s="3">
        <f>YEAR(SrcDB[[#This Row],[Datum_zverejnenia]])</f>
        <v>2020</v>
      </c>
      <c r="AI254" s="3" cm="1">
        <f t="array" ref="AI254">COUNT(_xlfn.UNIQUE(_xlfn._xlws.FILTER(SrcDB[ID],SrcDB[Objednavatel_ICO]=$H254)))</f>
        <v>2</v>
      </c>
      <c r="AJ254" s="3" cm="1">
        <f t="array" ref="AJ254">COUNT(_xlfn.UNIQUE(_xlfn._xlws.FILTER(SrcDB[ID],SrcDB[Dodavatel_ICO]=$K254)))</f>
        <v>10</v>
      </c>
      <c r="AK254" s="3">
        <f t="shared" si="218"/>
        <v>0</v>
      </c>
      <c r="AL254" s="3">
        <f t="shared" si="219"/>
        <v>0</v>
      </c>
      <c r="AM254" s="17" t="str">
        <f>IF(SrcDB[[#This Row],[Pocet zmluv objednavatela]]&gt;3,SrcDB[[#This Row],[Objednavatel]],"Ostatné")</f>
        <v>Ostatné</v>
      </c>
      <c r="AN254" s="17" t="str">
        <f>IF(SrcDB[[#This Row],[Pocet zmluv dodavatela]]&gt;3,SrcDB[[#This Row],[Dodavatel]],"Ostatné")</f>
        <v>DATALAN, a.s.</v>
      </c>
    </row>
    <row r="255" spans="1:40" x14ac:dyDescent="0.3">
      <c r="A255" s="2" t="s">
        <v>451</v>
      </c>
      <c r="B255" s="2">
        <v>5084726</v>
      </c>
      <c r="C255" s="3" t="str">
        <f t="shared" si="210"/>
        <v>Nejasné</v>
      </c>
      <c r="D255" s="3" t="str">
        <f t="shared" si="211"/>
        <v>Nejasné</v>
      </c>
      <c r="E255" s="3" t="s">
        <v>48</v>
      </c>
      <c r="F255" s="3" t="s">
        <v>49</v>
      </c>
      <c r="G255" s="2" t="str">
        <f t="shared" si="212"/>
        <v>Malé zmluvy</v>
      </c>
      <c r="H255" s="5" t="s">
        <v>452</v>
      </c>
      <c r="I255" s="2" t="s">
        <v>453</v>
      </c>
      <c r="J255" s="2" t="s">
        <v>454</v>
      </c>
      <c r="K255" s="5">
        <v>35810734</v>
      </c>
      <c r="L255" s="2" t="s">
        <v>257</v>
      </c>
      <c r="M255" s="2" t="s">
        <v>455</v>
      </c>
      <c r="N255" s="6">
        <v>44153</v>
      </c>
      <c r="O255" s="4">
        <v>699530.4</v>
      </c>
      <c r="P255" s="2">
        <v>356772</v>
      </c>
      <c r="Q255" s="2" t="s">
        <v>456</v>
      </c>
      <c r="R255" s="2" t="s">
        <v>457</v>
      </c>
      <c r="S255" s="2" t="s">
        <v>77</v>
      </c>
      <c r="T255" s="2" t="s">
        <v>77</v>
      </c>
      <c r="W255" s="4">
        <v>528</v>
      </c>
      <c r="X255" s="4">
        <v>633.6</v>
      </c>
      <c r="Y255" s="4">
        <f t="shared" ref="Y255" si="278">INDEX(InternalRates,MATCH($S255,InternalRates01,FALSE),2)</f>
        <v>278.98333333333335</v>
      </c>
      <c r="Z255" s="3" t="str">
        <f t="shared" si="215"/>
        <v>Nie</v>
      </c>
      <c r="AA255" s="3" t="str">
        <f t="shared" si="216"/>
        <v>SLA</v>
      </c>
      <c r="AB255" s="4">
        <v>47.375</v>
      </c>
      <c r="AD255" s="3" t="s">
        <v>48</v>
      </c>
      <c r="AE255" s="6">
        <v>44424</v>
      </c>
      <c r="AF255" s="3" t="s">
        <v>59</v>
      </c>
      <c r="AG255" s="3" t="s">
        <v>60</v>
      </c>
      <c r="AH255" s="3">
        <f>YEAR(SrcDB[[#This Row],[Datum_zverejnenia]])</f>
        <v>2020</v>
      </c>
      <c r="AI255" s="3" cm="1">
        <f t="array" ref="AI255">COUNT(_xlfn.UNIQUE(_xlfn._xlws.FILTER(SrcDB[ID],SrcDB[Objednavatel_ICO]=$H255)))</f>
        <v>2</v>
      </c>
      <c r="AJ255" s="3" cm="1">
        <f t="array" ref="AJ255">COUNT(_xlfn.UNIQUE(_xlfn._xlws.FILTER(SrcDB[ID],SrcDB[Dodavatel_ICO]=$K255)))</f>
        <v>10</v>
      </c>
      <c r="AK255" s="3">
        <f t="shared" si="218"/>
        <v>0</v>
      </c>
      <c r="AL255" s="3">
        <f t="shared" si="219"/>
        <v>0</v>
      </c>
      <c r="AM255" s="17" t="str">
        <f>IF(SrcDB[[#This Row],[Pocet zmluv objednavatela]]&gt;3,SrcDB[[#This Row],[Objednavatel]],"Ostatné")</f>
        <v>Ostatné</v>
      </c>
      <c r="AN255" s="17" t="str">
        <f>IF(SrcDB[[#This Row],[Pocet zmluv dodavatela]]&gt;3,SrcDB[[#This Row],[Dodavatel]],"Ostatné")</f>
        <v>DATALAN, a.s.</v>
      </c>
    </row>
    <row r="256" spans="1:40" x14ac:dyDescent="0.3">
      <c r="A256" s="2" t="s">
        <v>451</v>
      </c>
      <c r="B256" s="2">
        <v>5084726</v>
      </c>
      <c r="C256" s="3" t="str">
        <f t="shared" si="210"/>
        <v>Nejasné</v>
      </c>
      <c r="D256" s="3" t="str">
        <f t="shared" si="211"/>
        <v>Nejasné</v>
      </c>
      <c r="E256" s="3" t="s">
        <v>48</v>
      </c>
      <c r="F256" s="3" t="s">
        <v>49</v>
      </c>
      <c r="G256" s="2" t="str">
        <f t="shared" si="212"/>
        <v>Malé zmluvy</v>
      </c>
      <c r="H256" s="5" t="s">
        <v>452</v>
      </c>
      <c r="I256" s="2" t="s">
        <v>453</v>
      </c>
      <c r="J256" s="2" t="s">
        <v>454</v>
      </c>
      <c r="K256" s="5">
        <v>35810734</v>
      </c>
      <c r="L256" s="2" t="s">
        <v>257</v>
      </c>
      <c r="M256" s="2" t="s">
        <v>455</v>
      </c>
      <c r="N256" s="6">
        <v>44153</v>
      </c>
      <c r="O256" s="4">
        <v>699530.4</v>
      </c>
      <c r="P256" s="2">
        <v>356772</v>
      </c>
      <c r="Q256" s="2" t="s">
        <v>456</v>
      </c>
      <c r="R256" s="2" t="s">
        <v>457</v>
      </c>
      <c r="S256" s="2" t="s">
        <v>56</v>
      </c>
      <c r="T256" s="2" t="s">
        <v>459</v>
      </c>
      <c r="U256" s="2" t="s">
        <v>460</v>
      </c>
      <c r="W256" s="4">
        <v>664</v>
      </c>
      <c r="X256" s="4">
        <v>796.8</v>
      </c>
      <c r="Y256" s="4">
        <f t="shared" ref="Y256" si="279">INDEX(InternalRates,MATCH($S256,InternalRates01,FALSE),2)</f>
        <v>278.98333333333335</v>
      </c>
      <c r="Z256" s="3" t="str">
        <f t="shared" si="215"/>
        <v>Nie</v>
      </c>
      <c r="AA256" s="3" t="str">
        <f t="shared" si="216"/>
        <v>SLA</v>
      </c>
      <c r="AB256" s="4">
        <v>5.25</v>
      </c>
      <c r="AD256" s="3" t="s">
        <v>48</v>
      </c>
      <c r="AE256" s="6">
        <v>44424</v>
      </c>
      <c r="AF256" s="3" t="s">
        <v>59</v>
      </c>
      <c r="AG256" s="3" t="s">
        <v>60</v>
      </c>
      <c r="AH256" s="3">
        <f>YEAR(SrcDB[[#This Row],[Datum_zverejnenia]])</f>
        <v>2020</v>
      </c>
      <c r="AI256" s="3" cm="1">
        <f t="array" ref="AI256">COUNT(_xlfn.UNIQUE(_xlfn._xlws.FILTER(SrcDB[ID],SrcDB[Objednavatel_ICO]=$H256)))</f>
        <v>2</v>
      </c>
      <c r="AJ256" s="3" cm="1">
        <f t="array" ref="AJ256">COUNT(_xlfn.UNIQUE(_xlfn._xlws.FILTER(SrcDB[ID],SrcDB[Dodavatel_ICO]=$K256)))</f>
        <v>10</v>
      </c>
      <c r="AK256" s="3">
        <f t="shared" si="218"/>
        <v>0</v>
      </c>
      <c r="AL256" s="3">
        <f t="shared" si="219"/>
        <v>0</v>
      </c>
      <c r="AM256" s="17" t="str">
        <f>IF(SrcDB[[#This Row],[Pocet zmluv objednavatela]]&gt;3,SrcDB[[#This Row],[Objednavatel]],"Ostatné")</f>
        <v>Ostatné</v>
      </c>
      <c r="AN256" s="17" t="str">
        <f>IF(SrcDB[[#This Row],[Pocet zmluv dodavatela]]&gt;3,SrcDB[[#This Row],[Dodavatel]],"Ostatné")</f>
        <v>DATALAN, a.s.</v>
      </c>
    </row>
    <row r="257" spans="1:40" x14ac:dyDescent="0.3">
      <c r="A257" s="2" t="s">
        <v>451</v>
      </c>
      <c r="B257" s="2">
        <v>5084726</v>
      </c>
      <c r="C257" s="3" t="str">
        <f t="shared" si="210"/>
        <v>Nejasné</v>
      </c>
      <c r="D257" s="3" t="str">
        <f t="shared" si="211"/>
        <v>Nejasné</v>
      </c>
      <c r="E257" s="3" t="s">
        <v>48</v>
      </c>
      <c r="F257" s="3" t="s">
        <v>49</v>
      </c>
      <c r="G257" s="2" t="str">
        <f t="shared" si="212"/>
        <v>Malé zmluvy</v>
      </c>
      <c r="H257" s="5" t="s">
        <v>452</v>
      </c>
      <c r="I257" s="2" t="s">
        <v>453</v>
      </c>
      <c r="J257" s="2" t="s">
        <v>454</v>
      </c>
      <c r="K257" s="5">
        <v>35810734</v>
      </c>
      <c r="L257" s="2" t="s">
        <v>257</v>
      </c>
      <c r="M257" s="2" t="s">
        <v>455</v>
      </c>
      <c r="N257" s="6">
        <v>44153</v>
      </c>
      <c r="O257" s="4">
        <v>699530.4</v>
      </c>
      <c r="P257" s="2">
        <v>356772</v>
      </c>
      <c r="Q257" s="2" t="s">
        <v>456</v>
      </c>
      <c r="R257" s="2" t="s">
        <v>457</v>
      </c>
      <c r="S257" s="2" t="s">
        <v>79</v>
      </c>
      <c r="T257" s="2" t="s">
        <v>79</v>
      </c>
      <c r="W257" s="4">
        <v>528</v>
      </c>
      <c r="X257" s="4">
        <v>633.6</v>
      </c>
      <c r="Y257" s="4">
        <f t="shared" ref="Y257" si="280">INDEX(InternalRates,MATCH($S257,InternalRates01,FALSE),2)</f>
        <v>278.98333333333335</v>
      </c>
      <c r="Z257" s="3" t="str">
        <f t="shared" si="215"/>
        <v>Nie</v>
      </c>
      <c r="AA257" s="3" t="str">
        <f t="shared" si="216"/>
        <v>SLA</v>
      </c>
      <c r="AB257" s="4">
        <v>10.5</v>
      </c>
      <c r="AD257" s="3" t="s">
        <v>48</v>
      </c>
      <c r="AE257" s="6">
        <v>44424</v>
      </c>
      <c r="AF257" s="3" t="s">
        <v>59</v>
      </c>
      <c r="AG257" s="3" t="s">
        <v>60</v>
      </c>
      <c r="AH257" s="3">
        <f>YEAR(SrcDB[[#This Row],[Datum_zverejnenia]])</f>
        <v>2020</v>
      </c>
      <c r="AI257" s="3" cm="1">
        <f t="array" ref="AI257">COUNT(_xlfn.UNIQUE(_xlfn._xlws.FILTER(SrcDB[ID],SrcDB[Objednavatel_ICO]=$H257)))</f>
        <v>2</v>
      </c>
      <c r="AJ257" s="3" cm="1">
        <f t="array" ref="AJ257">COUNT(_xlfn.UNIQUE(_xlfn._xlws.FILTER(SrcDB[ID],SrcDB[Dodavatel_ICO]=$K257)))</f>
        <v>10</v>
      </c>
      <c r="AK257" s="3">
        <f t="shared" si="218"/>
        <v>0</v>
      </c>
      <c r="AL257" s="3">
        <f t="shared" si="219"/>
        <v>0</v>
      </c>
      <c r="AM257" s="17" t="str">
        <f>IF(SrcDB[[#This Row],[Pocet zmluv objednavatela]]&gt;3,SrcDB[[#This Row],[Objednavatel]],"Ostatné")</f>
        <v>Ostatné</v>
      </c>
      <c r="AN257" s="17" t="str">
        <f>IF(SrcDB[[#This Row],[Pocet zmluv dodavatela]]&gt;3,SrcDB[[#This Row],[Dodavatel]],"Ostatné")</f>
        <v>DATALAN, a.s.</v>
      </c>
    </row>
    <row r="258" spans="1:40" x14ac:dyDescent="0.3">
      <c r="A258" s="2" t="s">
        <v>451</v>
      </c>
      <c r="B258" s="2">
        <v>5084726</v>
      </c>
      <c r="C258" s="3" t="str">
        <f t="shared" ref="C258:C321" si="281">IF(OR(NOT(ISERROR(FIND("O DIEL",UPPER($A258)))),NOT(ISERROR(FIND("O IMPLEM",UPPER($A258)))))=TRUE,"Áno",IF(OR(NOT(ISERROR(FIND("PODPOR",UPPER($A258)))),NOT(ISERROR(FIND("SLA",UPPER($A258)))),NOT(ISERROR(FIND("SERVIS",UPPER($A258)))))=TRUE,"Nie","Nejasné"))</f>
        <v>Nejasné</v>
      </c>
      <c r="D258" s="3" t="str">
        <f t="shared" ref="D258:D321" si="282">IF(OR(NOT(ISERROR(FIND("PODPOR",UPPER($A258)))),NOT(ISERROR(FIND("SLA",UPPER($A258)))),NOT(ISERROR(FIND("SERVIS",UPPER($A258)))))=TRUE,"Áno",IF(OR(NOT(ISERROR(FIND("O DIEL",UPPER($A258)))),NOT(ISERROR(FIND("O IMPLEM",UPPER($A258)))))=TRUE,"Nie","Nejasné"))</f>
        <v>Nejasné</v>
      </c>
      <c r="E258" s="3" t="s">
        <v>48</v>
      </c>
      <c r="F258" s="3" t="s">
        <v>49</v>
      </c>
      <c r="G258" s="2" t="str">
        <f t="shared" ref="G258:G321" si="283">IF($O258&gt;=8000000,"Veľké zmluvy",IF($O258&gt;=1000000,"Stredné zmluvy","Malé zmluvy"))</f>
        <v>Malé zmluvy</v>
      </c>
      <c r="H258" s="5" t="s">
        <v>452</v>
      </c>
      <c r="I258" s="2" t="s">
        <v>453</v>
      </c>
      <c r="J258" s="2" t="s">
        <v>454</v>
      </c>
      <c r="K258" s="5">
        <v>35810734</v>
      </c>
      <c r="L258" s="2" t="s">
        <v>257</v>
      </c>
      <c r="M258" s="2" t="s">
        <v>455</v>
      </c>
      <c r="N258" s="6">
        <v>44153</v>
      </c>
      <c r="O258" s="4">
        <v>699530.4</v>
      </c>
      <c r="P258" s="2">
        <v>356772</v>
      </c>
      <c r="Q258" s="2" t="s">
        <v>456</v>
      </c>
      <c r="R258" s="2" t="s">
        <v>457</v>
      </c>
      <c r="S258" s="2" t="s">
        <v>162</v>
      </c>
      <c r="T258" s="2" t="s">
        <v>162</v>
      </c>
      <c r="W258" s="4">
        <v>704</v>
      </c>
      <c r="X258" s="4">
        <v>844.8</v>
      </c>
      <c r="Y258" s="4">
        <f t="shared" ref="Y258" si="284">INDEX(InternalRates,MATCH($S258,InternalRates01,FALSE),2)</f>
        <v>231.85833333333335</v>
      </c>
      <c r="Z258" s="3" t="str">
        <f t="shared" si="215"/>
        <v>Nie</v>
      </c>
      <c r="AA258" s="3" t="str">
        <f t="shared" si="216"/>
        <v>SLA</v>
      </c>
      <c r="AB258" s="4">
        <v>6.125</v>
      </c>
      <c r="AD258" s="3" t="s">
        <v>48</v>
      </c>
      <c r="AE258" s="6">
        <v>44424</v>
      </c>
      <c r="AF258" s="3" t="s">
        <v>59</v>
      </c>
      <c r="AG258" s="3" t="s">
        <v>60</v>
      </c>
      <c r="AH258" s="3">
        <f>YEAR(SrcDB[[#This Row],[Datum_zverejnenia]])</f>
        <v>2020</v>
      </c>
      <c r="AI258" s="3" cm="1">
        <f t="array" ref="AI258">COUNT(_xlfn.UNIQUE(_xlfn._xlws.FILTER(SrcDB[ID],SrcDB[Objednavatel_ICO]=$H258)))</f>
        <v>2</v>
      </c>
      <c r="AJ258" s="3" cm="1">
        <f t="array" ref="AJ258">COUNT(_xlfn.UNIQUE(_xlfn._xlws.FILTER(SrcDB[ID],SrcDB[Dodavatel_ICO]=$K258)))</f>
        <v>10</v>
      </c>
      <c r="AK258" s="3">
        <f t="shared" si="218"/>
        <v>0</v>
      </c>
      <c r="AL258" s="3">
        <f t="shared" si="219"/>
        <v>0</v>
      </c>
      <c r="AM258" s="17" t="str">
        <f>IF(SrcDB[[#This Row],[Pocet zmluv objednavatela]]&gt;3,SrcDB[[#This Row],[Objednavatel]],"Ostatné")</f>
        <v>Ostatné</v>
      </c>
      <c r="AN258" s="17" t="str">
        <f>IF(SrcDB[[#This Row],[Pocet zmluv dodavatela]]&gt;3,SrcDB[[#This Row],[Dodavatel]],"Ostatné")</f>
        <v>DATALAN, a.s.</v>
      </c>
    </row>
    <row r="259" spans="1:40" x14ac:dyDescent="0.3">
      <c r="A259" s="2" t="s">
        <v>451</v>
      </c>
      <c r="B259" s="2">
        <v>5084726</v>
      </c>
      <c r="C259" s="3" t="str">
        <f t="shared" si="281"/>
        <v>Nejasné</v>
      </c>
      <c r="D259" s="3" t="str">
        <f t="shared" si="282"/>
        <v>Nejasné</v>
      </c>
      <c r="E259" s="3" t="s">
        <v>48</v>
      </c>
      <c r="F259" s="3" t="s">
        <v>49</v>
      </c>
      <c r="G259" s="2" t="str">
        <f t="shared" si="283"/>
        <v>Malé zmluvy</v>
      </c>
      <c r="H259" s="5" t="s">
        <v>452</v>
      </c>
      <c r="I259" s="2" t="s">
        <v>453</v>
      </c>
      <c r="J259" s="2" t="s">
        <v>454</v>
      </c>
      <c r="K259" s="5">
        <v>35810734</v>
      </c>
      <c r="L259" s="2" t="s">
        <v>257</v>
      </c>
      <c r="M259" s="2" t="s">
        <v>455</v>
      </c>
      <c r="N259" s="6">
        <v>44153</v>
      </c>
      <c r="O259" s="4">
        <v>699530.4</v>
      </c>
      <c r="P259" s="2">
        <v>356772</v>
      </c>
      <c r="Q259" s="2" t="s">
        <v>456</v>
      </c>
      <c r="R259" s="2" t="s">
        <v>457</v>
      </c>
      <c r="S259" s="2" t="s">
        <v>98</v>
      </c>
      <c r="T259" s="2" t="s">
        <v>461</v>
      </c>
      <c r="W259" s="4">
        <v>640</v>
      </c>
      <c r="X259" s="4">
        <v>768</v>
      </c>
      <c r="Y259" s="4">
        <f t="shared" ref="Y259" si="285">INDEX(InternalRates,MATCH($S259,InternalRates01,FALSE),2)</f>
        <v>278.98333333333335</v>
      </c>
      <c r="Z259" s="3" t="str">
        <f t="shared" ref="Z259:Z322" si="286">IF(W259&gt;0,IF(Y259&gt;W259,"Áno","Nie"),"Nie")</f>
        <v>Nie</v>
      </c>
      <c r="AA259" s="3" t="str">
        <f t="shared" ref="AA259:AA322" si="287">IF(E259="Nie","SLA",IF(F259="Nie","ZoD","SLA+ZoD"))</f>
        <v>SLA</v>
      </c>
      <c r="AB259" s="4">
        <v>4</v>
      </c>
      <c r="AD259" s="3" t="s">
        <v>48</v>
      </c>
      <c r="AE259" s="6">
        <v>44424</v>
      </c>
      <c r="AF259" s="3" t="s">
        <v>59</v>
      </c>
      <c r="AG259" s="3" t="s">
        <v>60</v>
      </c>
      <c r="AH259" s="3">
        <f>YEAR(SrcDB[[#This Row],[Datum_zverejnenia]])</f>
        <v>2020</v>
      </c>
      <c r="AI259" s="3" cm="1">
        <f t="array" ref="AI259">COUNT(_xlfn.UNIQUE(_xlfn._xlws.FILTER(SrcDB[ID],SrcDB[Objednavatel_ICO]=$H259)))</f>
        <v>2</v>
      </c>
      <c r="AJ259" s="3" cm="1">
        <f t="array" ref="AJ259">COUNT(_xlfn.UNIQUE(_xlfn._xlws.FILTER(SrcDB[ID],SrcDB[Dodavatel_ICO]=$K259)))</f>
        <v>10</v>
      </c>
      <c r="AK259" s="3">
        <f t="shared" si="218"/>
        <v>0</v>
      </c>
      <c r="AL259" s="3">
        <f t="shared" si="219"/>
        <v>0</v>
      </c>
      <c r="AM259" s="17" t="str">
        <f>IF(SrcDB[[#This Row],[Pocet zmluv objednavatela]]&gt;3,SrcDB[[#This Row],[Objednavatel]],"Ostatné")</f>
        <v>Ostatné</v>
      </c>
      <c r="AN259" s="17" t="str">
        <f>IF(SrcDB[[#This Row],[Pocet zmluv dodavatela]]&gt;3,SrcDB[[#This Row],[Dodavatel]],"Ostatné")</f>
        <v>DATALAN, a.s.</v>
      </c>
    </row>
    <row r="260" spans="1:40" x14ac:dyDescent="0.3">
      <c r="A260" s="2" t="s">
        <v>451</v>
      </c>
      <c r="B260" s="2">
        <v>5084726</v>
      </c>
      <c r="C260" s="3" t="str">
        <f t="shared" si="281"/>
        <v>Nejasné</v>
      </c>
      <c r="D260" s="3" t="str">
        <f t="shared" si="282"/>
        <v>Nejasné</v>
      </c>
      <c r="E260" s="3" t="s">
        <v>48</v>
      </c>
      <c r="F260" s="3" t="s">
        <v>49</v>
      </c>
      <c r="G260" s="2" t="str">
        <f t="shared" si="283"/>
        <v>Malé zmluvy</v>
      </c>
      <c r="H260" s="5" t="s">
        <v>452</v>
      </c>
      <c r="I260" s="2" t="s">
        <v>453</v>
      </c>
      <c r="J260" s="2" t="s">
        <v>454</v>
      </c>
      <c r="K260" s="5">
        <v>35810734</v>
      </c>
      <c r="L260" s="2" t="s">
        <v>257</v>
      </c>
      <c r="M260" s="2" t="s">
        <v>455</v>
      </c>
      <c r="N260" s="6">
        <v>44153</v>
      </c>
      <c r="O260" s="4">
        <v>699530.4</v>
      </c>
      <c r="P260" s="2">
        <v>356772</v>
      </c>
      <c r="Q260" s="2" t="s">
        <v>456</v>
      </c>
      <c r="R260" s="2" t="s">
        <v>457</v>
      </c>
      <c r="S260" s="2" t="s">
        <v>102</v>
      </c>
      <c r="T260" s="2" t="s">
        <v>462</v>
      </c>
      <c r="W260" s="4">
        <v>480</v>
      </c>
      <c r="X260" s="4">
        <v>576</v>
      </c>
      <c r="Y260" s="4">
        <f t="shared" ref="Y260" si="288">INDEX(InternalRates,MATCH($S260,InternalRates01,FALSE),2)</f>
        <v>278.98333333333335</v>
      </c>
      <c r="Z260" s="3" t="str">
        <f t="shared" si="286"/>
        <v>Nie</v>
      </c>
      <c r="AA260" s="3" t="str">
        <f t="shared" si="287"/>
        <v>SLA</v>
      </c>
      <c r="AB260" s="4">
        <v>0</v>
      </c>
      <c r="AD260" s="3" t="s">
        <v>48</v>
      </c>
      <c r="AE260" s="6">
        <v>44424</v>
      </c>
      <c r="AF260" s="3" t="s">
        <v>59</v>
      </c>
      <c r="AG260" s="3" t="s">
        <v>60</v>
      </c>
      <c r="AH260" s="3">
        <f>YEAR(SrcDB[[#This Row],[Datum_zverejnenia]])</f>
        <v>2020</v>
      </c>
      <c r="AI260" s="3" cm="1">
        <f t="array" ref="AI260">COUNT(_xlfn.UNIQUE(_xlfn._xlws.FILTER(SrcDB[ID],SrcDB[Objednavatel_ICO]=$H260)))</f>
        <v>2</v>
      </c>
      <c r="AJ260" s="3" cm="1">
        <f t="array" ref="AJ260">COUNT(_xlfn.UNIQUE(_xlfn._xlws.FILTER(SrcDB[ID],SrcDB[Dodavatel_ICO]=$K260)))</f>
        <v>10</v>
      </c>
      <c r="AK260" s="3">
        <f t="shared" ref="AK260:AK323" si="289">IF($H259&lt;&gt;$H260,1,IF($B259&lt;&gt;$B260,1,0))</f>
        <v>0</v>
      </c>
      <c r="AL260" s="3">
        <f t="shared" ref="AL260:AL323" si="290">IF($K259&lt;&gt;$K260,1,IF($B259&lt;&gt;$B260,1,0))</f>
        <v>0</v>
      </c>
      <c r="AM260" s="17" t="str">
        <f>IF(SrcDB[[#This Row],[Pocet zmluv objednavatela]]&gt;3,SrcDB[[#This Row],[Objednavatel]],"Ostatné")</f>
        <v>Ostatné</v>
      </c>
      <c r="AN260" s="17" t="str">
        <f>IF(SrcDB[[#This Row],[Pocet zmluv dodavatela]]&gt;3,SrcDB[[#This Row],[Dodavatel]],"Ostatné")</f>
        <v>DATALAN, a.s.</v>
      </c>
    </row>
    <row r="261" spans="1:40" x14ac:dyDescent="0.3">
      <c r="A261" s="2" t="s">
        <v>463</v>
      </c>
      <c r="B261" s="2">
        <v>5084832</v>
      </c>
      <c r="C261" s="3" t="str">
        <f t="shared" si="281"/>
        <v>Nejasné</v>
      </c>
      <c r="D261" s="3" t="str">
        <f t="shared" si="282"/>
        <v>Nejasné</v>
      </c>
      <c r="E261" s="3" t="s">
        <v>48</v>
      </c>
      <c r="F261" s="3" t="s">
        <v>49</v>
      </c>
      <c r="G261" s="2" t="str">
        <f t="shared" si="283"/>
        <v>Malé zmluvy</v>
      </c>
      <c r="H261" s="5">
        <v>42499500</v>
      </c>
      <c r="I261" s="2" t="s">
        <v>464</v>
      </c>
      <c r="J261" s="2" t="s">
        <v>465</v>
      </c>
      <c r="K261" s="5">
        <v>35760419</v>
      </c>
      <c r="L261" s="2" t="s">
        <v>85</v>
      </c>
      <c r="M261" s="2" t="s">
        <v>136</v>
      </c>
      <c r="N261" s="6">
        <v>44153.602141203701</v>
      </c>
      <c r="O261" s="4">
        <v>947693.27</v>
      </c>
      <c r="P261" s="2">
        <v>114725</v>
      </c>
      <c r="Q261" s="2" t="s">
        <v>466</v>
      </c>
      <c r="R261" s="2" t="s">
        <v>467</v>
      </c>
      <c r="S261" s="2" t="s">
        <v>69</v>
      </c>
      <c r="T261" s="2" t="s">
        <v>468</v>
      </c>
      <c r="W261" s="4">
        <v>713.84</v>
      </c>
      <c r="X261" s="4">
        <v>856.60800000000006</v>
      </c>
      <c r="Y261" s="4">
        <f t="shared" ref="Y261" si="291">INDEX(InternalRates,MATCH($S261,InternalRates01,FALSE),2)</f>
        <v>278.98333333333335</v>
      </c>
      <c r="Z261" s="3" t="str">
        <f t="shared" si="286"/>
        <v>Nie</v>
      </c>
      <c r="AA261" s="3" t="str">
        <f t="shared" si="287"/>
        <v>SLA</v>
      </c>
      <c r="AB261" s="4">
        <v>80.5</v>
      </c>
      <c r="AD261" s="3" t="s">
        <v>48</v>
      </c>
      <c r="AE261" s="6">
        <v>44420</v>
      </c>
      <c r="AF261" s="3" t="s">
        <v>59</v>
      </c>
      <c r="AG261" s="3" t="s">
        <v>60</v>
      </c>
      <c r="AH261" s="3">
        <f>YEAR(SrcDB[[#This Row],[Datum_zverejnenia]])</f>
        <v>2020</v>
      </c>
      <c r="AI261" s="3" cm="1">
        <f t="array" ref="AI261">COUNT(_xlfn.UNIQUE(_xlfn._xlws.FILTER(SrcDB[ID],SrcDB[Objednavatel_ICO]=$H261)))</f>
        <v>25</v>
      </c>
      <c r="AJ261" s="3" cm="1">
        <f t="array" ref="AJ261">COUNT(_xlfn.UNIQUE(_xlfn._xlws.FILTER(SrcDB[ID],SrcDB[Dodavatel_ICO]=$K261)))</f>
        <v>34</v>
      </c>
      <c r="AK261" s="3">
        <f t="shared" si="289"/>
        <v>1</v>
      </c>
      <c r="AL261" s="3">
        <f t="shared" si="290"/>
        <v>1</v>
      </c>
      <c r="AM261" s="17" t="str">
        <f>IF(SrcDB[[#This Row],[Pocet zmluv objednavatela]]&gt;3,SrcDB[[#This Row],[Objednavatel]],"Ostatné")</f>
        <v>Finančné riaditeľstvo SR</v>
      </c>
      <c r="AN261" s="17" t="str">
        <f>IF(SrcDB[[#This Row],[Pocet zmluv dodavatela]]&gt;3,SrcDB[[#This Row],[Dodavatel]],"Ostatné")</f>
        <v>Asseco Central Europe, a.s.</v>
      </c>
    </row>
    <row r="262" spans="1:40" x14ac:dyDescent="0.3">
      <c r="A262" s="2" t="s">
        <v>463</v>
      </c>
      <c r="B262" s="2">
        <v>5084832</v>
      </c>
      <c r="C262" s="3" t="str">
        <f t="shared" si="281"/>
        <v>Nejasné</v>
      </c>
      <c r="D262" s="3" t="str">
        <f t="shared" si="282"/>
        <v>Nejasné</v>
      </c>
      <c r="E262" s="3" t="s">
        <v>48</v>
      </c>
      <c r="F262" s="3" t="s">
        <v>49</v>
      </c>
      <c r="G262" s="2" t="str">
        <f t="shared" si="283"/>
        <v>Malé zmluvy</v>
      </c>
      <c r="H262" s="5">
        <v>42499500</v>
      </c>
      <c r="I262" s="2" t="s">
        <v>464</v>
      </c>
      <c r="J262" s="2" t="s">
        <v>465</v>
      </c>
      <c r="K262" s="5">
        <v>35760419</v>
      </c>
      <c r="L262" s="2" t="s">
        <v>85</v>
      </c>
      <c r="M262" s="2" t="s">
        <v>136</v>
      </c>
      <c r="N262" s="6">
        <v>44153.602141203701</v>
      </c>
      <c r="O262" s="4">
        <v>947693.27</v>
      </c>
      <c r="P262" s="2">
        <v>114725</v>
      </c>
      <c r="Q262" s="2" t="s">
        <v>466</v>
      </c>
      <c r="R262" s="2" t="s">
        <v>467</v>
      </c>
      <c r="S262" s="2" t="s">
        <v>73</v>
      </c>
      <c r="T262" s="2" t="s">
        <v>469</v>
      </c>
      <c r="W262" s="4">
        <v>713.84</v>
      </c>
      <c r="X262" s="4">
        <v>856.60800000000006</v>
      </c>
      <c r="Y262" s="4">
        <f t="shared" ref="Y262" si="292">INDEX(InternalRates,MATCH($S262,InternalRates01,FALSE),2)</f>
        <v>278.98333333333335</v>
      </c>
      <c r="Z262" s="3" t="str">
        <f t="shared" si="286"/>
        <v>Nie</v>
      </c>
      <c r="AA262" s="3" t="str">
        <f t="shared" si="287"/>
        <v>SLA</v>
      </c>
      <c r="AB262" s="4">
        <v>406.375</v>
      </c>
      <c r="AD262" s="3" t="s">
        <v>48</v>
      </c>
      <c r="AE262" s="6">
        <v>44420</v>
      </c>
      <c r="AF262" s="3" t="s">
        <v>59</v>
      </c>
      <c r="AG262" s="3" t="s">
        <v>60</v>
      </c>
      <c r="AH262" s="3">
        <f>YEAR(SrcDB[[#This Row],[Datum_zverejnenia]])</f>
        <v>2020</v>
      </c>
      <c r="AI262" s="3" cm="1">
        <f t="array" ref="AI262">COUNT(_xlfn.UNIQUE(_xlfn._xlws.FILTER(SrcDB[ID],SrcDB[Objednavatel_ICO]=$H262)))</f>
        <v>25</v>
      </c>
      <c r="AJ262" s="3" cm="1">
        <f t="array" ref="AJ262">COUNT(_xlfn.UNIQUE(_xlfn._xlws.FILTER(SrcDB[ID],SrcDB[Dodavatel_ICO]=$K262)))</f>
        <v>34</v>
      </c>
      <c r="AK262" s="3">
        <f t="shared" si="289"/>
        <v>0</v>
      </c>
      <c r="AL262" s="3">
        <f t="shared" si="290"/>
        <v>0</v>
      </c>
      <c r="AM262" s="17" t="str">
        <f>IF(SrcDB[[#This Row],[Pocet zmluv objednavatela]]&gt;3,SrcDB[[#This Row],[Objednavatel]],"Ostatné")</f>
        <v>Finančné riaditeľstvo SR</v>
      </c>
      <c r="AN262" s="17" t="str">
        <f>IF(SrcDB[[#This Row],[Pocet zmluv dodavatela]]&gt;3,SrcDB[[#This Row],[Dodavatel]],"Ostatné")</f>
        <v>Asseco Central Europe, a.s.</v>
      </c>
    </row>
    <row r="263" spans="1:40" x14ac:dyDescent="0.3">
      <c r="A263" s="2" t="s">
        <v>463</v>
      </c>
      <c r="B263" s="2">
        <v>5084832</v>
      </c>
      <c r="C263" s="3" t="str">
        <f t="shared" si="281"/>
        <v>Nejasné</v>
      </c>
      <c r="D263" s="3" t="str">
        <f t="shared" si="282"/>
        <v>Nejasné</v>
      </c>
      <c r="E263" s="3" t="s">
        <v>48</v>
      </c>
      <c r="F263" s="3" t="s">
        <v>49</v>
      </c>
      <c r="G263" s="2" t="str">
        <f t="shared" si="283"/>
        <v>Malé zmluvy</v>
      </c>
      <c r="H263" s="5">
        <v>42499500</v>
      </c>
      <c r="I263" s="2" t="s">
        <v>464</v>
      </c>
      <c r="J263" s="2" t="s">
        <v>465</v>
      </c>
      <c r="K263" s="5">
        <v>35760419</v>
      </c>
      <c r="L263" s="2" t="s">
        <v>85</v>
      </c>
      <c r="M263" s="2" t="s">
        <v>136</v>
      </c>
      <c r="N263" s="6">
        <v>44153</v>
      </c>
      <c r="O263" s="4">
        <v>947693.27</v>
      </c>
      <c r="P263" s="2">
        <v>114725</v>
      </c>
      <c r="Q263" s="2" t="s">
        <v>466</v>
      </c>
      <c r="R263" s="2" t="s">
        <v>467</v>
      </c>
      <c r="S263" s="2" t="s">
        <v>56</v>
      </c>
      <c r="T263" s="2" t="s">
        <v>470</v>
      </c>
      <c r="U263" s="2" t="s">
        <v>460</v>
      </c>
      <c r="W263" s="4">
        <v>713.84</v>
      </c>
      <c r="X263" s="4">
        <v>856.60800000000006</v>
      </c>
      <c r="Y263" s="4">
        <f t="shared" ref="Y263" si="293">INDEX(InternalRates,MATCH($S263,InternalRates01,FALSE),2)</f>
        <v>278.98333333333335</v>
      </c>
      <c r="Z263" s="3" t="str">
        <f t="shared" si="286"/>
        <v>Nie</v>
      </c>
      <c r="AA263" s="3" t="str">
        <f t="shared" si="287"/>
        <v>SLA</v>
      </c>
      <c r="AB263" s="4">
        <v>138.125</v>
      </c>
      <c r="AD263" s="3" t="s">
        <v>48</v>
      </c>
      <c r="AE263" s="6">
        <v>44420</v>
      </c>
      <c r="AF263" s="3" t="s">
        <v>59</v>
      </c>
      <c r="AG263" s="3" t="s">
        <v>60</v>
      </c>
      <c r="AH263" s="3">
        <f>YEAR(SrcDB[[#This Row],[Datum_zverejnenia]])</f>
        <v>2020</v>
      </c>
      <c r="AI263" s="3" cm="1">
        <f t="array" ref="AI263">COUNT(_xlfn.UNIQUE(_xlfn._xlws.FILTER(SrcDB[ID],SrcDB[Objednavatel_ICO]=$H263)))</f>
        <v>25</v>
      </c>
      <c r="AJ263" s="3" cm="1">
        <f t="array" ref="AJ263">COUNT(_xlfn.UNIQUE(_xlfn._xlws.FILTER(SrcDB[ID],SrcDB[Dodavatel_ICO]=$K263)))</f>
        <v>34</v>
      </c>
      <c r="AK263" s="3">
        <f t="shared" si="289"/>
        <v>0</v>
      </c>
      <c r="AL263" s="3">
        <f t="shared" si="290"/>
        <v>0</v>
      </c>
      <c r="AM263" s="17" t="str">
        <f>IF(SrcDB[[#This Row],[Pocet zmluv objednavatela]]&gt;3,SrcDB[[#This Row],[Objednavatel]],"Ostatné")</f>
        <v>Finančné riaditeľstvo SR</v>
      </c>
      <c r="AN263" s="17" t="str">
        <f>IF(SrcDB[[#This Row],[Pocet zmluv dodavatela]]&gt;3,SrcDB[[#This Row],[Dodavatel]],"Ostatné")</f>
        <v>Asseco Central Europe, a.s.</v>
      </c>
    </row>
    <row r="264" spans="1:40" x14ac:dyDescent="0.3">
      <c r="A264" s="2" t="s">
        <v>463</v>
      </c>
      <c r="B264" s="2">
        <v>5084832</v>
      </c>
      <c r="C264" s="3" t="str">
        <f t="shared" si="281"/>
        <v>Nejasné</v>
      </c>
      <c r="D264" s="3" t="str">
        <f t="shared" si="282"/>
        <v>Nejasné</v>
      </c>
      <c r="E264" s="3" t="s">
        <v>48</v>
      </c>
      <c r="F264" s="3" t="s">
        <v>49</v>
      </c>
      <c r="G264" s="2" t="str">
        <f t="shared" si="283"/>
        <v>Malé zmluvy</v>
      </c>
      <c r="H264" s="5">
        <v>42499500</v>
      </c>
      <c r="I264" s="2" t="s">
        <v>464</v>
      </c>
      <c r="J264" s="2" t="s">
        <v>465</v>
      </c>
      <c r="K264" s="5">
        <v>35760419</v>
      </c>
      <c r="L264" s="2" t="s">
        <v>85</v>
      </c>
      <c r="M264" s="2" t="s">
        <v>136</v>
      </c>
      <c r="N264" s="6">
        <v>44153</v>
      </c>
      <c r="O264" s="4">
        <v>947693.27</v>
      </c>
      <c r="P264" s="2">
        <v>114725</v>
      </c>
      <c r="Q264" s="2" t="s">
        <v>466</v>
      </c>
      <c r="R264" s="2" t="s">
        <v>467</v>
      </c>
      <c r="S264" s="2" t="s">
        <v>77</v>
      </c>
      <c r="T264" s="2" t="s">
        <v>471</v>
      </c>
      <c r="W264" s="4">
        <v>713.84</v>
      </c>
      <c r="X264" s="4">
        <v>856.60800000000006</v>
      </c>
      <c r="Y264" s="4">
        <f t="shared" ref="Y264" si="294">INDEX(InternalRates,MATCH($S264,InternalRates01,FALSE),2)</f>
        <v>278.98333333333335</v>
      </c>
      <c r="Z264" s="3" t="str">
        <f t="shared" si="286"/>
        <v>Nie</v>
      </c>
      <c r="AA264" s="3" t="str">
        <f t="shared" si="287"/>
        <v>SLA</v>
      </c>
      <c r="AB264" s="4">
        <v>377.625</v>
      </c>
      <c r="AD264" s="3" t="s">
        <v>48</v>
      </c>
      <c r="AE264" s="6">
        <v>44420</v>
      </c>
      <c r="AF264" s="3" t="s">
        <v>59</v>
      </c>
      <c r="AG264" s="3" t="s">
        <v>60</v>
      </c>
      <c r="AH264" s="3">
        <f>YEAR(SrcDB[[#This Row],[Datum_zverejnenia]])</f>
        <v>2020</v>
      </c>
      <c r="AI264" s="3" cm="1">
        <f t="array" ref="AI264">COUNT(_xlfn.UNIQUE(_xlfn._xlws.FILTER(SrcDB[ID],SrcDB[Objednavatel_ICO]=$H264)))</f>
        <v>25</v>
      </c>
      <c r="AJ264" s="3" cm="1">
        <f t="array" ref="AJ264">COUNT(_xlfn.UNIQUE(_xlfn._xlws.FILTER(SrcDB[ID],SrcDB[Dodavatel_ICO]=$K264)))</f>
        <v>34</v>
      </c>
      <c r="AK264" s="3">
        <f t="shared" si="289"/>
        <v>0</v>
      </c>
      <c r="AL264" s="3">
        <f t="shared" si="290"/>
        <v>0</v>
      </c>
      <c r="AM264" s="17" t="str">
        <f>IF(SrcDB[[#This Row],[Pocet zmluv objednavatela]]&gt;3,SrcDB[[#This Row],[Objednavatel]],"Ostatné")</f>
        <v>Finančné riaditeľstvo SR</v>
      </c>
      <c r="AN264" s="17" t="str">
        <f>IF(SrcDB[[#This Row],[Pocet zmluv dodavatela]]&gt;3,SrcDB[[#This Row],[Dodavatel]],"Ostatné")</f>
        <v>Asseco Central Europe, a.s.</v>
      </c>
    </row>
    <row r="265" spans="1:40" x14ac:dyDescent="0.3">
      <c r="A265" s="2" t="s">
        <v>463</v>
      </c>
      <c r="B265" s="2">
        <v>5084832</v>
      </c>
      <c r="C265" s="3" t="str">
        <f t="shared" si="281"/>
        <v>Nejasné</v>
      </c>
      <c r="D265" s="3" t="str">
        <f t="shared" si="282"/>
        <v>Nejasné</v>
      </c>
      <c r="E265" s="3" t="s">
        <v>48</v>
      </c>
      <c r="F265" s="3" t="s">
        <v>49</v>
      </c>
      <c r="G265" s="2" t="str">
        <f t="shared" si="283"/>
        <v>Malé zmluvy</v>
      </c>
      <c r="H265" s="5">
        <v>42499500</v>
      </c>
      <c r="I265" s="2" t="s">
        <v>464</v>
      </c>
      <c r="J265" s="2" t="s">
        <v>465</v>
      </c>
      <c r="K265" s="5">
        <v>35760419</v>
      </c>
      <c r="L265" s="2" t="s">
        <v>85</v>
      </c>
      <c r="M265" s="2" t="s">
        <v>136</v>
      </c>
      <c r="N265" s="6">
        <v>44153</v>
      </c>
      <c r="O265" s="4">
        <v>947693.27</v>
      </c>
      <c r="P265" s="2">
        <v>114725</v>
      </c>
      <c r="Q265" s="2" t="s">
        <v>466</v>
      </c>
      <c r="R265" s="2" t="s">
        <v>467</v>
      </c>
      <c r="S265" s="2" t="s">
        <v>79</v>
      </c>
      <c r="T265" s="2" t="s">
        <v>472</v>
      </c>
      <c r="W265" s="4">
        <v>713.84</v>
      </c>
      <c r="X265" s="4">
        <v>856.60800000000006</v>
      </c>
      <c r="Y265" s="4">
        <f t="shared" ref="Y265" si="295">INDEX(InternalRates,MATCH($S265,InternalRates01,FALSE),2)</f>
        <v>278.98333333333335</v>
      </c>
      <c r="Z265" s="3" t="str">
        <f t="shared" si="286"/>
        <v>Nie</v>
      </c>
      <c r="AA265" s="3" t="str">
        <f t="shared" si="287"/>
        <v>SLA</v>
      </c>
      <c r="AB265" s="4">
        <v>195.25</v>
      </c>
      <c r="AD265" s="3" t="s">
        <v>48</v>
      </c>
      <c r="AE265" s="6">
        <v>44420</v>
      </c>
      <c r="AF265" s="3" t="s">
        <v>59</v>
      </c>
      <c r="AG265" s="3" t="s">
        <v>60</v>
      </c>
      <c r="AH265" s="3">
        <f>YEAR(SrcDB[[#This Row],[Datum_zverejnenia]])</f>
        <v>2020</v>
      </c>
      <c r="AI265" s="3" cm="1">
        <f t="array" ref="AI265">COUNT(_xlfn.UNIQUE(_xlfn._xlws.FILTER(SrcDB[ID],SrcDB[Objednavatel_ICO]=$H265)))</f>
        <v>25</v>
      </c>
      <c r="AJ265" s="3" cm="1">
        <f t="array" ref="AJ265">COUNT(_xlfn.UNIQUE(_xlfn._xlws.FILTER(SrcDB[ID],SrcDB[Dodavatel_ICO]=$K265)))</f>
        <v>34</v>
      </c>
      <c r="AK265" s="3">
        <f t="shared" si="289"/>
        <v>0</v>
      </c>
      <c r="AL265" s="3">
        <f t="shared" si="290"/>
        <v>0</v>
      </c>
      <c r="AM265" s="17" t="str">
        <f>IF(SrcDB[[#This Row],[Pocet zmluv objednavatela]]&gt;3,SrcDB[[#This Row],[Objednavatel]],"Ostatné")</f>
        <v>Finančné riaditeľstvo SR</v>
      </c>
      <c r="AN265" s="17" t="str">
        <f>IF(SrcDB[[#This Row],[Pocet zmluv dodavatela]]&gt;3,SrcDB[[#This Row],[Dodavatel]],"Ostatné")</f>
        <v>Asseco Central Europe, a.s.</v>
      </c>
    </row>
    <row r="266" spans="1:40" x14ac:dyDescent="0.3">
      <c r="A266" s="2" t="s">
        <v>463</v>
      </c>
      <c r="B266" s="2">
        <v>5084832</v>
      </c>
      <c r="C266" s="3" t="str">
        <f t="shared" si="281"/>
        <v>Nejasné</v>
      </c>
      <c r="D266" s="3" t="str">
        <f t="shared" si="282"/>
        <v>Nejasné</v>
      </c>
      <c r="E266" s="3" t="s">
        <v>48</v>
      </c>
      <c r="F266" s="3" t="s">
        <v>49</v>
      </c>
      <c r="G266" s="2" t="str">
        <f t="shared" si="283"/>
        <v>Malé zmluvy</v>
      </c>
      <c r="H266" s="5">
        <v>42499500</v>
      </c>
      <c r="I266" s="2" t="s">
        <v>464</v>
      </c>
      <c r="J266" s="2" t="s">
        <v>465</v>
      </c>
      <c r="K266" s="5">
        <v>35760419</v>
      </c>
      <c r="L266" s="2" t="s">
        <v>85</v>
      </c>
      <c r="M266" s="2" t="s">
        <v>136</v>
      </c>
      <c r="N266" s="6">
        <v>44153</v>
      </c>
      <c r="O266" s="4">
        <v>947693.27</v>
      </c>
      <c r="P266" s="2">
        <v>114725</v>
      </c>
      <c r="Q266" s="2" t="s">
        <v>466</v>
      </c>
      <c r="R266" s="2" t="s">
        <v>467</v>
      </c>
      <c r="S266" s="2" t="s">
        <v>160</v>
      </c>
      <c r="T266" s="2" t="s">
        <v>473</v>
      </c>
      <c r="W266" s="4">
        <v>713.84</v>
      </c>
      <c r="X266" s="4">
        <v>856.60800000000006</v>
      </c>
      <c r="Y266" s="4">
        <f t="shared" ref="Y266" si="296">INDEX(InternalRates,MATCH($S266,InternalRates01,FALSE),2)</f>
        <v>231.85833333333335</v>
      </c>
      <c r="Z266" s="3" t="str">
        <f t="shared" si="286"/>
        <v>Nie</v>
      </c>
      <c r="AA266" s="3" t="str">
        <f t="shared" si="287"/>
        <v>SLA</v>
      </c>
      <c r="AB266" s="4">
        <v>0</v>
      </c>
      <c r="AD266" s="3" t="s">
        <v>48</v>
      </c>
      <c r="AE266" s="6">
        <v>44420</v>
      </c>
      <c r="AF266" s="3" t="s">
        <v>59</v>
      </c>
      <c r="AG266" s="3" t="s">
        <v>60</v>
      </c>
      <c r="AH266" s="3">
        <f>YEAR(SrcDB[[#This Row],[Datum_zverejnenia]])</f>
        <v>2020</v>
      </c>
      <c r="AI266" s="3" cm="1">
        <f t="array" ref="AI266">COUNT(_xlfn.UNIQUE(_xlfn._xlws.FILTER(SrcDB[ID],SrcDB[Objednavatel_ICO]=$H266)))</f>
        <v>25</v>
      </c>
      <c r="AJ266" s="3" cm="1">
        <f t="array" ref="AJ266">COUNT(_xlfn.UNIQUE(_xlfn._xlws.FILTER(SrcDB[ID],SrcDB[Dodavatel_ICO]=$K266)))</f>
        <v>34</v>
      </c>
      <c r="AK266" s="3">
        <f t="shared" si="289"/>
        <v>0</v>
      </c>
      <c r="AL266" s="3">
        <f t="shared" si="290"/>
        <v>0</v>
      </c>
      <c r="AM266" s="17" t="str">
        <f>IF(SrcDB[[#This Row],[Pocet zmluv objednavatela]]&gt;3,SrcDB[[#This Row],[Objednavatel]],"Ostatné")</f>
        <v>Finančné riaditeľstvo SR</v>
      </c>
      <c r="AN266" s="17" t="str">
        <f>IF(SrcDB[[#This Row],[Pocet zmluv dodavatela]]&gt;3,SrcDB[[#This Row],[Dodavatel]],"Ostatné")</f>
        <v>Asseco Central Europe, a.s.</v>
      </c>
    </row>
    <row r="267" spans="1:40" x14ac:dyDescent="0.3">
      <c r="A267" s="2" t="s">
        <v>463</v>
      </c>
      <c r="B267" s="2">
        <v>5084832</v>
      </c>
      <c r="C267" s="3" t="str">
        <f t="shared" si="281"/>
        <v>Nejasné</v>
      </c>
      <c r="D267" s="3" t="str">
        <f t="shared" si="282"/>
        <v>Nejasné</v>
      </c>
      <c r="E267" s="3" t="s">
        <v>48</v>
      </c>
      <c r="F267" s="3" t="s">
        <v>49</v>
      </c>
      <c r="G267" s="2" t="str">
        <f t="shared" si="283"/>
        <v>Malé zmluvy</v>
      </c>
      <c r="H267" s="5">
        <v>42499500</v>
      </c>
      <c r="I267" s="2" t="s">
        <v>464</v>
      </c>
      <c r="J267" s="2" t="s">
        <v>465</v>
      </c>
      <c r="K267" s="5">
        <v>35760419</v>
      </c>
      <c r="L267" s="2" t="s">
        <v>85</v>
      </c>
      <c r="M267" s="2" t="s">
        <v>136</v>
      </c>
      <c r="N267" s="6">
        <v>44153</v>
      </c>
      <c r="O267" s="4">
        <v>947693.27</v>
      </c>
      <c r="P267" s="2">
        <v>114725</v>
      </c>
      <c r="Q267" s="2" t="s">
        <v>466</v>
      </c>
      <c r="R267" s="2" t="s">
        <v>467</v>
      </c>
      <c r="S267" s="2" t="s">
        <v>100</v>
      </c>
      <c r="T267" s="2" t="s">
        <v>474</v>
      </c>
      <c r="W267" s="4">
        <v>713.84</v>
      </c>
      <c r="X267" s="4">
        <v>856.60800000000006</v>
      </c>
      <c r="Y267" s="4">
        <f t="shared" ref="Y267" si="297">INDEX(InternalRates,MATCH($S267,InternalRates01,FALSE),2)</f>
        <v>278.98333333333335</v>
      </c>
      <c r="Z267" s="3" t="str">
        <f t="shared" si="286"/>
        <v>Nie</v>
      </c>
      <c r="AA267" s="3" t="str">
        <f t="shared" si="287"/>
        <v>SLA</v>
      </c>
      <c r="AB267" s="4">
        <v>6.125</v>
      </c>
      <c r="AD267" s="3" t="s">
        <v>48</v>
      </c>
      <c r="AE267" s="6">
        <v>44420</v>
      </c>
      <c r="AF267" s="3" t="s">
        <v>59</v>
      </c>
      <c r="AG267" s="3" t="s">
        <v>60</v>
      </c>
      <c r="AH267" s="3">
        <f>YEAR(SrcDB[[#This Row],[Datum_zverejnenia]])</f>
        <v>2020</v>
      </c>
      <c r="AI267" s="3" cm="1">
        <f t="array" ref="AI267">COUNT(_xlfn.UNIQUE(_xlfn._xlws.FILTER(SrcDB[ID],SrcDB[Objednavatel_ICO]=$H267)))</f>
        <v>25</v>
      </c>
      <c r="AJ267" s="3" cm="1">
        <f t="array" ref="AJ267">COUNT(_xlfn.UNIQUE(_xlfn._xlws.FILTER(SrcDB[ID],SrcDB[Dodavatel_ICO]=$K267)))</f>
        <v>34</v>
      </c>
      <c r="AK267" s="3">
        <f t="shared" si="289"/>
        <v>0</v>
      </c>
      <c r="AL267" s="3">
        <f t="shared" si="290"/>
        <v>0</v>
      </c>
      <c r="AM267" s="17" t="str">
        <f>IF(SrcDB[[#This Row],[Pocet zmluv objednavatela]]&gt;3,SrcDB[[#This Row],[Objednavatel]],"Ostatné")</f>
        <v>Finančné riaditeľstvo SR</v>
      </c>
      <c r="AN267" s="17" t="str">
        <f>IF(SrcDB[[#This Row],[Pocet zmluv dodavatela]]&gt;3,SrcDB[[#This Row],[Dodavatel]],"Ostatné")</f>
        <v>Asseco Central Europe, a.s.</v>
      </c>
    </row>
    <row r="268" spans="1:40" x14ac:dyDescent="0.3">
      <c r="A268" s="2" t="s">
        <v>463</v>
      </c>
      <c r="B268" s="2">
        <v>5084832</v>
      </c>
      <c r="C268" s="3" t="str">
        <f t="shared" si="281"/>
        <v>Nejasné</v>
      </c>
      <c r="D268" s="3" t="str">
        <f t="shared" si="282"/>
        <v>Nejasné</v>
      </c>
      <c r="E268" s="3" t="s">
        <v>48</v>
      </c>
      <c r="F268" s="3" t="s">
        <v>49</v>
      </c>
      <c r="G268" s="2" t="str">
        <f t="shared" si="283"/>
        <v>Malé zmluvy</v>
      </c>
      <c r="H268" s="5">
        <v>42499500</v>
      </c>
      <c r="I268" s="2" t="s">
        <v>464</v>
      </c>
      <c r="J268" s="2" t="s">
        <v>465</v>
      </c>
      <c r="K268" s="5">
        <v>35760419</v>
      </c>
      <c r="L268" s="2" t="s">
        <v>85</v>
      </c>
      <c r="M268" s="2" t="s">
        <v>136</v>
      </c>
      <c r="N268" s="6">
        <v>44153</v>
      </c>
      <c r="O268" s="4">
        <v>947693.27</v>
      </c>
      <c r="P268" s="2">
        <v>114725</v>
      </c>
      <c r="Q268" s="2" t="s">
        <v>466</v>
      </c>
      <c r="R268" s="2" t="s">
        <v>467</v>
      </c>
      <c r="S268" s="2" t="s">
        <v>160</v>
      </c>
      <c r="T268" s="2" t="s">
        <v>475</v>
      </c>
      <c r="W268" s="4">
        <v>713.84</v>
      </c>
      <c r="X268" s="4">
        <v>856.60800000000006</v>
      </c>
      <c r="Y268" s="4">
        <f t="shared" ref="Y268" si="298">INDEX(InternalRates,MATCH($S268,InternalRates01,FALSE),2)</f>
        <v>231.85833333333335</v>
      </c>
      <c r="Z268" s="3" t="str">
        <f t="shared" si="286"/>
        <v>Nie</v>
      </c>
      <c r="AA268" s="3" t="str">
        <f t="shared" si="287"/>
        <v>SLA</v>
      </c>
      <c r="AB268" s="4">
        <v>0</v>
      </c>
      <c r="AD268" s="3" t="s">
        <v>48</v>
      </c>
      <c r="AE268" s="6">
        <v>44420</v>
      </c>
      <c r="AF268" s="3" t="s">
        <v>59</v>
      </c>
      <c r="AG268" s="3" t="s">
        <v>60</v>
      </c>
      <c r="AH268" s="3">
        <f>YEAR(SrcDB[[#This Row],[Datum_zverejnenia]])</f>
        <v>2020</v>
      </c>
      <c r="AI268" s="3" cm="1">
        <f t="array" ref="AI268">COUNT(_xlfn.UNIQUE(_xlfn._xlws.FILTER(SrcDB[ID],SrcDB[Objednavatel_ICO]=$H268)))</f>
        <v>25</v>
      </c>
      <c r="AJ268" s="3" cm="1">
        <f t="array" ref="AJ268">COUNT(_xlfn.UNIQUE(_xlfn._xlws.FILTER(SrcDB[ID],SrcDB[Dodavatel_ICO]=$K268)))</f>
        <v>34</v>
      </c>
      <c r="AK268" s="3">
        <f t="shared" si="289"/>
        <v>0</v>
      </c>
      <c r="AL268" s="3">
        <f t="shared" si="290"/>
        <v>0</v>
      </c>
      <c r="AM268" s="17" t="str">
        <f>IF(SrcDB[[#This Row],[Pocet zmluv objednavatela]]&gt;3,SrcDB[[#This Row],[Objednavatel]],"Ostatné")</f>
        <v>Finančné riaditeľstvo SR</v>
      </c>
      <c r="AN268" s="17" t="str">
        <f>IF(SrcDB[[#This Row],[Pocet zmluv dodavatela]]&gt;3,SrcDB[[#This Row],[Dodavatel]],"Ostatné")</f>
        <v>Asseco Central Europe, a.s.</v>
      </c>
    </row>
    <row r="269" spans="1:40" x14ac:dyDescent="0.3">
      <c r="A269" s="2" t="s">
        <v>463</v>
      </c>
      <c r="B269" s="2">
        <v>5084832</v>
      </c>
      <c r="C269" s="3" t="str">
        <f t="shared" si="281"/>
        <v>Nejasné</v>
      </c>
      <c r="D269" s="3" t="str">
        <f t="shared" si="282"/>
        <v>Nejasné</v>
      </c>
      <c r="E269" s="3" t="s">
        <v>48</v>
      </c>
      <c r="F269" s="3" t="s">
        <v>49</v>
      </c>
      <c r="G269" s="2" t="str">
        <f t="shared" si="283"/>
        <v>Malé zmluvy</v>
      </c>
      <c r="H269" s="5">
        <v>42499500</v>
      </c>
      <c r="I269" s="2" t="s">
        <v>464</v>
      </c>
      <c r="J269" s="2" t="s">
        <v>465</v>
      </c>
      <c r="K269" s="5">
        <v>35760419</v>
      </c>
      <c r="L269" s="2" t="s">
        <v>85</v>
      </c>
      <c r="M269" s="2" t="s">
        <v>136</v>
      </c>
      <c r="N269" s="6">
        <v>44153</v>
      </c>
      <c r="O269" s="4">
        <v>947693.27</v>
      </c>
      <c r="P269" s="2">
        <v>114725</v>
      </c>
      <c r="Q269" s="2" t="s">
        <v>466</v>
      </c>
      <c r="R269" s="2" t="s">
        <v>467</v>
      </c>
      <c r="S269" s="2" t="s">
        <v>160</v>
      </c>
      <c r="T269" s="2" t="s">
        <v>476</v>
      </c>
      <c r="W269" s="4">
        <v>713.84</v>
      </c>
      <c r="X269" s="4">
        <v>856.60800000000006</v>
      </c>
      <c r="Y269" s="4">
        <f t="shared" ref="Y269" si="299">INDEX(InternalRates,MATCH($S269,InternalRates01,FALSE),2)</f>
        <v>231.85833333333335</v>
      </c>
      <c r="Z269" s="3" t="str">
        <f t="shared" si="286"/>
        <v>Nie</v>
      </c>
      <c r="AA269" s="3" t="str">
        <f t="shared" si="287"/>
        <v>SLA</v>
      </c>
      <c r="AB269" s="4">
        <v>0</v>
      </c>
      <c r="AD269" s="3" t="s">
        <v>48</v>
      </c>
      <c r="AE269" s="6">
        <v>44420</v>
      </c>
      <c r="AF269" s="3" t="s">
        <v>59</v>
      </c>
      <c r="AG269" s="3" t="s">
        <v>60</v>
      </c>
      <c r="AH269" s="3">
        <f>YEAR(SrcDB[[#This Row],[Datum_zverejnenia]])</f>
        <v>2020</v>
      </c>
      <c r="AI269" s="3" cm="1">
        <f t="array" ref="AI269">COUNT(_xlfn.UNIQUE(_xlfn._xlws.FILTER(SrcDB[ID],SrcDB[Objednavatel_ICO]=$H269)))</f>
        <v>25</v>
      </c>
      <c r="AJ269" s="3" cm="1">
        <f t="array" ref="AJ269">COUNT(_xlfn.UNIQUE(_xlfn._xlws.FILTER(SrcDB[ID],SrcDB[Dodavatel_ICO]=$K269)))</f>
        <v>34</v>
      </c>
      <c r="AK269" s="3">
        <f t="shared" si="289"/>
        <v>0</v>
      </c>
      <c r="AL269" s="3">
        <f t="shared" si="290"/>
        <v>0</v>
      </c>
      <c r="AM269" s="17" t="str">
        <f>IF(SrcDB[[#This Row],[Pocet zmluv objednavatela]]&gt;3,SrcDB[[#This Row],[Objednavatel]],"Ostatné")</f>
        <v>Finančné riaditeľstvo SR</v>
      </c>
      <c r="AN269" s="17" t="str">
        <f>IF(SrcDB[[#This Row],[Pocet zmluv dodavatela]]&gt;3,SrcDB[[#This Row],[Dodavatel]],"Ostatné")</f>
        <v>Asseco Central Europe, a.s.</v>
      </c>
    </row>
    <row r="270" spans="1:40" x14ac:dyDescent="0.3">
      <c r="A270" s="2" t="s">
        <v>463</v>
      </c>
      <c r="B270" s="2">
        <v>5084832</v>
      </c>
      <c r="C270" s="3" t="str">
        <f t="shared" si="281"/>
        <v>Nejasné</v>
      </c>
      <c r="D270" s="3" t="str">
        <f t="shared" si="282"/>
        <v>Nejasné</v>
      </c>
      <c r="E270" s="3" t="s">
        <v>48</v>
      </c>
      <c r="F270" s="3" t="s">
        <v>49</v>
      </c>
      <c r="G270" s="2" t="str">
        <f t="shared" si="283"/>
        <v>Malé zmluvy</v>
      </c>
      <c r="H270" s="5">
        <v>42499500</v>
      </c>
      <c r="I270" s="2" t="s">
        <v>464</v>
      </c>
      <c r="J270" s="2" t="s">
        <v>465</v>
      </c>
      <c r="K270" s="5">
        <v>35760419</v>
      </c>
      <c r="L270" s="2" t="s">
        <v>85</v>
      </c>
      <c r="M270" s="2" t="s">
        <v>136</v>
      </c>
      <c r="N270" s="6">
        <v>44153</v>
      </c>
      <c r="O270" s="4">
        <v>947693.27</v>
      </c>
      <c r="P270" s="2">
        <v>114725</v>
      </c>
      <c r="Q270" s="2" t="s">
        <v>466</v>
      </c>
      <c r="R270" s="2" t="s">
        <v>467</v>
      </c>
      <c r="S270" s="2" t="s">
        <v>160</v>
      </c>
      <c r="T270" s="2" t="s">
        <v>477</v>
      </c>
      <c r="W270" s="4">
        <v>713.84</v>
      </c>
      <c r="X270" s="4">
        <v>856.60800000000006</v>
      </c>
      <c r="Y270" s="4">
        <f t="shared" ref="Y270" si="300">INDEX(InternalRates,MATCH($S270,InternalRates01,FALSE),2)</f>
        <v>231.85833333333335</v>
      </c>
      <c r="Z270" s="3" t="str">
        <f t="shared" si="286"/>
        <v>Nie</v>
      </c>
      <c r="AA270" s="3" t="str">
        <f t="shared" si="287"/>
        <v>SLA</v>
      </c>
      <c r="AB270" s="4">
        <v>11.75</v>
      </c>
      <c r="AD270" s="3" t="s">
        <v>48</v>
      </c>
      <c r="AE270" s="6">
        <v>44420</v>
      </c>
      <c r="AF270" s="3" t="s">
        <v>59</v>
      </c>
      <c r="AG270" s="3" t="s">
        <v>60</v>
      </c>
      <c r="AH270" s="3">
        <f>YEAR(SrcDB[[#This Row],[Datum_zverejnenia]])</f>
        <v>2020</v>
      </c>
      <c r="AI270" s="3" cm="1">
        <f t="array" ref="AI270">COUNT(_xlfn.UNIQUE(_xlfn._xlws.FILTER(SrcDB[ID],SrcDB[Objednavatel_ICO]=$H270)))</f>
        <v>25</v>
      </c>
      <c r="AJ270" s="3" cm="1">
        <f t="array" ref="AJ270">COUNT(_xlfn.UNIQUE(_xlfn._xlws.FILTER(SrcDB[ID],SrcDB[Dodavatel_ICO]=$K270)))</f>
        <v>34</v>
      </c>
      <c r="AK270" s="3">
        <f t="shared" si="289"/>
        <v>0</v>
      </c>
      <c r="AL270" s="3">
        <f t="shared" si="290"/>
        <v>0</v>
      </c>
      <c r="AM270" s="17" t="str">
        <f>IF(SrcDB[[#This Row],[Pocet zmluv objednavatela]]&gt;3,SrcDB[[#This Row],[Objednavatel]],"Ostatné")</f>
        <v>Finančné riaditeľstvo SR</v>
      </c>
      <c r="AN270" s="17" t="str">
        <f>IF(SrcDB[[#This Row],[Pocet zmluv dodavatela]]&gt;3,SrcDB[[#This Row],[Dodavatel]],"Ostatné")</f>
        <v>Asseco Central Europe, a.s.</v>
      </c>
    </row>
    <row r="271" spans="1:40" x14ac:dyDescent="0.3">
      <c r="A271" s="2" t="s">
        <v>478</v>
      </c>
      <c r="B271" s="2">
        <v>5090192</v>
      </c>
      <c r="C271" s="3" t="str">
        <f t="shared" si="281"/>
        <v>Nejasné</v>
      </c>
      <c r="D271" s="3" t="str">
        <f t="shared" si="282"/>
        <v>Nejasné</v>
      </c>
      <c r="E271" s="3" t="s">
        <v>48</v>
      </c>
      <c r="F271" s="3" t="s">
        <v>49</v>
      </c>
      <c r="G271" s="2" t="str">
        <f t="shared" si="283"/>
        <v>Malé zmluvy</v>
      </c>
      <c r="H271" s="5" t="s">
        <v>391</v>
      </c>
      <c r="I271" s="2" t="s">
        <v>392</v>
      </c>
      <c r="J271" s="2" t="s">
        <v>393</v>
      </c>
      <c r="K271" s="5">
        <v>35728531</v>
      </c>
      <c r="L271" s="2" t="s">
        <v>310</v>
      </c>
      <c r="M271" s="2" t="s">
        <v>479</v>
      </c>
      <c r="N271" s="6">
        <v>44155.468564814815</v>
      </c>
      <c r="O271" s="4">
        <v>507350</v>
      </c>
      <c r="P271" s="2">
        <v>114533</v>
      </c>
      <c r="Q271" s="2" t="s">
        <v>480</v>
      </c>
      <c r="R271" s="2" t="s">
        <v>481</v>
      </c>
      <c r="S271" s="2" t="s">
        <v>183</v>
      </c>
      <c r="T271" s="2" t="s">
        <v>183</v>
      </c>
      <c r="W271" s="4">
        <v>640</v>
      </c>
      <c r="X271" s="4">
        <v>768</v>
      </c>
      <c r="Y271" s="4">
        <f t="shared" ref="Y271" si="301">INDEX(InternalRates,MATCH($S271,InternalRates01,FALSE),2)</f>
        <v>278.98333333333335</v>
      </c>
      <c r="Z271" s="3" t="str">
        <f t="shared" si="286"/>
        <v>Nie</v>
      </c>
      <c r="AA271" s="3" t="str">
        <f t="shared" si="287"/>
        <v>SLA</v>
      </c>
      <c r="AD271" s="3" t="s">
        <v>48</v>
      </c>
      <c r="AE271" s="6">
        <v>44510</v>
      </c>
      <c r="AF271" s="3" t="s">
        <v>59</v>
      </c>
      <c r="AG271" s="3" t="s">
        <v>48</v>
      </c>
      <c r="AH271" s="3">
        <f>YEAR(SrcDB[[#This Row],[Datum_zverejnenia]])</f>
        <v>2020</v>
      </c>
      <c r="AI271" s="3" cm="1">
        <f t="array" ref="AI271">COUNT(_xlfn.UNIQUE(_xlfn._xlws.FILTER(SrcDB[ID],SrcDB[Objednavatel_ICO]=$H271)))</f>
        <v>7</v>
      </c>
      <c r="AJ271" s="3" cm="1">
        <f t="array" ref="AJ271">COUNT(_xlfn.UNIQUE(_xlfn._xlws.FILTER(SrcDB[ID],SrcDB[Dodavatel_ICO]=$K271)))</f>
        <v>8</v>
      </c>
      <c r="AK271" s="3">
        <f t="shared" si="289"/>
        <v>1</v>
      </c>
      <c r="AL271" s="3">
        <f t="shared" si="290"/>
        <v>1</v>
      </c>
      <c r="AM271" s="17" t="str">
        <f>IF(SrcDB[[#This Row],[Pocet zmluv objednavatela]]&gt;3,SrcDB[[#This Row],[Objednavatel]],"Ostatné")</f>
        <v>Ministerstvo práce, sociálnych vecí a rodiny SR</v>
      </c>
      <c r="AN271" s="17" t="str">
        <f>IF(SrcDB[[#This Row],[Pocet zmluv dodavatela]]&gt;3,SrcDB[[#This Row],[Dodavatel]],"Ostatné")</f>
        <v>InterWay, a.s.</v>
      </c>
    </row>
    <row r="272" spans="1:40" x14ac:dyDescent="0.3">
      <c r="A272" s="2" t="s">
        <v>482</v>
      </c>
      <c r="B272" s="2">
        <v>5291746</v>
      </c>
      <c r="C272" s="3" t="str">
        <f t="shared" si="281"/>
        <v>Nejasné</v>
      </c>
      <c r="D272" s="3" t="str">
        <f t="shared" si="282"/>
        <v>Nejasné</v>
      </c>
      <c r="E272" s="3" t="s">
        <v>48</v>
      </c>
      <c r="F272" s="3" t="s">
        <v>48</v>
      </c>
      <c r="G272" s="2" t="str">
        <f t="shared" si="283"/>
        <v>Stredné zmluvy</v>
      </c>
      <c r="H272" s="5">
        <v>42499500</v>
      </c>
      <c r="I272" s="2" t="s">
        <v>464</v>
      </c>
      <c r="J272" s="2" t="s">
        <v>465</v>
      </c>
      <c r="K272" s="5">
        <v>35760419</v>
      </c>
      <c r="L272" s="2" t="s">
        <v>85</v>
      </c>
      <c r="M272" s="2" t="s">
        <v>136</v>
      </c>
      <c r="N272" s="6">
        <v>44179.609826388885</v>
      </c>
      <c r="O272" s="4">
        <v>1430550.35</v>
      </c>
      <c r="P272" s="2">
        <v>114725</v>
      </c>
      <c r="Q272" s="2" t="s">
        <v>483</v>
      </c>
      <c r="R272" s="2" t="s">
        <v>484</v>
      </c>
      <c r="S272" s="2" t="s">
        <v>69</v>
      </c>
      <c r="T272" s="2" t="s">
        <v>468</v>
      </c>
      <c r="W272" s="4">
        <v>713.84</v>
      </c>
      <c r="X272" s="4">
        <v>856.60800000000006</v>
      </c>
      <c r="Y272" s="4">
        <f t="shared" ref="Y272" si="302">INDEX(InternalRates,MATCH($S272,InternalRates01,FALSE),2)</f>
        <v>278.98333333333335</v>
      </c>
      <c r="Z272" s="3" t="str">
        <f t="shared" si="286"/>
        <v>Nie</v>
      </c>
      <c r="AA272" s="3" t="str">
        <f t="shared" si="287"/>
        <v>SLA</v>
      </c>
      <c r="AB272" s="4">
        <v>126</v>
      </c>
      <c r="AD272" s="3" t="s">
        <v>48</v>
      </c>
      <c r="AE272" s="6">
        <v>44419</v>
      </c>
      <c r="AF272" s="3" t="s">
        <v>59</v>
      </c>
      <c r="AG272" s="3" t="s">
        <v>60</v>
      </c>
      <c r="AH272" s="3">
        <f>YEAR(SrcDB[[#This Row],[Datum_zverejnenia]])</f>
        <v>2020</v>
      </c>
      <c r="AI272" s="3" cm="1">
        <f t="array" ref="AI272">COUNT(_xlfn.UNIQUE(_xlfn._xlws.FILTER(SrcDB[ID],SrcDB[Objednavatel_ICO]=$H272)))</f>
        <v>25</v>
      </c>
      <c r="AJ272" s="3" cm="1">
        <f t="array" ref="AJ272">COUNT(_xlfn.UNIQUE(_xlfn._xlws.FILTER(SrcDB[ID],SrcDB[Dodavatel_ICO]=$K272)))</f>
        <v>34</v>
      </c>
      <c r="AK272" s="3">
        <f t="shared" si="289"/>
        <v>1</v>
      </c>
      <c r="AL272" s="3">
        <f t="shared" si="290"/>
        <v>1</v>
      </c>
      <c r="AM272" s="17" t="str">
        <f>IF(SrcDB[[#This Row],[Pocet zmluv objednavatela]]&gt;3,SrcDB[[#This Row],[Objednavatel]],"Ostatné")</f>
        <v>Finančné riaditeľstvo SR</v>
      </c>
      <c r="AN272" s="17" t="str">
        <f>IF(SrcDB[[#This Row],[Pocet zmluv dodavatela]]&gt;3,SrcDB[[#This Row],[Dodavatel]],"Ostatné")</f>
        <v>Asseco Central Europe, a.s.</v>
      </c>
    </row>
    <row r="273" spans="1:40" x14ac:dyDescent="0.3">
      <c r="A273" s="2" t="s">
        <v>482</v>
      </c>
      <c r="B273" s="2">
        <v>5291746</v>
      </c>
      <c r="C273" s="3" t="str">
        <f t="shared" si="281"/>
        <v>Nejasné</v>
      </c>
      <c r="D273" s="3" t="str">
        <f t="shared" si="282"/>
        <v>Nejasné</v>
      </c>
      <c r="E273" s="3" t="s">
        <v>48</v>
      </c>
      <c r="F273" s="3" t="s">
        <v>48</v>
      </c>
      <c r="G273" s="2" t="str">
        <f t="shared" si="283"/>
        <v>Stredné zmluvy</v>
      </c>
      <c r="H273" s="5">
        <v>42499500</v>
      </c>
      <c r="I273" s="2" t="s">
        <v>464</v>
      </c>
      <c r="J273" s="2" t="s">
        <v>465</v>
      </c>
      <c r="K273" s="5">
        <v>35760419</v>
      </c>
      <c r="L273" s="2" t="s">
        <v>85</v>
      </c>
      <c r="M273" s="2" t="s">
        <v>136</v>
      </c>
      <c r="N273" s="6">
        <v>44179.609826388885</v>
      </c>
      <c r="O273" s="4">
        <v>1430550.35</v>
      </c>
      <c r="P273" s="2">
        <v>114725</v>
      </c>
      <c r="Q273" s="2" t="s">
        <v>483</v>
      </c>
      <c r="R273" s="2" t="s">
        <v>484</v>
      </c>
      <c r="S273" s="2" t="s">
        <v>73</v>
      </c>
      <c r="T273" s="2" t="s">
        <v>469</v>
      </c>
      <c r="W273" s="4">
        <v>713.84</v>
      </c>
      <c r="X273" s="4">
        <v>856.60800000000006</v>
      </c>
      <c r="Y273" s="4">
        <f t="shared" ref="Y273" si="303">INDEX(InternalRates,MATCH($S273,InternalRates01,FALSE),2)</f>
        <v>278.98333333333335</v>
      </c>
      <c r="Z273" s="3" t="str">
        <f t="shared" si="286"/>
        <v>Nie</v>
      </c>
      <c r="AA273" s="3" t="str">
        <f t="shared" si="287"/>
        <v>SLA</v>
      </c>
      <c r="AB273" s="4">
        <v>623.125</v>
      </c>
      <c r="AD273" s="3" t="s">
        <v>48</v>
      </c>
      <c r="AE273" s="6">
        <v>44419</v>
      </c>
      <c r="AF273" s="3" t="s">
        <v>59</v>
      </c>
      <c r="AG273" s="3" t="s">
        <v>60</v>
      </c>
      <c r="AH273" s="3">
        <f>YEAR(SrcDB[[#This Row],[Datum_zverejnenia]])</f>
        <v>2020</v>
      </c>
      <c r="AI273" s="3" cm="1">
        <f t="array" ref="AI273">COUNT(_xlfn.UNIQUE(_xlfn._xlws.FILTER(SrcDB[ID],SrcDB[Objednavatel_ICO]=$H273)))</f>
        <v>25</v>
      </c>
      <c r="AJ273" s="3" cm="1">
        <f t="array" ref="AJ273">COUNT(_xlfn.UNIQUE(_xlfn._xlws.FILTER(SrcDB[ID],SrcDB[Dodavatel_ICO]=$K273)))</f>
        <v>34</v>
      </c>
      <c r="AK273" s="3">
        <f t="shared" si="289"/>
        <v>0</v>
      </c>
      <c r="AL273" s="3">
        <f t="shared" si="290"/>
        <v>0</v>
      </c>
      <c r="AM273" s="17" t="str">
        <f>IF(SrcDB[[#This Row],[Pocet zmluv objednavatela]]&gt;3,SrcDB[[#This Row],[Objednavatel]],"Ostatné")</f>
        <v>Finančné riaditeľstvo SR</v>
      </c>
      <c r="AN273" s="17" t="str">
        <f>IF(SrcDB[[#This Row],[Pocet zmluv dodavatela]]&gt;3,SrcDB[[#This Row],[Dodavatel]],"Ostatné")</f>
        <v>Asseco Central Europe, a.s.</v>
      </c>
    </row>
    <row r="274" spans="1:40" x14ac:dyDescent="0.3">
      <c r="A274" s="2" t="s">
        <v>482</v>
      </c>
      <c r="B274" s="2">
        <v>5291746</v>
      </c>
      <c r="C274" s="3" t="str">
        <f t="shared" si="281"/>
        <v>Nejasné</v>
      </c>
      <c r="D274" s="3" t="str">
        <f t="shared" si="282"/>
        <v>Nejasné</v>
      </c>
      <c r="E274" s="3" t="s">
        <v>48</v>
      </c>
      <c r="F274" s="3" t="s">
        <v>48</v>
      </c>
      <c r="G274" s="2" t="str">
        <f t="shared" si="283"/>
        <v>Stredné zmluvy</v>
      </c>
      <c r="H274" s="5">
        <v>42499500</v>
      </c>
      <c r="I274" s="2" t="s">
        <v>464</v>
      </c>
      <c r="J274" s="2" t="s">
        <v>465</v>
      </c>
      <c r="K274" s="5">
        <v>35760419</v>
      </c>
      <c r="L274" s="2" t="s">
        <v>85</v>
      </c>
      <c r="M274" s="2" t="s">
        <v>136</v>
      </c>
      <c r="N274" s="6">
        <v>44179</v>
      </c>
      <c r="O274" s="4">
        <v>1430550.35</v>
      </c>
      <c r="P274" s="2">
        <v>114725</v>
      </c>
      <c r="Q274" s="2" t="s">
        <v>483</v>
      </c>
      <c r="R274" s="2" t="s">
        <v>484</v>
      </c>
      <c r="S274" s="2" t="s">
        <v>56</v>
      </c>
      <c r="T274" s="2" t="s">
        <v>470</v>
      </c>
      <c r="U274" s="2" t="s">
        <v>460</v>
      </c>
      <c r="W274" s="4">
        <v>713.84</v>
      </c>
      <c r="X274" s="4">
        <v>856.60800000000006</v>
      </c>
      <c r="Y274" s="4">
        <f t="shared" ref="Y274" si="304">INDEX(InternalRates,MATCH($S274,InternalRates01,FALSE),2)</f>
        <v>278.98333333333335</v>
      </c>
      <c r="Z274" s="3" t="str">
        <f t="shared" si="286"/>
        <v>Nie</v>
      </c>
      <c r="AA274" s="3" t="str">
        <f t="shared" si="287"/>
        <v>SLA</v>
      </c>
      <c r="AB274" s="4">
        <v>82.125</v>
      </c>
      <c r="AD274" s="3" t="s">
        <v>48</v>
      </c>
      <c r="AE274" s="6">
        <v>44419</v>
      </c>
      <c r="AF274" s="3" t="s">
        <v>59</v>
      </c>
      <c r="AG274" s="3" t="s">
        <v>60</v>
      </c>
      <c r="AH274" s="3">
        <f>YEAR(SrcDB[[#This Row],[Datum_zverejnenia]])</f>
        <v>2020</v>
      </c>
      <c r="AI274" s="3" cm="1">
        <f t="array" ref="AI274">COUNT(_xlfn.UNIQUE(_xlfn._xlws.FILTER(SrcDB[ID],SrcDB[Objednavatel_ICO]=$H274)))</f>
        <v>25</v>
      </c>
      <c r="AJ274" s="3" cm="1">
        <f t="array" ref="AJ274">COUNT(_xlfn.UNIQUE(_xlfn._xlws.FILTER(SrcDB[ID],SrcDB[Dodavatel_ICO]=$K274)))</f>
        <v>34</v>
      </c>
      <c r="AK274" s="3">
        <f t="shared" si="289"/>
        <v>0</v>
      </c>
      <c r="AL274" s="3">
        <f t="shared" si="290"/>
        <v>0</v>
      </c>
      <c r="AM274" s="17" t="str">
        <f>IF(SrcDB[[#This Row],[Pocet zmluv objednavatela]]&gt;3,SrcDB[[#This Row],[Objednavatel]],"Ostatné")</f>
        <v>Finančné riaditeľstvo SR</v>
      </c>
      <c r="AN274" s="17" t="str">
        <f>IF(SrcDB[[#This Row],[Pocet zmluv dodavatela]]&gt;3,SrcDB[[#This Row],[Dodavatel]],"Ostatné")</f>
        <v>Asseco Central Europe, a.s.</v>
      </c>
    </row>
    <row r="275" spans="1:40" x14ac:dyDescent="0.3">
      <c r="A275" s="2" t="s">
        <v>482</v>
      </c>
      <c r="B275" s="2">
        <v>5291746</v>
      </c>
      <c r="C275" s="3" t="str">
        <f t="shared" si="281"/>
        <v>Nejasné</v>
      </c>
      <c r="D275" s="3" t="str">
        <f t="shared" si="282"/>
        <v>Nejasné</v>
      </c>
      <c r="E275" s="3" t="s">
        <v>48</v>
      </c>
      <c r="F275" s="3" t="s">
        <v>48</v>
      </c>
      <c r="G275" s="2" t="str">
        <f t="shared" si="283"/>
        <v>Stredné zmluvy</v>
      </c>
      <c r="H275" s="5">
        <v>42499500</v>
      </c>
      <c r="I275" s="2" t="s">
        <v>464</v>
      </c>
      <c r="J275" s="2" t="s">
        <v>465</v>
      </c>
      <c r="K275" s="5">
        <v>35760419</v>
      </c>
      <c r="L275" s="2" t="s">
        <v>85</v>
      </c>
      <c r="M275" s="2" t="s">
        <v>136</v>
      </c>
      <c r="N275" s="6">
        <v>44179</v>
      </c>
      <c r="O275" s="4">
        <v>1430550.35</v>
      </c>
      <c r="P275" s="2">
        <v>114725</v>
      </c>
      <c r="Q275" s="2" t="s">
        <v>483</v>
      </c>
      <c r="R275" s="2" t="s">
        <v>484</v>
      </c>
      <c r="S275" s="2" t="s">
        <v>77</v>
      </c>
      <c r="T275" s="2" t="s">
        <v>471</v>
      </c>
      <c r="W275" s="4">
        <v>713.84</v>
      </c>
      <c r="X275" s="4">
        <v>856.60800000000006</v>
      </c>
      <c r="Y275" s="4">
        <f t="shared" ref="Y275" si="305">INDEX(InternalRates,MATCH($S275,InternalRates01,FALSE),2)</f>
        <v>278.98333333333335</v>
      </c>
      <c r="Z275" s="3" t="str">
        <f t="shared" si="286"/>
        <v>Nie</v>
      </c>
      <c r="AA275" s="3" t="str">
        <f t="shared" si="287"/>
        <v>SLA</v>
      </c>
      <c r="AB275" s="4">
        <v>873</v>
      </c>
      <c r="AD275" s="3" t="s">
        <v>48</v>
      </c>
      <c r="AE275" s="6">
        <v>44419</v>
      </c>
      <c r="AF275" s="3" t="s">
        <v>59</v>
      </c>
      <c r="AG275" s="3" t="s">
        <v>60</v>
      </c>
      <c r="AH275" s="3">
        <f>YEAR(SrcDB[[#This Row],[Datum_zverejnenia]])</f>
        <v>2020</v>
      </c>
      <c r="AI275" s="3" cm="1">
        <f t="array" ref="AI275">COUNT(_xlfn.UNIQUE(_xlfn._xlws.FILTER(SrcDB[ID],SrcDB[Objednavatel_ICO]=$H275)))</f>
        <v>25</v>
      </c>
      <c r="AJ275" s="3" cm="1">
        <f t="array" ref="AJ275">COUNT(_xlfn.UNIQUE(_xlfn._xlws.FILTER(SrcDB[ID],SrcDB[Dodavatel_ICO]=$K275)))</f>
        <v>34</v>
      </c>
      <c r="AK275" s="3">
        <f t="shared" si="289"/>
        <v>0</v>
      </c>
      <c r="AL275" s="3">
        <f t="shared" si="290"/>
        <v>0</v>
      </c>
      <c r="AM275" s="17" t="str">
        <f>IF(SrcDB[[#This Row],[Pocet zmluv objednavatela]]&gt;3,SrcDB[[#This Row],[Objednavatel]],"Ostatné")</f>
        <v>Finančné riaditeľstvo SR</v>
      </c>
      <c r="AN275" s="17" t="str">
        <f>IF(SrcDB[[#This Row],[Pocet zmluv dodavatela]]&gt;3,SrcDB[[#This Row],[Dodavatel]],"Ostatné")</f>
        <v>Asseco Central Europe, a.s.</v>
      </c>
    </row>
    <row r="276" spans="1:40" x14ac:dyDescent="0.3">
      <c r="A276" s="2" t="s">
        <v>482</v>
      </c>
      <c r="B276" s="2">
        <v>5291746</v>
      </c>
      <c r="C276" s="3" t="str">
        <f t="shared" si="281"/>
        <v>Nejasné</v>
      </c>
      <c r="D276" s="3" t="str">
        <f t="shared" si="282"/>
        <v>Nejasné</v>
      </c>
      <c r="E276" s="3" t="s">
        <v>48</v>
      </c>
      <c r="F276" s="3" t="s">
        <v>48</v>
      </c>
      <c r="G276" s="2" t="str">
        <f t="shared" si="283"/>
        <v>Stredné zmluvy</v>
      </c>
      <c r="H276" s="5">
        <v>42499500</v>
      </c>
      <c r="I276" s="2" t="s">
        <v>464</v>
      </c>
      <c r="J276" s="2" t="s">
        <v>465</v>
      </c>
      <c r="K276" s="5">
        <v>35760419</v>
      </c>
      <c r="L276" s="2" t="s">
        <v>85</v>
      </c>
      <c r="M276" s="2" t="s">
        <v>136</v>
      </c>
      <c r="N276" s="6">
        <v>44179</v>
      </c>
      <c r="O276" s="4">
        <v>1430550.35</v>
      </c>
      <c r="P276" s="2">
        <v>114725</v>
      </c>
      <c r="Q276" s="2" t="s">
        <v>483</v>
      </c>
      <c r="R276" s="2" t="s">
        <v>484</v>
      </c>
      <c r="S276" s="2" t="s">
        <v>79</v>
      </c>
      <c r="T276" s="2" t="s">
        <v>472</v>
      </c>
      <c r="W276" s="4">
        <v>713.84</v>
      </c>
      <c r="X276" s="4">
        <v>856.60800000000006</v>
      </c>
      <c r="Y276" s="4">
        <f t="shared" ref="Y276" si="306">INDEX(InternalRates,MATCH($S276,InternalRates01,FALSE),2)</f>
        <v>278.98333333333335</v>
      </c>
      <c r="Z276" s="3" t="str">
        <f t="shared" si="286"/>
        <v>Nie</v>
      </c>
      <c r="AA276" s="3" t="str">
        <f t="shared" si="287"/>
        <v>SLA</v>
      </c>
      <c r="AB276" s="4">
        <v>170.5</v>
      </c>
      <c r="AD276" s="3" t="s">
        <v>48</v>
      </c>
      <c r="AE276" s="6">
        <v>44419</v>
      </c>
      <c r="AF276" s="3" t="s">
        <v>59</v>
      </c>
      <c r="AG276" s="3" t="s">
        <v>60</v>
      </c>
      <c r="AH276" s="3">
        <f>YEAR(SrcDB[[#This Row],[Datum_zverejnenia]])</f>
        <v>2020</v>
      </c>
      <c r="AI276" s="3" cm="1">
        <f t="array" ref="AI276">COUNT(_xlfn.UNIQUE(_xlfn._xlws.FILTER(SrcDB[ID],SrcDB[Objednavatel_ICO]=$H276)))</f>
        <v>25</v>
      </c>
      <c r="AJ276" s="3" cm="1">
        <f t="array" ref="AJ276">COUNT(_xlfn.UNIQUE(_xlfn._xlws.FILTER(SrcDB[ID],SrcDB[Dodavatel_ICO]=$K276)))</f>
        <v>34</v>
      </c>
      <c r="AK276" s="3">
        <f t="shared" si="289"/>
        <v>0</v>
      </c>
      <c r="AL276" s="3">
        <f t="shared" si="290"/>
        <v>0</v>
      </c>
      <c r="AM276" s="17" t="str">
        <f>IF(SrcDB[[#This Row],[Pocet zmluv objednavatela]]&gt;3,SrcDB[[#This Row],[Objednavatel]],"Ostatné")</f>
        <v>Finančné riaditeľstvo SR</v>
      </c>
      <c r="AN276" s="17" t="str">
        <f>IF(SrcDB[[#This Row],[Pocet zmluv dodavatela]]&gt;3,SrcDB[[#This Row],[Dodavatel]],"Ostatné")</f>
        <v>Asseco Central Europe, a.s.</v>
      </c>
    </row>
    <row r="277" spans="1:40" x14ac:dyDescent="0.3">
      <c r="A277" s="2" t="s">
        <v>482</v>
      </c>
      <c r="B277" s="2">
        <v>5291746</v>
      </c>
      <c r="C277" s="3" t="str">
        <f t="shared" si="281"/>
        <v>Nejasné</v>
      </c>
      <c r="D277" s="3" t="str">
        <f t="shared" si="282"/>
        <v>Nejasné</v>
      </c>
      <c r="E277" s="3" t="s">
        <v>48</v>
      </c>
      <c r="F277" s="3" t="s">
        <v>48</v>
      </c>
      <c r="G277" s="2" t="str">
        <f t="shared" si="283"/>
        <v>Stredné zmluvy</v>
      </c>
      <c r="H277" s="5">
        <v>42499500</v>
      </c>
      <c r="I277" s="2" t="s">
        <v>464</v>
      </c>
      <c r="J277" s="2" t="s">
        <v>465</v>
      </c>
      <c r="K277" s="5">
        <v>35760419</v>
      </c>
      <c r="L277" s="2" t="s">
        <v>85</v>
      </c>
      <c r="M277" s="2" t="s">
        <v>136</v>
      </c>
      <c r="N277" s="6">
        <v>44179</v>
      </c>
      <c r="O277" s="4">
        <v>1430550.35</v>
      </c>
      <c r="P277" s="2">
        <v>114725</v>
      </c>
      <c r="Q277" s="2" t="s">
        <v>483</v>
      </c>
      <c r="R277" s="2" t="s">
        <v>484</v>
      </c>
      <c r="S277" s="2" t="s">
        <v>160</v>
      </c>
      <c r="T277" s="2" t="s">
        <v>473</v>
      </c>
      <c r="W277" s="4">
        <v>713.84</v>
      </c>
      <c r="X277" s="4">
        <v>856.60800000000006</v>
      </c>
      <c r="Y277" s="4">
        <f t="shared" ref="Y277" si="307">INDEX(InternalRates,MATCH($S277,InternalRates01,FALSE),2)</f>
        <v>231.85833333333335</v>
      </c>
      <c r="Z277" s="3" t="str">
        <f t="shared" si="286"/>
        <v>Nie</v>
      </c>
      <c r="AA277" s="3" t="str">
        <f t="shared" si="287"/>
        <v>SLA</v>
      </c>
      <c r="AB277" s="4">
        <v>31</v>
      </c>
      <c r="AD277" s="3" t="s">
        <v>48</v>
      </c>
      <c r="AE277" s="6">
        <v>44419</v>
      </c>
      <c r="AF277" s="3" t="s">
        <v>59</v>
      </c>
      <c r="AG277" s="3" t="s">
        <v>60</v>
      </c>
      <c r="AH277" s="3">
        <f>YEAR(SrcDB[[#This Row],[Datum_zverejnenia]])</f>
        <v>2020</v>
      </c>
      <c r="AI277" s="3" cm="1">
        <f t="array" ref="AI277">COUNT(_xlfn.UNIQUE(_xlfn._xlws.FILTER(SrcDB[ID],SrcDB[Objednavatel_ICO]=$H277)))</f>
        <v>25</v>
      </c>
      <c r="AJ277" s="3" cm="1">
        <f t="array" ref="AJ277">COUNT(_xlfn.UNIQUE(_xlfn._xlws.FILTER(SrcDB[ID],SrcDB[Dodavatel_ICO]=$K277)))</f>
        <v>34</v>
      </c>
      <c r="AK277" s="3">
        <f t="shared" si="289"/>
        <v>0</v>
      </c>
      <c r="AL277" s="3">
        <f t="shared" si="290"/>
        <v>0</v>
      </c>
      <c r="AM277" s="17" t="str">
        <f>IF(SrcDB[[#This Row],[Pocet zmluv objednavatela]]&gt;3,SrcDB[[#This Row],[Objednavatel]],"Ostatné")</f>
        <v>Finančné riaditeľstvo SR</v>
      </c>
      <c r="AN277" s="17" t="str">
        <f>IF(SrcDB[[#This Row],[Pocet zmluv dodavatela]]&gt;3,SrcDB[[#This Row],[Dodavatel]],"Ostatné")</f>
        <v>Asseco Central Europe, a.s.</v>
      </c>
    </row>
    <row r="278" spans="1:40" x14ac:dyDescent="0.3">
      <c r="A278" s="2" t="s">
        <v>482</v>
      </c>
      <c r="B278" s="2">
        <v>5291746</v>
      </c>
      <c r="C278" s="3" t="str">
        <f t="shared" si="281"/>
        <v>Nejasné</v>
      </c>
      <c r="D278" s="3" t="str">
        <f t="shared" si="282"/>
        <v>Nejasné</v>
      </c>
      <c r="E278" s="3" t="s">
        <v>48</v>
      </c>
      <c r="F278" s="3" t="s">
        <v>48</v>
      </c>
      <c r="G278" s="2" t="str">
        <f t="shared" si="283"/>
        <v>Stredné zmluvy</v>
      </c>
      <c r="H278" s="5">
        <v>42499500</v>
      </c>
      <c r="I278" s="2" t="s">
        <v>464</v>
      </c>
      <c r="J278" s="2" t="s">
        <v>465</v>
      </c>
      <c r="K278" s="5">
        <v>35760419</v>
      </c>
      <c r="L278" s="2" t="s">
        <v>85</v>
      </c>
      <c r="M278" s="2" t="s">
        <v>136</v>
      </c>
      <c r="N278" s="6">
        <v>44179</v>
      </c>
      <c r="O278" s="4">
        <v>1430550.35</v>
      </c>
      <c r="P278" s="2">
        <v>114725</v>
      </c>
      <c r="Q278" s="2" t="s">
        <v>483</v>
      </c>
      <c r="R278" s="2" t="s">
        <v>484</v>
      </c>
      <c r="S278" s="2" t="s">
        <v>100</v>
      </c>
      <c r="T278" s="2" t="s">
        <v>474</v>
      </c>
      <c r="W278" s="4">
        <v>713.84</v>
      </c>
      <c r="X278" s="4">
        <v>856.60800000000006</v>
      </c>
      <c r="Y278" s="4">
        <f t="shared" ref="Y278" si="308">INDEX(InternalRates,MATCH($S278,InternalRates01,FALSE),2)</f>
        <v>278.98333333333335</v>
      </c>
      <c r="Z278" s="3" t="str">
        <f t="shared" si="286"/>
        <v>Nie</v>
      </c>
      <c r="AA278" s="3" t="str">
        <f t="shared" si="287"/>
        <v>SLA</v>
      </c>
      <c r="AB278" s="4">
        <v>40.375</v>
      </c>
      <c r="AD278" s="3" t="s">
        <v>48</v>
      </c>
      <c r="AE278" s="6">
        <v>44419</v>
      </c>
      <c r="AF278" s="3" t="s">
        <v>59</v>
      </c>
      <c r="AG278" s="3" t="s">
        <v>60</v>
      </c>
      <c r="AH278" s="3">
        <f>YEAR(SrcDB[[#This Row],[Datum_zverejnenia]])</f>
        <v>2020</v>
      </c>
      <c r="AI278" s="3" cm="1">
        <f t="array" ref="AI278">COUNT(_xlfn.UNIQUE(_xlfn._xlws.FILTER(SrcDB[ID],SrcDB[Objednavatel_ICO]=$H278)))</f>
        <v>25</v>
      </c>
      <c r="AJ278" s="3" cm="1">
        <f t="array" ref="AJ278">COUNT(_xlfn.UNIQUE(_xlfn._xlws.FILTER(SrcDB[ID],SrcDB[Dodavatel_ICO]=$K278)))</f>
        <v>34</v>
      </c>
      <c r="AK278" s="3">
        <f t="shared" si="289"/>
        <v>0</v>
      </c>
      <c r="AL278" s="3">
        <f t="shared" si="290"/>
        <v>0</v>
      </c>
      <c r="AM278" s="17" t="str">
        <f>IF(SrcDB[[#This Row],[Pocet zmluv objednavatela]]&gt;3,SrcDB[[#This Row],[Objednavatel]],"Ostatné")</f>
        <v>Finančné riaditeľstvo SR</v>
      </c>
      <c r="AN278" s="17" t="str">
        <f>IF(SrcDB[[#This Row],[Pocet zmluv dodavatela]]&gt;3,SrcDB[[#This Row],[Dodavatel]],"Ostatné")</f>
        <v>Asseco Central Europe, a.s.</v>
      </c>
    </row>
    <row r="279" spans="1:40" x14ac:dyDescent="0.3">
      <c r="A279" s="2" t="s">
        <v>482</v>
      </c>
      <c r="B279" s="2">
        <v>5291746</v>
      </c>
      <c r="C279" s="3" t="str">
        <f t="shared" si="281"/>
        <v>Nejasné</v>
      </c>
      <c r="D279" s="3" t="str">
        <f t="shared" si="282"/>
        <v>Nejasné</v>
      </c>
      <c r="E279" s="3" t="s">
        <v>48</v>
      </c>
      <c r="F279" s="3" t="s">
        <v>48</v>
      </c>
      <c r="G279" s="2" t="str">
        <f t="shared" si="283"/>
        <v>Stredné zmluvy</v>
      </c>
      <c r="H279" s="5">
        <v>42499500</v>
      </c>
      <c r="I279" s="2" t="s">
        <v>464</v>
      </c>
      <c r="J279" s="2" t="s">
        <v>465</v>
      </c>
      <c r="K279" s="5">
        <v>35760419</v>
      </c>
      <c r="L279" s="2" t="s">
        <v>85</v>
      </c>
      <c r="M279" s="2" t="s">
        <v>136</v>
      </c>
      <c r="N279" s="6">
        <v>44179</v>
      </c>
      <c r="O279" s="4">
        <v>1430550.35</v>
      </c>
      <c r="P279" s="2">
        <v>114725</v>
      </c>
      <c r="Q279" s="2" t="s">
        <v>483</v>
      </c>
      <c r="R279" s="2" t="s">
        <v>484</v>
      </c>
      <c r="S279" s="2" t="s">
        <v>160</v>
      </c>
      <c r="T279" s="2" t="s">
        <v>475</v>
      </c>
      <c r="W279" s="4">
        <v>713.84</v>
      </c>
      <c r="X279" s="4">
        <v>856.60800000000006</v>
      </c>
      <c r="Y279" s="4">
        <f t="shared" ref="Y279" si="309">INDEX(InternalRates,MATCH($S279,InternalRates01,FALSE),2)</f>
        <v>231.85833333333335</v>
      </c>
      <c r="Z279" s="3" t="str">
        <f t="shared" si="286"/>
        <v>Nie</v>
      </c>
      <c r="AA279" s="3" t="str">
        <f t="shared" si="287"/>
        <v>SLA</v>
      </c>
      <c r="AB279" s="4">
        <v>36.375</v>
      </c>
      <c r="AD279" s="3" t="s">
        <v>48</v>
      </c>
      <c r="AE279" s="6">
        <v>44419</v>
      </c>
      <c r="AF279" s="3" t="s">
        <v>59</v>
      </c>
      <c r="AG279" s="3" t="s">
        <v>60</v>
      </c>
      <c r="AH279" s="3">
        <f>YEAR(SrcDB[[#This Row],[Datum_zverejnenia]])</f>
        <v>2020</v>
      </c>
      <c r="AI279" s="3" cm="1">
        <f t="array" ref="AI279">COUNT(_xlfn.UNIQUE(_xlfn._xlws.FILTER(SrcDB[ID],SrcDB[Objednavatel_ICO]=$H279)))</f>
        <v>25</v>
      </c>
      <c r="AJ279" s="3" cm="1">
        <f t="array" ref="AJ279">COUNT(_xlfn.UNIQUE(_xlfn._xlws.FILTER(SrcDB[ID],SrcDB[Dodavatel_ICO]=$K279)))</f>
        <v>34</v>
      </c>
      <c r="AK279" s="3">
        <f t="shared" si="289"/>
        <v>0</v>
      </c>
      <c r="AL279" s="3">
        <f t="shared" si="290"/>
        <v>0</v>
      </c>
      <c r="AM279" s="17" t="str">
        <f>IF(SrcDB[[#This Row],[Pocet zmluv objednavatela]]&gt;3,SrcDB[[#This Row],[Objednavatel]],"Ostatné")</f>
        <v>Finančné riaditeľstvo SR</v>
      </c>
      <c r="AN279" s="17" t="str">
        <f>IF(SrcDB[[#This Row],[Pocet zmluv dodavatela]]&gt;3,SrcDB[[#This Row],[Dodavatel]],"Ostatné")</f>
        <v>Asseco Central Europe, a.s.</v>
      </c>
    </row>
    <row r="280" spans="1:40" x14ac:dyDescent="0.3">
      <c r="A280" s="2" t="s">
        <v>482</v>
      </c>
      <c r="B280" s="2">
        <v>5291746</v>
      </c>
      <c r="C280" s="3" t="str">
        <f t="shared" si="281"/>
        <v>Nejasné</v>
      </c>
      <c r="D280" s="3" t="str">
        <f t="shared" si="282"/>
        <v>Nejasné</v>
      </c>
      <c r="E280" s="3" t="s">
        <v>48</v>
      </c>
      <c r="F280" s="3" t="s">
        <v>48</v>
      </c>
      <c r="G280" s="2" t="str">
        <f t="shared" si="283"/>
        <v>Stredné zmluvy</v>
      </c>
      <c r="H280" s="5">
        <v>42499500</v>
      </c>
      <c r="I280" s="2" t="s">
        <v>464</v>
      </c>
      <c r="J280" s="2" t="s">
        <v>465</v>
      </c>
      <c r="K280" s="5">
        <v>35760419</v>
      </c>
      <c r="L280" s="2" t="s">
        <v>85</v>
      </c>
      <c r="M280" s="2" t="s">
        <v>136</v>
      </c>
      <c r="N280" s="6">
        <v>44179</v>
      </c>
      <c r="O280" s="4">
        <v>1430550.35</v>
      </c>
      <c r="P280" s="2">
        <v>114725</v>
      </c>
      <c r="Q280" s="2" t="s">
        <v>483</v>
      </c>
      <c r="R280" s="2" t="s">
        <v>484</v>
      </c>
      <c r="S280" s="2" t="s">
        <v>160</v>
      </c>
      <c r="T280" s="2" t="s">
        <v>476</v>
      </c>
      <c r="W280" s="4">
        <v>713.84</v>
      </c>
      <c r="X280" s="4">
        <v>856.60800000000006</v>
      </c>
      <c r="Y280" s="4">
        <f t="shared" ref="Y280" si="310">INDEX(InternalRates,MATCH($S280,InternalRates01,FALSE),2)</f>
        <v>231.85833333333335</v>
      </c>
      <c r="Z280" s="3" t="str">
        <f t="shared" si="286"/>
        <v>Nie</v>
      </c>
      <c r="AA280" s="3" t="str">
        <f t="shared" si="287"/>
        <v>SLA</v>
      </c>
      <c r="AB280" s="4">
        <v>21.125</v>
      </c>
      <c r="AD280" s="3" t="s">
        <v>48</v>
      </c>
      <c r="AE280" s="6">
        <v>44419</v>
      </c>
      <c r="AF280" s="3" t="s">
        <v>59</v>
      </c>
      <c r="AG280" s="3" t="s">
        <v>60</v>
      </c>
      <c r="AH280" s="3">
        <f>YEAR(SrcDB[[#This Row],[Datum_zverejnenia]])</f>
        <v>2020</v>
      </c>
      <c r="AI280" s="3" cm="1">
        <f t="array" ref="AI280">COUNT(_xlfn.UNIQUE(_xlfn._xlws.FILTER(SrcDB[ID],SrcDB[Objednavatel_ICO]=$H280)))</f>
        <v>25</v>
      </c>
      <c r="AJ280" s="3" cm="1">
        <f t="array" ref="AJ280">COUNT(_xlfn.UNIQUE(_xlfn._xlws.FILTER(SrcDB[ID],SrcDB[Dodavatel_ICO]=$K280)))</f>
        <v>34</v>
      </c>
      <c r="AK280" s="3">
        <f t="shared" si="289"/>
        <v>0</v>
      </c>
      <c r="AL280" s="3">
        <f t="shared" si="290"/>
        <v>0</v>
      </c>
      <c r="AM280" s="17" t="str">
        <f>IF(SrcDB[[#This Row],[Pocet zmluv objednavatela]]&gt;3,SrcDB[[#This Row],[Objednavatel]],"Ostatné")</f>
        <v>Finančné riaditeľstvo SR</v>
      </c>
      <c r="AN280" s="17" t="str">
        <f>IF(SrcDB[[#This Row],[Pocet zmluv dodavatela]]&gt;3,SrcDB[[#This Row],[Dodavatel]],"Ostatné")</f>
        <v>Asseco Central Europe, a.s.</v>
      </c>
    </row>
    <row r="281" spans="1:40" x14ac:dyDescent="0.3">
      <c r="A281" s="2" t="s">
        <v>482</v>
      </c>
      <c r="B281" s="2">
        <v>5291746</v>
      </c>
      <c r="C281" s="3" t="str">
        <f t="shared" si="281"/>
        <v>Nejasné</v>
      </c>
      <c r="D281" s="3" t="str">
        <f t="shared" si="282"/>
        <v>Nejasné</v>
      </c>
      <c r="E281" s="3" t="s">
        <v>48</v>
      </c>
      <c r="F281" s="3" t="s">
        <v>48</v>
      </c>
      <c r="G281" s="2" t="str">
        <f t="shared" si="283"/>
        <v>Stredné zmluvy</v>
      </c>
      <c r="H281" s="5">
        <v>42499500</v>
      </c>
      <c r="I281" s="2" t="s">
        <v>464</v>
      </c>
      <c r="J281" s="2" t="s">
        <v>465</v>
      </c>
      <c r="K281" s="5">
        <v>35760419</v>
      </c>
      <c r="L281" s="2" t="s">
        <v>85</v>
      </c>
      <c r="M281" s="2" t="s">
        <v>136</v>
      </c>
      <c r="N281" s="6">
        <v>44179</v>
      </c>
      <c r="O281" s="4">
        <v>1430550.35</v>
      </c>
      <c r="P281" s="2">
        <v>114725</v>
      </c>
      <c r="Q281" s="2" t="s">
        <v>483</v>
      </c>
      <c r="R281" s="2" t="s">
        <v>484</v>
      </c>
      <c r="S281" s="2" t="s">
        <v>160</v>
      </c>
      <c r="T281" s="2" t="s">
        <v>477</v>
      </c>
      <c r="W281" s="4">
        <v>713.84</v>
      </c>
      <c r="X281" s="4">
        <v>856.60800000000006</v>
      </c>
      <c r="Y281" s="4">
        <f t="shared" ref="Y281" si="311">INDEX(InternalRates,MATCH($S281,InternalRates01,FALSE),2)</f>
        <v>231.85833333333335</v>
      </c>
      <c r="Z281" s="3" t="str">
        <f t="shared" si="286"/>
        <v>Nie</v>
      </c>
      <c r="AA281" s="3" t="str">
        <f t="shared" si="287"/>
        <v>SLA</v>
      </c>
      <c r="AB281" s="4">
        <v>58.125</v>
      </c>
      <c r="AD281" s="3" t="s">
        <v>48</v>
      </c>
      <c r="AE281" s="6">
        <v>44419</v>
      </c>
      <c r="AF281" s="3" t="s">
        <v>59</v>
      </c>
      <c r="AG281" s="3" t="s">
        <v>60</v>
      </c>
      <c r="AH281" s="3">
        <f>YEAR(SrcDB[[#This Row],[Datum_zverejnenia]])</f>
        <v>2020</v>
      </c>
      <c r="AI281" s="3" cm="1">
        <f t="array" ref="AI281">COUNT(_xlfn.UNIQUE(_xlfn._xlws.FILTER(SrcDB[ID],SrcDB[Objednavatel_ICO]=$H281)))</f>
        <v>25</v>
      </c>
      <c r="AJ281" s="3" cm="1">
        <f t="array" ref="AJ281">COUNT(_xlfn.UNIQUE(_xlfn._xlws.FILTER(SrcDB[ID],SrcDB[Dodavatel_ICO]=$K281)))</f>
        <v>34</v>
      </c>
      <c r="AK281" s="3">
        <f t="shared" si="289"/>
        <v>0</v>
      </c>
      <c r="AL281" s="3">
        <f t="shared" si="290"/>
        <v>0</v>
      </c>
      <c r="AM281" s="17" t="str">
        <f>IF(SrcDB[[#This Row],[Pocet zmluv objednavatela]]&gt;3,SrcDB[[#This Row],[Objednavatel]],"Ostatné")</f>
        <v>Finančné riaditeľstvo SR</v>
      </c>
      <c r="AN281" s="17" t="str">
        <f>IF(SrcDB[[#This Row],[Pocet zmluv dodavatela]]&gt;3,SrcDB[[#This Row],[Dodavatel]],"Ostatné")</f>
        <v>Asseco Central Europe, a.s.</v>
      </c>
    </row>
    <row r="282" spans="1:40" x14ac:dyDescent="0.3">
      <c r="A282" s="2" t="s">
        <v>485</v>
      </c>
      <c r="B282" s="2">
        <v>5323715</v>
      </c>
      <c r="C282" s="3" t="str">
        <f t="shared" si="281"/>
        <v>Nejasné</v>
      </c>
      <c r="D282" s="3" t="str">
        <f t="shared" si="282"/>
        <v>Nejasné</v>
      </c>
      <c r="E282" s="3" t="s">
        <v>48</v>
      </c>
      <c r="F282" s="3" t="s">
        <v>49</v>
      </c>
      <c r="G282" s="2" t="str">
        <f t="shared" si="283"/>
        <v>Malé zmluvy</v>
      </c>
      <c r="H282" s="5">
        <v>42499500</v>
      </c>
      <c r="I282" s="2" t="s">
        <v>464</v>
      </c>
      <c r="J282" s="2" t="s">
        <v>465</v>
      </c>
      <c r="K282" s="5">
        <v>35760419</v>
      </c>
      <c r="L282" s="2" t="s">
        <v>85</v>
      </c>
      <c r="M282" s="2" t="s">
        <v>86</v>
      </c>
      <c r="N282" s="6">
        <v>44182.569328703707</v>
      </c>
      <c r="O282" s="4">
        <v>573584.71</v>
      </c>
      <c r="P282" s="2">
        <v>114725</v>
      </c>
      <c r="Q282" s="2" t="s">
        <v>486</v>
      </c>
      <c r="R282" s="2" t="s">
        <v>487</v>
      </c>
      <c r="S282" s="2" t="s">
        <v>69</v>
      </c>
      <c r="T282" s="2" t="s">
        <v>468</v>
      </c>
      <c r="W282" s="4">
        <v>713.84</v>
      </c>
      <c r="X282" s="4">
        <v>856.60800000000006</v>
      </c>
      <c r="Y282" s="4">
        <f t="shared" ref="Y282" si="312">INDEX(InternalRates,MATCH($S282,InternalRates01,FALSE),2)</f>
        <v>278.98333333333335</v>
      </c>
      <c r="Z282" s="3" t="str">
        <f t="shared" si="286"/>
        <v>Nie</v>
      </c>
      <c r="AA282" s="3" t="str">
        <f t="shared" si="287"/>
        <v>SLA</v>
      </c>
      <c r="AB282" s="4">
        <v>46.25</v>
      </c>
      <c r="AD282" s="3" t="s">
        <v>48</v>
      </c>
      <c r="AE282" s="6">
        <v>44424</v>
      </c>
      <c r="AF282" s="3" t="s">
        <v>59</v>
      </c>
      <c r="AG282" s="3" t="s">
        <v>60</v>
      </c>
      <c r="AH282" s="3">
        <f>YEAR(SrcDB[[#This Row],[Datum_zverejnenia]])</f>
        <v>2020</v>
      </c>
      <c r="AI282" s="3" cm="1">
        <f t="array" ref="AI282">COUNT(_xlfn.UNIQUE(_xlfn._xlws.FILTER(SrcDB[ID],SrcDB[Objednavatel_ICO]=$H282)))</f>
        <v>25</v>
      </c>
      <c r="AJ282" s="3" cm="1">
        <f t="array" ref="AJ282">COUNT(_xlfn.UNIQUE(_xlfn._xlws.FILTER(SrcDB[ID],SrcDB[Dodavatel_ICO]=$K282)))</f>
        <v>34</v>
      </c>
      <c r="AK282" s="3">
        <f t="shared" si="289"/>
        <v>1</v>
      </c>
      <c r="AL282" s="3">
        <f t="shared" si="290"/>
        <v>1</v>
      </c>
      <c r="AM282" s="17" t="str">
        <f>IF(SrcDB[[#This Row],[Pocet zmluv objednavatela]]&gt;3,SrcDB[[#This Row],[Objednavatel]],"Ostatné")</f>
        <v>Finančné riaditeľstvo SR</v>
      </c>
      <c r="AN282" s="17" t="str">
        <f>IF(SrcDB[[#This Row],[Pocet zmluv dodavatela]]&gt;3,SrcDB[[#This Row],[Dodavatel]],"Ostatné")</f>
        <v>Asseco Central Europe, a.s.</v>
      </c>
    </row>
    <row r="283" spans="1:40" x14ac:dyDescent="0.3">
      <c r="A283" s="2" t="s">
        <v>485</v>
      </c>
      <c r="B283" s="2">
        <v>5323715</v>
      </c>
      <c r="C283" s="3" t="str">
        <f t="shared" si="281"/>
        <v>Nejasné</v>
      </c>
      <c r="D283" s="3" t="str">
        <f t="shared" si="282"/>
        <v>Nejasné</v>
      </c>
      <c r="E283" s="3" t="s">
        <v>48</v>
      </c>
      <c r="F283" s="3" t="s">
        <v>49</v>
      </c>
      <c r="G283" s="2" t="str">
        <f t="shared" si="283"/>
        <v>Malé zmluvy</v>
      </c>
      <c r="H283" s="5">
        <v>42499500</v>
      </c>
      <c r="I283" s="2" t="s">
        <v>464</v>
      </c>
      <c r="J283" s="2" t="s">
        <v>465</v>
      </c>
      <c r="K283" s="5">
        <v>35760419</v>
      </c>
      <c r="L283" s="2" t="s">
        <v>85</v>
      </c>
      <c r="M283" s="2" t="s">
        <v>86</v>
      </c>
      <c r="N283" s="6">
        <v>44182.569328703707</v>
      </c>
      <c r="O283" s="4">
        <v>573584.71</v>
      </c>
      <c r="P283" s="2">
        <v>114725</v>
      </c>
      <c r="Q283" s="2" t="s">
        <v>486</v>
      </c>
      <c r="R283" s="2" t="s">
        <v>487</v>
      </c>
      <c r="S283" s="2" t="s">
        <v>73</v>
      </c>
      <c r="T283" s="2" t="s">
        <v>469</v>
      </c>
      <c r="W283" s="4">
        <v>713.84</v>
      </c>
      <c r="X283" s="4">
        <v>856.60800000000006</v>
      </c>
      <c r="Y283" s="4">
        <f t="shared" ref="Y283" si="313">INDEX(InternalRates,MATCH($S283,InternalRates01,FALSE),2)</f>
        <v>278.98333333333335</v>
      </c>
      <c r="Z283" s="3" t="str">
        <f t="shared" si="286"/>
        <v>Nie</v>
      </c>
      <c r="AA283" s="3" t="str">
        <f t="shared" si="287"/>
        <v>SLA</v>
      </c>
      <c r="AB283" s="4">
        <v>248</v>
      </c>
      <c r="AD283" s="3" t="s">
        <v>48</v>
      </c>
      <c r="AE283" s="6">
        <v>44424</v>
      </c>
      <c r="AF283" s="3" t="s">
        <v>59</v>
      </c>
      <c r="AG283" s="3" t="s">
        <v>60</v>
      </c>
      <c r="AH283" s="3">
        <f>YEAR(SrcDB[[#This Row],[Datum_zverejnenia]])</f>
        <v>2020</v>
      </c>
      <c r="AI283" s="3" cm="1">
        <f t="array" ref="AI283">COUNT(_xlfn.UNIQUE(_xlfn._xlws.FILTER(SrcDB[ID],SrcDB[Objednavatel_ICO]=$H283)))</f>
        <v>25</v>
      </c>
      <c r="AJ283" s="3" cm="1">
        <f t="array" ref="AJ283">COUNT(_xlfn.UNIQUE(_xlfn._xlws.FILTER(SrcDB[ID],SrcDB[Dodavatel_ICO]=$K283)))</f>
        <v>34</v>
      </c>
      <c r="AK283" s="3">
        <f t="shared" si="289"/>
        <v>0</v>
      </c>
      <c r="AL283" s="3">
        <f t="shared" si="290"/>
        <v>0</v>
      </c>
      <c r="AM283" s="17" t="str">
        <f>IF(SrcDB[[#This Row],[Pocet zmluv objednavatela]]&gt;3,SrcDB[[#This Row],[Objednavatel]],"Ostatné")</f>
        <v>Finančné riaditeľstvo SR</v>
      </c>
      <c r="AN283" s="17" t="str">
        <f>IF(SrcDB[[#This Row],[Pocet zmluv dodavatela]]&gt;3,SrcDB[[#This Row],[Dodavatel]],"Ostatné")</f>
        <v>Asseco Central Europe, a.s.</v>
      </c>
    </row>
    <row r="284" spans="1:40" x14ac:dyDescent="0.3">
      <c r="A284" s="2" t="s">
        <v>485</v>
      </c>
      <c r="B284" s="2">
        <v>5323715</v>
      </c>
      <c r="C284" s="3" t="str">
        <f t="shared" si="281"/>
        <v>Nejasné</v>
      </c>
      <c r="D284" s="3" t="str">
        <f t="shared" si="282"/>
        <v>Nejasné</v>
      </c>
      <c r="E284" s="3" t="s">
        <v>48</v>
      </c>
      <c r="F284" s="3" t="s">
        <v>49</v>
      </c>
      <c r="G284" s="2" t="str">
        <f t="shared" si="283"/>
        <v>Malé zmluvy</v>
      </c>
      <c r="H284" s="5">
        <v>42499500</v>
      </c>
      <c r="I284" s="2" t="s">
        <v>464</v>
      </c>
      <c r="J284" s="2" t="s">
        <v>465</v>
      </c>
      <c r="K284" s="5">
        <v>35760419</v>
      </c>
      <c r="L284" s="2" t="s">
        <v>85</v>
      </c>
      <c r="M284" s="2" t="s">
        <v>86</v>
      </c>
      <c r="N284" s="6">
        <v>44182</v>
      </c>
      <c r="O284" s="4">
        <v>573584.71</v>
      </c>
      <c r="P284" s="2">
        <v>114725</v>
      </c>
      <c r="Q284" s="2" t="s">
        <v>486</v>
      </c>
      <c r="R284" s="2" t="s">
        <v>487</v>
      </c>
      <c r="S284" s="2" t="s">
        <v>56</v>
      </c>
      <c r="T284" s="2" t="s">
        <v>470</v>
      </c>
      <c r="U284" s="2" t="s">
        <v>460</v>
      </c>
      <c r="W284" s="4">
        <v>713.84</v>
      </c>
      <c r="X284" s="4">
        <v>856.60800000000006</v>
      </c>
      <c r="Y284" s="4">
        <f t="shared" ref="Y284" si="314">INDEX(InternalRates,MATCH($S284,InternalRates01,FALSE),2)</f>
        <v>278.98333333333335</v>
      </c>
      <c r="Z284" s="3" t="str">
        <f t="shared" si="286"/>
        <v>Nie</v>
      </c>
      <c r="AA284" s="3" t="str">
        <f t="shared" si="287"/>
        <v>SLA</v>
      </c>
      <c r="AB284" s="4">
        <v>72</v>
      </c>
      <c r="AD284" s="3" t="s">
        <v>48</v>
      </c>
      <c r="AE284" s="6">
        <v>44424</v>
      </c>
      <c r="AF284" s="3" t="s">
        <v>59</v>
      </c>
      <c r="AG284" s="3" t="s">
        <v>60</v>
      </c>
      <c r="AH284" s="3">
        <f>YEAR(SrcDB[[#This Row],[Datum_zverejnenia]])</f>
        <v>2020</v>
      </c>
      <c r="AI284" s="3" cm="1">
        <f t="array" ref="AI284">COUNT(_xlfn.UNIQUE(_xlfn._xlws.FILTER(SrcDB[ID],SrcDB[Objednavatel_ICO]=$H284)))</f>
        <v>25</v>
      </c>
      <c r="AJ284" s="3" cm="1">
        <f t="array" ref="AJ284">COUNT(_xlfn.UNIQUE(_xlfn._xlws.FILTER(SrcDB[ID],SrcDB[Dodavatel_ICO]=$K284)))</f>
        <v>34</v>
      </c>
      <c r="AK284" s="3">
        <f t="shared" si="289"/>
        <v>0</v>
      </c>
      <c r="AL284" s="3">
        <f t="shared" si="290"/>
        <v>0</v>
      </c>
      <c r="AM284" s="17" t="str">
        <f>IF(SrcDB[[#This Row],[Pocet zmluv objednavatela]]&gt;3,SrcDB[[#This Row],[Objednavatel]],"Ostatné")</f>
        <v>Finančné riaditeľstvo SR</v>
      </c>
      <c r="AN284" s="17" t="str">
        <f>IF(SrcDB[[#This Row],[Pocet zmluv dodavatela]]&gt;3,SrcDB[[#This Row],[Dodavatel]],"Ostatné")</f>
        <v>Asseco Central Europe, a.s.</v>
      </c>
    </row>
    <row r="285" spans="1:40" x14ac:dyDescent="0.3">
      <c r="A285" s="2" t="s">
        <v>485</v>
      </c>
      <c r="B285" s="2">
        <v>5323715</v>
      </c>
      <c r="C285" s="3" t="str">
        <f t="shared" si="281"/>
        <v>Nejasné</v>
      </c>
      <c r="D285" s="3" t="str">
        <f t="shared" si="282"/>
        <v>Nejasné</v>
      </c>
      <c r="E285" s="3" t="s">
        <v>48</v>
      </c>
      <c r="F285" s="3" t="s">
        <v>49</v>
      </c>
      <c r="G285" s="2" t="str">
        <f t="shared" si="283"/>
        <v>Malé zmluvy</v>
      </c>
      <c r="H285" s="5">
        <v>42499500</v>
      </c>
      <c r="I285" s="2" t="s">
        <v>464</v>
      </c>
      <c r="J285" s="2" t="s">
        <v>465</v>
      </c>
      <c r="K285" s="5">
        <v>35760419</v>
      </c>
      <c r="L285" s="2" t="s">
        <v>85</v>
      </c>
      <c r="M285" s="2" t="s">
        <v>86</v>
      </c>
      <c r="N285" s="6">
        <v>44182</v>
      </c>
      <c r="O285" s="4">
        <v>573584.71</v>
      </c>
      <c r="P285" s="2">
        <v>114725</v>
      </c>
      <c r="Q285" s="2" t="s">
        <v>486</v>
      </c>
      <c r="R285" s="2" t="s">
        <v>487</v>
      </c>
      <c r="S285" s="2" t="s">
        <v>77</v>
      </c>
      <c r="T285" s="2" t="s">
        <v>471</v>
      </c>
      <c r="W285" s="4">
        <v>713.84</v>
      </c>
      <c r="X285" s="4">
        <v>856.60800000000006</v>
      </c>
      <c r="Y285" s="4">
        <f t="shared" ref="Y285" si="315">INDEX(InternalRates,MATCH($S285,InternalRates01,FALSE),2)</f>
        <v>278.98333333333335</v>
      </c>
      <c r="Z285" s="3" t="str">
        <f t="shared" si="286"/>
        <v>Nie</v>
      </c>
      <c r="AA285" s="3" t="str">
        <f t="shared" si="287"/>
        <v>SLA</v>
      </c>
      <c r="AB285" s="4">
        <v>243.75</v>
      </c>
      <c r="AD285" s="3" t="s">
        <v>48</v>
      </c>
      <c r="AE285" s="6">
        <v>44424</v>
      </c>
      <c r="AF285" s="3" t="s">
        <v>59</v>
      </c>
      <c r="AG285" s="3" t="s">
        <v>60</v>
      </c>
      <c r="AH285" s="3">
        <f>YEAR(SrcDB[[#This Row],[Datum_zverejnenia]])</f>
        <v>2020</v>
      </c>
      <c r="AI285" s="3" cm="1">
        <f t="array" ref="AI285">COUNT(_xlfn.UNIQUE(_xlfn._xlws.FILTER(SrcDB[ID],SrcDB[Objednavatel_ICO]=$H285)))</f>
        <v>25</v>
      </c>
      <c r="AJ285" s="3" cm="1">
        <f t="array" ref="AJ285">COUNT(_xlfn.UNIQUE(_xlfn._xlws.FILTER(SrcDB[ID],SrcDB[Dodavatel_ICO]=$K285)))</f>
        <v>34</v>
      </c>
      <c r="AK285" s="3">
        <f t="shared" si="289"/>
        <v>0</v>
      </c>
      <c r="AL285" s="3">
        <f t="shared" si="290"/>
        <v>0</v>
      </c>
      <c r="AM285" s="17" t="str">
        <f>IF(SrcDB[[#This Row],[Pocet zmluv objednavatela]]&gt;3,SrcDB[[#This Row],[Objednavatel]],"Ostatné")</f>
        <v>Finančné riaditeľstvo SR</v>
      </c>
      <c r="AN285" s="17" t="str">
        <f>IF(SrcDB[[#This Row],[Pocet zmluv dodavatela]]&gt;3,SrcDB[[#This Row],[Dodavatel]],"Ostatné")</f>
        <v>Asseco Central Europe, a.s.</v>
      </c>
    </row>
    <row r="286" spans="1:40" x14ac:dyDescent="0.3">
      <c r="A286" s="2" t="s">
        <v>485</v>
      </c>
      <c r="B286" s="2">
        <v>5323715</v>
      </c>
      <c r="C286" s="3" t="str">
        <f t="shared" si="281"/>
        <v>Nejasné</v>
      </c>
      <c r="D286" s="3" t="str">
        <f t="shared" si="282"/>
        <v>Nejasné</v>
      </c>
      <c r="E286" s="3" t="s">
        <v>48</v>
      </c>
      <c r="F286" s="3" t="s">
        <v>49</v>
      </c>
      <c r="G286" s="2" t="str">
        <f t="shared" si="283"/>
        <v>Malé zmluvy</v>
      </c>
      <c r="H286" s="5">
        <v>42499500</v>
      </c>
      <c r="I286" s="2" t="s">
        <v>464</v>
      </c>
      <c r="J286" s="2" t="s">
        <v>465</v>
      </c>
      <c r="K286" s="5">
        <v>35760419</v>
      </c>
      <c r="L286" s="2" t="s">
        <v>85</v>
      </c>
      <c r="M286" s="2" t="s">
        <v>86</v>
      </c>
      <c r="N286" s="6">
        <v>44182</v>
      </c>
      <c r="O286" s="4">
        <v>573584.71</v>
      </c>
      <c r="P286" s="2">
        <v>114725</v>
      </c>
      <c r="Q286" s="2" t="s">
        <v>486</v>
      </c>
      <c r="R286" s="2" t="s">
        <v>487</v>
      </c>
      <c r="S286" s="2" t="s">
        <v>79</v>
      </c>
      <c r="T286" s="2" t="s">
        <v>472</v>
      </c>
      <c r="W286" s="4">
        <v>713.84</v>
      </c>
      <c r="X286" s="4">
        <v>856.60800000000006</v>
      </c>
      <c r="Y286" s="4">
        <f t="shared" ref="Y286" si="316">INDEX(InternalRates,MATCH($S286,InternalRates01,FALSE),2)</f>
        <v>278.98333333333335</v>
      </c>
      <c r="Z286" s="3" t="str">
        <f t="shared" si="286"/>
        <v>Nie</v>
      </c>
      <c r="AA286" s="3" t="str">
        <f t="shared" si="287"/>
        <v>SLA</v>
      </c>
      <c r="AB286" s="4">
        <v>121.5</v>
      </c>
      <c r="AD286" s="3" t="s">
        <v>48</v>
      </c>
      <c r="AE286" s="6">
        <v>44424</v>
      </c>
      <c r="AF286" s="3" t="s">
        <v>59</v>
      </c>
      <c r="AG286" s="3" t="s">
        <v>60</v>
      </c>
      <c r="AH286" s="3">
        <f>YEAR(SrcDB[[#This Row],[Datum_zverejnenia]])</f>
        <v>2020</v>
      </c>
      <c r="AI286" s="3" cm="1">
        <f t="array" ref="AI286">COUNT(_xlfn.UNIQUE(_xlfn._xlws.FILTER(SrcDB[ID],SrcDB[Objednavatel_ICO]=$H286)))</f>
        <v>25</v>
      </c>
      <c r="AJ286" s="3" cm="1">
        <f t="array" ref="AJ286">COUNT(_xlfn.UNIQUE(_xlfn._xlws.FILTER(SrcDB[ID],SrcDB[Dodavatel_ICO]=$K286)))</f>
        <v>34</v>
      </c>
      <c r="AK286" s="3">
        <f t="shared" si="289"/>
        <v>0</v>
      </c>
      <c r="AL286" s="3">
        <f t="shared" si="290"/>
        <v>0</v>
      </c>
      <c r="AM286" s="17" t="str">
        <f>IF(SrcDB[[#This Row],[Pocet zmluv objednavatela]]&gt;3,SrcDB[[#This Row],[Objednavatel]],"Ostatné")</f>
        <v>Finančné riaditeľstvo SR</v>
      </c>
      <c r="AN286" s="17" t="str">
        <f>IF(SrcDB[[#This Row],[Pocet zmluv dodavatela]]&gt;3,SrcDB[[#This Row],[Dodavatel]],"Ostatné")</f>
        <v>Asseco Central Europe, a.s.</v>
      </c>
    </row>
    <row r="287" spans="1:40" x14ac:dyDescent="0.3">
      <c r="A287" s="2" t="s">
        <v>485</v>
      </c>
      <c r="B287" s="2">
        <v>5323715</v>
      </c>
      <c r="C287" s="3" t="str">
        <f t="shared" si="281"/>
        <v>Nejasné</v>
      </c>
      <c r="D287" s="3" t="str">
        <f t="shared" si="282"/>
        <v>Nejasné</v>
      </c>
      <c r="E287" s="3" t="s">
        <v>48</v>
      </c>
      <c r="F287" s="3" t="s">
        <v>49</v>
      </c>
      <c r="G287" s="2" t="str">
        <f t="shared" si="283"/>
        <v>Malé zmluvy</v>
      </c>
      <c r="H287" s="5">
        <v>42499500</v>
      </c>
      <c r="I287" s="2" t="s">
        <v>464</v>
      </c>
      <c r="J287" s="2" t="s">
        <v>465</v>
      </c>
      <c r="K287" s="5">
        <v>35760419</v>
      </c>
      <c r="L287" s="2" t="s">
        <v>85</v>
      </c>
      <c r="M287" s="2" t="s">
        <v>86</v>
      </c>
      <c r="N287" s="6">
        <v>44182</v>
      </c>
      <c r="O287" s="4">
        <v>573584.71</v>
      </c>
      <c r="P287" s="2">
        <v>114725</v>
      </c>
      <c r="Q287" s="2" t="s">
        <v>486</v>
      </c>
      <c r="R287" s="2" t="s">
        <v>487</v>
      </c>
      <c r="S287" s="2" t="s">
        <v>160</v>
      </c>
      <c r="T287" s="2" t="s">
        <v>473</v>
      </c>
      <c r="W287" s="4">
        <v>713.84</v>
      </c>
      <c r="X287" s="4">
        <v>856.60800000000006</v>
      </c>
      <c r="Y287" s="4">
        <f t="shared" ref="Y287" si="317">INDEX(InternalRates,MATCH($S287,InternalRates01,FALSE),2)</f>
        <v>231.85833333333335</v>
      </c>
      <c r="Z287" s="3" t="str">
        <f t="shared" si="286"/>
        <v>Nie</v>
      </c>
      <c r="AA287" s="3" t="str">
        <f t="shared" si="287"/>
        <v>SLA</v>
      </c>
      <c r="AB287" s="4">
        <v>0</v>
      </c>
      <c r="AD287" s="3" t="s">
        <v>48</v>
      </c>
      <c r="AE287" s="6">
        <v>44424</v>
      </c>
      <c r="AF287" s="3" t="s">
        <v>59</v>
      </c>
      <c r="AG287" s="3" t="s">
        <v>60</v>
      </c>
      <c r="AH287" s="3">
        <f>YEAR(SrcDB[[#This Row],[Datum_zverejnenia]])</f>
        <v>2020</v>
      </c>
      <c r="AI287" s="3" cm="1">
        <f t="array" ref="AI287">COUNT(_xlfn.UNIQUE(_xlfn._xlws.FILTER(SrcDB[ID],SrcDB[Objednavatel_ICO]=$H287)))</f>
        <v>25</v>
      </c>
      <c r="AJ287" s="3" cm="1">
        <f t="array" ref="AJ287">COUNT(_xlfn.UNIQUE(_xlfn._xlws.FILTER(SrcDB[ID],SrcDB[Dodavatel_ICO]=$K287)))</f>
        <v>34</v>
      </c>
      <c r="AK287" s="3">
        <f t="shared" si="289"/>
        <v>0</v>
      </c>
      <c r="AL287" s="3">
        <f t="shared" si="290"/>
        <v>0</v>
      </c>
      <c r="AM287" s="17" t="str">
        <f>IF(SrcDB[[#This Row],[Pocet zmluv objednavatela]]&gt;3,SrcDB[[#This Row],[Objednavatel]],"Ostatné")</f>
        <v>Finančné riaditeľstvo SR</v>
      </c>
      <c r="AN287" s="17" t="str">
        <f>IF(SrcDB[[#This Row],[Pocet zmluv dodavatela]]&gt;3,SrcDB[[#This Row],[Dodavatel]],"Ostatné")</f>
        <v>Asseco Central Europe, a.s.</v>
      </c>
    </row>
    <row r="288" spans="1:40" x14ac:dyDescent="0.3">
      <c r="A288" s="2" t="s">
        <v>485</v>
      </c>
      <c r="B288" s="2">
        <v>5323715</v>
      </c>
      <c r="C288" s="3" t="str">
        <f t="shared" si="281"/>
        <v>Nejasné</v>
      </c>
      <c r="D288" s="3" t="str">
        <f t="shared" si="282"/>
        <v>Nejasné</v>
      </c>
      <c r="E288" s="3" t="s">
        <v>48</v>
      </c>
      <c r="F288" s="3" t="s">
        <v>49</v>
      </c>
      <c r="G288" s="2" t="str">
        <f t="shared" si="283"/>
        <v>Malé zmluvy</v>
      </c>
      <c r="H288" s="5">
        <v>42499500</v>
      </c>
      <c r="I288" s="2" t="s">
        <v>464</v>
      </c>
      <c r="J288" s="2" t="s">
        <v>465</v>
      </c>
      <c r="K288" s="5">
        <v>35760419</v>
      </c>
      <c r="L288" s="2" t="s">
        <v>85</v>
      </c>
      <c r="M288" s="2" t="s">
        <v>86</v>
      </c>
      <c r="N288" s="6">
        <v>44182</v>
      </c>
      <c r="O288" s="4">
        <v>573584.71</v>
      </c>
      <c r="P288" s="2">
        <v>114725</v>
      </c>
      <c r="Q288" s="2" t="s">
        <v>486</v>
      </c>
      <c r="R288" s="2" t="s">
        <v>487</v>
      </c>
      <c r="S288" s="2" t="s">
        <v>100</v>
      </c>
      <c r="T288" s="2" t="s">
        <v>474</v>
      </c>
      <c r="W288" s="4">
        <v>713.84</v>
      </c>
      <c r="X288" s="4">
        <v>856.60800000000006</v>
      </c>
      <c r="Y288" s="4">
        <f t="shared" ref="Y288" si="318">INDEX(InternalRates,MATCH($S288,InternalRates01,FALSE),2)</f>
        <v>278.98333333333335</v>
      </c>
      <c r="Z288" s="3" t="str">
        <f t="shared" si="286"/>
        <v>Nie</v>
      </c>
      <c r="AA288" s="3" t="str">
        <f t="shared" si="287"/>
        <v>SLA</v>
      </c>
      <c r="AB288" s="4">
        <v>6</v>
      </c>
      <c r="AD288" s="3" t="s">
        <v>48</v>
      </c>
      <c r="AE288" s="6">
        <v>44424</v>
      </c>
      <c r="AF288" s="3" t="s">
        <v>59</v>
      </c>
      <c r="AG288" s="3" t="s">
        <v>60</v>
      </c>
      <c r="AH288" s="3">
        <f>YEAR(SrcDB[[#This Row],[Datum_zverejnenia]])</f>
        <v>2020</v>
      </c>
      <c r="AI288" s="3" cm="1">
        <f t="array" ref="AI288">COUNT(_xlfn.UNIQUE(_xlfn._xlws.FILTER(SrcDB[ID],SrcDB[Objednavatel_ICO]=$H288)))</f>
        <v>25</v>
      </c>
      <c r="AJ288" s="3" cm="1">
        <f t="array" ref="AJ288">COUNT(_xlfn.UNIQUE(_xlfn._xlws.FILTER(SrcDB[ID],SrcDB[Dodavatel_ICO]=$K288)))</f>
        <v>34</v>
      </c>
      <c r="AK288" s="3">
        <f t="shared" si="289"/>
        <v>0</v>
      </c>
      <c r="AL288" s="3">
        <f t="shared" si="290"/>
        <v>0</v>
      </c>
      <c r="AM288" s="17" t="str">
        <f>IF(SrcDB[[#This Row],[Pocet zmluv objednavatela]]&gt;3,SrcDB[[#This Row],[Objednavatel]],"Ostatné")</f>
        <v>Finančné riaditeľstvo SR</v>
      </c>
      <c r="AN288" s="17" t="str">
        <f>IF(SrcDB[[#This Row],[Pocet zmluv dodavatela]]&gt;3,SrcDB[[#This Row],[Dodavatel]],"Ostatné")</f>
        <v>Asseco Central Europe, a.s.</v>
      </c>
    </row>
    <row r="289" spans="1:40" x14ac:dyDescent="0.3">
      <c r="A289" s="2" t="s">
        <v>485</v>
      </c>
      <c r="B289" s="2">
        <v>5323715</v>
      </c>
      <c r="C289" s="3" t="str">
        <f t="shared" si="281"/>
        <v>Nejasné</v>
      </c>
      <c r="D289" s="3" t="str">
        <f t="shared" si="282"/>
        <v>Nejasné</v>
      </c>
      <c r="E289" s="3" t="s">
        <v>48</v>
      </c>
      <c r="F289" s="3" t="s">
        <v>49</v>
      </c>
      <c r="G289" s="2" t="str">
        <f t="shared" si="283"/>
        <v>Malé zmluvy</v>
      </c>
      <c r="H289" s="5">
        <v>42499500</v>
      </c>
      <c r="I289" s="2" t="s">
        <v>464</v>
      </c>
      <c r="J289" s="2" t="s">
        <v>465</v>
      </c>
      <c r="K289" s="5">
        <v>35760419</v>
      </c>
      <c r="L289" s="2" t="s">
        <v>85</v>
      </c>
      <c r="M289" s="2" t="s">
        <v>86</v>
      </c>
      <c r="N289" s="6">
        <v>44182</v>
      </c>
      <c r="O289" s="4">
        <v>573584.71</v>
      </c>
      <c r="P289" s="2">
        <v>114725</v>
      </c>
      <c r="Q289" s="2" t="s">
        <v>486</v>
      </c>
      <c r="R289" s="2" t="s">
        <v>487</v>
      </c>
      <c r="S289" s="2" t="s">
        <v>160</v>
      </c>
      <c r="T289" s="2" t="s">
        <v>475</v>
      </c>
      <c r="W289" s="4">
        <v>713.84</v>
      </c>
      <c r="X289" s="4">
        <v>856.60800000000006</v>
      </c>
      <c r="Y289" s="4">
        <f t="shared" ref="Y289" si="319">INDEX(InternalRates,MATCH($S289,InternalRates01,FALSE),2)</f>
        <v>231.85833333333335</v>
      </c>
      <c r="Z289" s="3" t="str">
        <f t="shared" si="286"/>
        <v>Nie</v>
      </c>
      <c r="AA289" s="3" t="str">
        <f t="shared" si="287"/>
        <v>SLA</v>
      </c>
      <c r="AB289" s="4">
        <v>0</v>
      </c>
      <c r="AD289" s="3" t="s">
        <v>48</v>
      </c>
      <c r="AE289" s="6">
        <v>44424</v>
      </c>
      <c r="AF289" s="3" t="s">
        <v>59</v>
      </c>
      <c r="AG289" s="3" t="s">
        <v>60</v>
      </c>
      <c r="AH289" s="3">
        <f>YEAR(SrcDB[[#This Row],[Datum_zverejnenia]])</f>
        <v>2020</v>
      </c>
      <c r="AI289" s="3" cm="1">
        <f t="array" ref="AI289">COUNT(_xlfn.UNIQUE(_xlfn._xlws.FILTER(SrcDB[ID],SrcDB[Objednavatel_ICO]=$H289)))</f>
        <v>25</v>
      </c>
      <c r="AJ289" s="3" cm="1">
        <f t="array" ref="AJ289">COUNT(_xlfn.UNIQUE(_xlfn._xlws.FILTER(SrcDB[ID],SrcDB[Dodavatel_ICO]=$K289)))</f>
        <v>34</v>
      </c>
      <c r="AK289" s="3">
        <f t="shared" si="289"/>
        <v>0</v>
      </c>
      <c r="AL289" s="3">
        <f t="shared" si="290"/>
        <v>0</v>
      </c>
      <c r="AM289" s="17" t="str">
        <f>IF(SrcDB[[#This Row],[Pocet zmluv objednavatela]]&gt;3,SrcDB[[#This Row],[Objednavatel]],"Ostatné")</f>
        <v>Finančné riaditeľstvo SR</v>
      </c>
      <c r="AN289" s="17" t="str">
        <f>IF(SrcDB[[#This Row],[Pocet zmluv dodavatela]]&gt;3,SrcDB[[#This Row],[Dodavatel]],"Ostatné")</f>
        <v>Asseco Central Europe, a.s.</v>
      </c>
    </row>
    <row r="290" spans="1:40" x14ac:dyDescent="0.3">
      <c r="A290" s="2" t="s">
        <v>485</v>
      </c>
      <c r="B290" s="2">
        <v>5323715</v>
      </c>
      <c r="C290" s="3" t="str">
        <f t="shared" si="281"/>
        <v>Nejasné</v>
      </c>
      <c r="D290" s="3" t="str">
        <f t="shared" si="282"/>
        <v>Nejasné</v>
      </c>
      <c r="E290" s="3" t="s">
        <v>48</v>
      </c>
      <c r="F290" s="3" t="s">
        <v>49</v>
      </c>
      <c r="G290" s="2" t="str">
        <f t="shared" si="283"/>
        <v>Malé zmluvy</v>
      </c>
      <c r="H290" s="5">
        <v>42499500</v>
      </c>
      <c r="I290" s="2" t="s">
        <v>464</v>
      </c>
      <c r="J290" s="2" t="s">
        <v>465</v>
      </c>
      <c r="K290" s="5">
        <v>35760419</v>
      </c>
      <c r="L290" s="2" t="s">
        <v>85</v>
      </c>
      <c r="M290" s="2" t="s">
        <v>86</v>
      </c>
      <c r="N290" s="6">
        <v>44182</v>
      </c>
      <c r="O290" s="4">
        <v>573584.71</v>
      </c>
      <c r="P290" s="2">
        <v>114725</v>
      </c>
      <c r="Q290" s="2" t="s">
        <v>486</v>
      </c>
      <c r="R290" s="2" t="s">
        <v>487</v>
      </c>
      <c r="S290" s="2" t="s">
        <v>160</v>
      </c>
      <c r="T290" s="2" t="s">
        <v>476</v>
      </c>
      <c r="W290" s="4">
        <v>713.84</v>
      </c>
      <c r="X290" s="4">
        <v>856.60800000000006</v>
      </c>
      <c r="Y290" s="4">
        <f t="shared" ref="Y290" si="320">INDEX(InternalRates,MATCH($S290,InternalRates01,FALSE),2)</f>
        <v>231.85833333333335</v>
      </c>
      <c r="Z290" s="3" t="str">
        <f t="shared" si="286"/>
        <v>Nie</v>
      </c>
      <c r="AA290" s="3" t="str">
        <f t="shared" si="287"/>
        <v>SLA</v>
      </c>
      <c r="AB290" s="4">
        <v>0</v>
      </c>
      <c r="AD290" s="3" t="s">
        <v>48</v>
      </c>
      <c r="AE290" s="6">
        <v>44424</v>
      </c>
      <c r="AF290" s="3" t="s">
        <v>59</v>
      </c>
      <c r="AG290" s="3" t="s">
        <v>60</v>
      </c>
      <c r="AH290" s="3">
        <f>YEAR(SrcDB[[#This Row],[Datum_zverejnenia]])</f>
        <v>2020</v>
      </c>
      <c r="AI290" s="3" cm="1">
        <f t="array" ref="AI290">COUNT(_xlfn.UNIQUE(_xlfn._xlws.FILTER(SrcDB[ID],SrcDB[Objednavatel_ICO]=$H290)))</f>
        <v>25</v>
      </c>
      <c r="AJ290" s="3" cm="1">
        <f t="array" ref="AJ290">COUNT(_xlfn.UNIQUE(_xlfn._xlws.FILTER(SrcDB[ID],SrcDB[Dodavatel_ICO]=$K290)))</f>
        <v>34</v>
      </c>
      <c r="AK290" s="3">
        <f t="shared" si="289"/>
        <v>0</v>
      </c>
      <c r="AL290" s="3">
        <f t="shared" si="290"/>
        <v>0</v>
      </c>
      <c r="AM290" s="17" t="str">
        <f>IF(SrcDB[[#This Row],[Pocet zmluv objednavatela]]&gt;3,SrcDB[[#This Row],[Objednavatel]],"Ostatné")</f>
        <v>Finančné riaditeľstvo SR</v>
      </c>
      <c r="AN290" s="17" t="str">
        <f>IF(SrcDB[[#This Row],[Pocet zmluv dodavatela]]&gt;3,SrcDB[[#This Row],[Dodavatel]],"Ostatné")</f>
        <v>Asseco Central Europe, a.s.</v>
      </c>
    </row>
    <row r="291" spans="1:40" x14ac:dyDescent="0.3">
      <c r="A291" s="2" t="s">
        <v>485</v>
      </c>
      <c r="B291" s="2">
        <v>5323715</v>
      </c>
      <c r="C291" s="3" t="str">
        <f t="shared" si="281"/>
        <v>Nejasné</v>
      </c>
      <c r="D291" s="3" t="str">
        <f t="shared" si="282"/>
        <v>Nejasné</v>
      </c>
      <c r="E291" s="3" t="s">
        <v>48</v>
      </c>
      <c r="F291" s="3" t="s">
        <v>49</v>
      </c>
      <c r="G291" s="2" t="str">
        <f t="shared" si="283"/>
        <v>Malé zmluvy</v>
      </c>
      <c r="H291" s="5">
        <v>42499500</v>
      </c>
      <c r="I291" s="2" t="s">
        <v>464</v>
      </c>
      <c r="J291" s="2" t="s">
        <v>465</v>
      </c>
      <c r="K291" s="5">
        <v>35760419</v>
      </c>
      <c r="L291" s="2" t="s">
        <v>85</v>
      </c>
      <c r="M291" s="2" t="s">
        <v>86</v>
      </c>
      <c r="N291" s="6">
        <v>44182</v>
      </c>
      <c r="O291" s="4">
        <v>573584.71</v>
      </c>
      <c r="P291" s="2">
        <v>114725</v>
      </c>
      <c r="Q291" s="2" t="s">
        <v>486</v>
      </c>
      <c r="R291" s="2" t="s">
        <v>487</v>
      </c>
      <c r="S291" s="2" t="s">
        <v>160</v>
      </c>
      <c r="T291" s="2" t="s">
        <v>477</v>
      </c>
      <c r="W291" s="4">
        <v>713.84</v>
      </c>
      <c r="X291" s="4">
        <v>856.60800000000006</v>
      </c>
      <c r="Y291" s="4">
        <f t="shared" ref="Y291" si="321">INDEX(InternalRates,MATCH($S291,InternalRates01,FALSE),2)</f>
        <v>231.85833333333335</v>
      </c>
      <c r="Z291" s="3" t="str">
        <f t="shared" si="286"/>
        <v>Nie</v>
      </c>
      <c r="AA291" s="3" t="str">
        <f t="shared" si="287"/>
        <v>SLA</v>
      </c>
      <c r="AB291" s="4">
        <v>6.5</v>
      </c>
      <c r="AD291" s="3" t="s">
        <v>48</v>
      </c>
      <c r="AE291" s="6">
        <v>44424</v>
      </c>
      <c r="AF291" s="3" t="s">
        <v>59</v>
      </c>
      <c r="AG291" s="3" t="s">
        <v>60</v>
      </c>
      <c r="AH291" s="3">
        <f>YEAR(SrcDB[[#This Row],[Datum_zverejnenia]])</f>
        <v>2020</v>
      </c>
      <c r="AI291" s="3" cm="1">
        <f t="array" ref="AI291">COUNT(_xlfn.UNIQUE(_xlfn._xlws.FILTER(SrcDB[ID],SrcDB[Objednavatel_ICO]=$H291)))</f>
        <v>25</v>
      </c>
      <c r="AJ291" s="3" cm="1">
        <f t="array" ref="AJ291">COUNT(_xlfn.UNIQUE(_xlfn._xlws.FILTER(SrcDB[ID],SrcDB[Dodavatel_ICO]=$K291)))</f>
        <v>34</v>
      </c>
      <c r="AK291" s="3">
        <f t="shared" si="289"/>
        <v>0</v>
      </c>
      <c r="AL291" s="3">
        <f t="shared" si="290"/>
        <v>0</v>
      </c>
      <c r="AM291" s="17" t="str">
        <f>IF(SrcDB[[#This Row],[Pocet zmluv objednavatela]]&gt;3,SrcDB[[#This Row],[Objednavatel]],"Ostatné")</f>
        <v>Finančné riaditeľstvo SR</v>
      </c>
      <c r="AN291" s="17" t="str">
        <f>IF(SrcDB[[#This Row],[Pocet zmluv dodavatela]]&gt;3,SrcDB[[#This Row],[Dodavatel]],"Ostatné")</f>
        <v>Asseco Central Europe, a.s.</v>
      </c>
    </row>
    <row r="292" spans="1:40" x14ac:dyDescent="0.3">
      <c r="A292" s="2" t="s">
        <v>488</v>
      </c>
      <c r="B292" s="2">
        <v>5334862</v>
      </c>
      <c r="C292" s="3" t="str">
        <f t="shared" si="281"/>
        <v>Nie</v>
      </c>
      <c r="D292" s="3" t="str">
        <f t="shared" si="282"/>
        <v>Áno</v>
      </c>
      <c r="E292" s="3" t="s">
        <v>48</v>
      </c>
      <c r="F292" s="3" t="s">
        <v>49</v>
      </c>
      <c r="G292" s="2" t="str">
        <f t="shared" si="283"/>
        <v>Stredné zmluvy</v>
      </c>
      <c r="H292" s="5">
        <v>35829141</v>
      </c>
      <c r="I292" s="2" t="s">
        <v>177</v>
      </c>
      <c r="J292" s="2" t="s">
        <v>178</v>
      </c>
      <c r="K292" s="5" t="s">
        <v>420</v>
      </c>
      <c r="L292" s="2" t="s">
        <v>421</v>
      </c>
      <c r="M292" s="2" t="s">
        <v>422</v>
      </c>
      <c r="N292" s="6">
        <v>44187.772592592592</v>
      </c>
      <c r="O292" s="4">
        <v>1492424.27</v>
      </c>
      <c r="P292" s="2">
        <v>358672</v>
      </c>
      <c r="Q292" s="2" t="s">
        <v>489</v>
      </c>
      <c r="R292" s="2" t="s">
        <v>490</v>
      </c>
      <c r="S292" s="2" t="s">
        <v>56</v>
      </c>
      <c r="T292" s="2" t="s">
        <v>491</v>
      </c>
      <c r="U292" s="2" t="s">
        <v>58</v>
      </c>
      <c r="W292" s="4">
        <v>720</v>
      </c>
      <c r="X292" s="4">
        <v>864</v>
      </c>
      <c r="Y292" s="4">
        <f t="shared" ref="Y292" si="322">INDEX(InternalRates,MATCH($S292,InternalRates01,FALSE),2)</f>
        <v>278.98333333333335</v>
      </c>
      <c r="Z292" s="3" t="str">
        <f t="shared" si="286"/>
        <v>Nie</v>
      </c>
      <c r="AA292" s="3" t="str">
        <f t="shared" si="287"/>
        <v>SLA</v>
      </c>
      <c r="AB292" s="4">
        <v>900</v>
      </c>
      <c r="AD292" s="3" t="s">
        <v>48</v>
      </c>
      <c r="AE292" s="6">
        <v>44508</v>
      </c>
      <c r="AF292" s="3" t="s">
        <v>59</v>
      </c>
      <c r="AG292" s="3" t="s">
        <v>60</v>
      </c>
      <c r="AH292" s="3">
        <f>YEAR(SrcDB[[#This Row],[Datum_zverejnenia]])</f>
        <v>2020</v>
      </c>
      <c r="AI292" s="3" cm="1">
        <f t="array" ref="AI292">COUNT(_xlfn.UNIQUE(_xlfn._xlws.FILTER(SrcDB[ID],SrcDB[Objednavatel_ICO]=$H292)))</f>
        <v>8</v>
      </c>
      <c r="AJ292" s="3" cm="1">
        <f t="array" ref="AJ292">COUNT(_xlfn.UNIQUE(_xlfn._xlws.FILTER(SrcDB[ID],SrcDB[Dodavatel_ICO]=$K292)))</f>
        <v>6</v>
      </c>
      <c r="AK292" s="3">
        <f t="shared" si="289"/>
        <v>1</v>
      </c>
      <c r="AL292" s="3">
        <f t="shared" si="290"/>
        <v>1</v>
      </c>
      <c r="AM292" s="17" t="str">
        <f>IF(SrcDB[[#This Row],[Pocet zmluv objednavatela]]&gt;3,SrcDB[[#This Row],[Objednavatel]],"Ostatné")</f>
        <v>Slovenská elektrizačná prenosová sústava, a.s.</v>
      </c>
      <c r="AN292" s="17" t="str">
        <f>IF(SrcDB[[#This Row],[Pocet zmluv dodavatela]]&gt;3,SrcDB[[#This Row],[Dodavatel]],"Ostatné")</f>
        <v>NESS Slovensko, a.s.</v>
      </c>
    </row>
    <row r="293" spans="1:40" x14ac:dyDescent="0.3">
      <c r="A293" s="2" t="s">
        <v>492</v>
      </c>
      <c r="B293" s="2">
        <v>5378689</v>
      </c>
      <c r="C293" s="3" t="str">
        <f t="shared" si="281"/>
        <v>Áno</v>
      </c>
      <c r="D293" s="3" t="str">
        <f t="shared" si="282"/>
        <v>Áno</v>
      </c>
      <c r="E293" s="3" t="s">
        <v>49</v>
      </c>
      <c r="F293" s="3" t="s">
        <v>49</v>
      </c>
      <c r="G293" s="2" t="str">
        <f t="shared" si="283"/>
        <v>Veľké zmluvy</v>
      </c>
      <c r="H293" s="5" t="s">
        <v>493</v>
      </c>
      <c r="I293" s="2" t="s">
        <v>494</v>
      </c>
      <c r="J293" s="2" t="s">
        <v>495</v>
      </c>
      <c r="K293" s="5">
        <v>31385401</v>
      </c>
      <c r="L293" s="2" t="s">
        <v>142</v>
      </c>
      <c r="M293" s="2" t="s">
        <v>496</v>
      </c>
      <c r="N293" s="6">
        <v>44194.584861111114</v>
      </c>
      <c r="O293" s="4">
        <v>16241040</v>
      </c>
      <c r="P293" s="2">
        <v>114565</v>
      </c>
      <c r="Q293" s="2" t="s">
        <v>497</v>
      </c>
      <c r="R293" s="2" t="s">
        <v>498</v>
      </c>
      <c r="S293" s="2" t="s">
        <v>71</v>
      </c>
      <c r="T293" s="2" t="s">
        <v>196</v>
      </c>
      <c r="W293" s="4">
        <v>885</v>
      </c>
      <c r="X293" s="4">
        <v>1062</v>
      </c>
      <c r="Y293" s="4">
        <f t="shared" ref="Y293" si="323">INDEX(InternalRates,MATCH($S293,InternalRates01,FALSE),2)</f>
        <v>354.0333333333333</v>
      </c>
      <c r="Z293" s="3" t="str">
        <f t="shared" si="286"/>
        <v>Nie</v>
      </c>
      <c r="AA293" s="3" t="str">
        <f t="shared" si="287"/>
        <v>SLA+ZoD</v>
      </c>
      <c r="AB293" s="4">
        <v>78</v>
      </c>
      <c r="AD293" s="3" t="s">
        <v>48</v>
      </c>
      <c r="AE293" s="6">
        <v>44417</v>
      </c>
      <c r="AF293" s="3" t="s">
        <v>59</v>
      </c>
      <c r="AG293" s="3" t="s">
        <v>49</v>
      </c>
      <c r="AH293" s="3">
        <f>YEAR(SrcDB[[#This Row],[Datum_zverejnenia]])</f>
        <v>2020</v>
      </c>
      <c r="AI293" s="3" cm="1">
        <f t="array" ref="AI293">COUNT(_xlfn.UNIQUE(_xlfn._xlws.FILTER(SrcDB[ID],SrcDB[Objednavatel_ICO]=$H293)))</f>
        <v>1</v>
      </c>
      <c r="AJ293" s="3" cm="1">
        <f t="array" ref="AJ293">COUNT(_xlfn.UNIQUE(_xlfn._xlws.FILTER(SrcDB[ID],SrcDB[Dodavatel_ICO]=$K293)))</f>
        <v>14</v>
      </c>
      <c r="AK293" s="3">
        <f t="shared" si="289"/>
        <v>1</v>
      </c>
      <c r="AL293" s="3">
        <f t="shared" si="290"/>
        <v>1</v>
      </c>
      <c r="AM293" s="17" t="str">
        <f>IF(SrcDB[[#This Row],[Pocet zmluv objednavatela]]&gt;3,SrcDB[[#This Row],[Objednavatel]],"Ostatné")</f>
        <v>Ostatné</v>
      </c>
      <c r="AN293" s="17" t="str">
        <f>IF(SrcDB[[#This Row],[Pocet zmluv dodavatela]]&gt;3,SrcDB[[#This Row],[Dodavatel]],"Ostatné")</f>
        <v>DITEC, a.s.</v>
      </c>
    </row>
    <row r="294" spans="1:40" x14ac:dyDescent="0.3">
      <c r="A294" s="2" t="s">
        <v>492</v>
      </c>
      <c r="B294" s="2">
        <v>5378689</v>
      </c>
      <c r="C294" s="3" t="str">
        <f t="shared" si="281"/>
        <v>Áno</v>
      </c>
      <c r="D294" s="3" t="str">
        <f t="shared" si="282"/>
        <v>Áno</v>
      </c>
      <c r="E294" s="3" t="s">
        <v>49</v>
      </c>
      <c r="F294" s="3" t="s">
        <v>49</v>
      </c>
      <c r="G294" s="2" t="str">
        <f t="shared" si="283"/>
        <v>Veľké zmluvy</v>
      </c>
      <c r="H294" s="5" t="s">
        <v>493</v>
      </c>
      <c r="I294" s="2" t="s">
        <v>494</v>
      </c>
      <c r="J294" s="2" t="s">
        <v>495</v>
      </c>
      <c r="K294" s="5">
        <v>31385401</v>
      </c>
      <c r="L294" s="2" t="s">
        <v>142</v>
      </c>
      <c r="M294" s="2" t="s">
        <v>496</v>
      </c>
      <c r="N294" s="6">
        <v>44194.584861111114</v>
      </c>
      <c r="O294" s="4">
        <v>16241040</v>
      </c>
      <c r="P294" s="2">
        <v>114565</v>
      </c>
      <c r="Q294" s="2" t="s">
        <v>497</v>
      </c>
      <c r="R294" s="2" t="s">
        <v>498</v>
      </c>
      <c r="S294" s="2" t="s">
        <v>73</v>
      </c>
      <c r="T294" s="2" t="s">
        <v>90</v>
      </c>
      <c r="W294" s="4">
        <v>740</v>
      </c>
      <c r="X294" s="4">
        <v>888</v>
      </c>
      <c r="Y294" s="4">
        <f t="shared" ref="Y294" si="324">INDEX(InternalRates,MATCH($S294,InternalRates01,FALSE),2)</f>
        <v>278.98333333333335</v>
      </c>
      <c r="Z294" s="3" t="str">
        <f t="shared" si="286"/>
        <v>Nie</v>
      </c>
      <c r="AA294" s="3" t="str">
        <f t="shared" si="287"/>
        <v>SLA+ZoD</v>
      </c>
      <c r="AB294" s="4">
        <v>79</v>
      </c>
      <c r="AD294" s="3" t="s">
        <v>48</v>
      </c>
      <c r="AE294" s="6">
        <v>44417</v>
      </c>
      <c r="AF294" s="3" t="s">
        <v>59</v>
      </c>
      <c r="AG294" s="3" t="s">
        <v>49</v>
      </c>
      <c r="AH294" s="3">
        <f>YEAR(SrcDB[[#This Row],[Datum_zverejnenia]])</f>
        <v>2020</v>
      </c>
      <c r="AI294" s="3" cm="1">
        <f t="array" ref="AI294">COUNT(_xlfn.UNIQUE(_xlfn._xlws.FILTER(SrcDB[ID],SrcDB[Objednavatel_ICO]=$H294)))</f>
        <v>1</v>
      </c>
      <c r="AJ294" s="3" cm="1">
        <f t="array" ref="AJ294">COUNT(_xlfn.UNIQUE(_xlfn._xlws.FILTER(SrcDB[ID],SrcDB[Dodavatel_ICO]=$K294)))</f>
        <v>14</v>
      </c>
      <c r="AK294" s="3">
        <f t="shared" si="289"/>
        <v>0</v>
      </c>
      <c r="AL294" s="3">
        <f t="shared" si="290"/>
        <v>0</v>
      </c>
      <c r="AM294" s="17" t="str">
        <f>IF(SrcDB[[#This Row],[Pocet zmluv objednavatela]]&gt;3,SrcDB[[#This Row],[Objednavatel]],"Ostatné")</f>
        <v>Ostatné</v>
      </c>
      <c r="AN294" s="17" t="str">
        <f>IF(SrcDB[[#This Row],[Pocet zmluv dodavatela]]&gt;3,SrcDB[[#This Row],[Dodavatel]],"Ostatné")</f>
        <v>DITEC, a.s.</v>
      </c>
    </row>
    <row r="295" spans="1:40" x14ac:dyDescent="0.3">
      <c r="A295" s="2" t="s">
        <v>492</v>
      </c>
      <c r="B295" s="2">
        <v>5378689</v>
      </c>
      <c r="C295" s="3" t="str">
        <f t="shared" si="281"/>
        <v>Áno</v>
      </c>
      <c r="D295" s="3" t="str">
        <f t="shared" si="282"/>
        <v>Áno</v>
      </c>
      <c r="E295" s="3" t="s">
        <v>49</v>
      </c>
      <c r="F295" s="3" t="s">
        <v>49</v>
      </c>
      <c r="G295" s="2" t="str">
        <f t="shared" si="283"/>
        <v>Veľké zmluvy</v>
      </c>
      <c r="H295" s="5" t="s">
        <v>493</v>
      </c>
      <c r="I295" s="2" t="s">
        <v>494</v>
      </c>
      <c r="J295" s="2" t="s">
        <v>495</v>
      </c>
      <c r="K295" s="5">
        <v>31385401</v>
      </c>
      <c r="L295" s="2" t="s">
        <v>142</v>
      </c>
      <c r="M295" s="2" t="s">
        <v>496</v>
      </c>
      <c r="N295" s="6">
        <v>44194</v>
      </c>
      <c r="O295" s="4">
        <v>16241040</v>
      </c>
      <c r="P295" s="2">
        <v>114565</v>
      </c>
      <c r="Q295" s="2" t="s">
        <v>497</v>
      </c>
      <c r="R295" s="2" t="s">
        <v>498</v>
      </c>
      <c r="S295" s="2" t="s">
        <v>56</v>
      </c>
      <c r="T295" s="2" t="s">
        <v>94</v>
      </c>
      <c r="U295" s="2" t="s">
        <v>95</v>
      </c>
      <c r="W295" s="4">
        <v>860</v>
      </c>
      <c r="X295" s="4">
        <v>1032</v>
      </c>
      <c r="Y295" s="4">
        <f t="shared" ref="Y295" si="325">INDEX(InternalRates,MATCH($S295,InternalRates01,FALSE),2)</f>
        <v>278.98333333333335</v>
      </c>
      <c r="Z295" s="3" t="str">
        <f t="shared" si="286"/>
        <v>Nie</v>
      </c>
      <c r="AA295" s="3" t="str">
        <f t="shared" si="287"/>
        <v>SLA+ZoD</v>
      </c>
      <c r="AB295" s="4">
        <v>58</v>
      </c>
      <c r="AD295" s="3" t="s">
        <v>48</v>
      </c>
      <c r="AE295" s="6">
        <v>44417</v>
      </c>
      <c r="AF295" s="3" t="s">
        <v>59</v>
      </c>
      <c r="AG295" s="3" t="s">
        <v>49</v>
      </c>
      <c r="AH295" s="3">
        <f>YEAR(SrcDB[[#This Row],[Datum_zverejnenia]])</f>
        <v>2020</v>
      </c>
      <c r="AI295" s="3" cm="1">
        <f t="array" ref="AI295">COUNT(_xlfn.UNIQUE(_xlfn._xlws.FILTER(SrcDB[ID],SrcDB[Objednavatel_ICO]=$H295)))</f>
        <v>1</v>
      </c>
      <c r="AJ295" s="3" cm="1">
        <f t="array" ref="AJ295">COUNT(_xlfn.UNIQUE(_xlfn._xlws.FILTER(SrcDB[ID],SrcDB[Dodavatel_ICO]=$K295)))</f>
        <v>14</v>
      </c>
      <c r="AK295" s="3">
        <f t="shared" si="289"/>
        <v>0</v>
      </c>
      <c r="AL295" s="3">
        <f t="shared" si="290"/>
        <v>0</v>
      </c>
      <c r="AM295" s="17" t="str">
        <f>IF(SrcDB[[#This Row],[Pocet zmluv objednavatela]]&gt;3,SrcDB[[#This Row],[Objednavatel]],"Ostatné")</f>
        <v>Ostatné</v>
      </c>
      <c r="AN295" s="17" t="str">
        <f>IF(SrcDB[[#This Row],[Pocet zmluv dodavatela]]&gt;3,SrcDB[[#This Row],[Dodavatel]],"Ostatné")</f>
        <v>DITEC, a.s.</v>
      </c>
    </row>
    <row r="296" spans="1:40" x14ac:dyDescent="0.3">
      <c r="A296" s="2" t="s">
        <v>492</v>
      </c>
      <c r="B296" s="2">
        <v>5378689</v>
      </c>
      <c r="C296" s="3" t="str">
        <f t="shared" si="281"/>
        <v>Áno</v>
      </c>
      <c r="D296" s="3" t="str">
        <f t="shared" si="282"/>
        <v>Áno</v>
      </c>
      <c r="E296" s="3" t="s">
        <v>49</v>
      </c>
      <c r="F296" s="3" t="s">
        <v>49</v>
      </c>
      <c r="G296" s="2" t="str">
        <f t="shared" si="283"/>
        <v>Veľké zmluvy</v>
      </c>
      <c r="H296" s="5" t="s">
        <v>493</v>
      </c>
      <c r="I296" s="2" t="s">
        <v>494</v>
      </c>
      <c r="J296" s="2" t="s">
        <v>495</v>
      </c>
      <c r="K296" s="5">
        <v>31385401</v>
      </c>
      <c r="L296" s="2" t="s">
        <v>142</v>
      </c>
      <c r="M296" s="2" t="s">
        <v>496</v>
      </c>
      <c r="N296" s="6">
        <v>44194</v>
      </c>
      <c r="O296" s="4">
        <v>16241040</v>
      </c>
      <c r="P296" s="2">
        <v>114565</v>
      </c>
      <c r="Q296" s="2" t="s">
        <v>497</v>
      </c>
      <c r="R296" s="2" t="s">
        <v>498</v>
      </c>
      <c r="S296" s="2" t="s">
        <v>56</v>
      </c>
      <c r="T296" s="2" t="s">
        <v>286</v>
      </c>
      <c r="U296" s="2" t="s">
        <v>129</v>
      </c>
      <c r="W296" s="4">
        <v>900</v>
      </c>
      <c r="X296" s="4">
        <v>1080</v>
      </c>
      <c r="Y296" s="4">
        <f t="shared" ref="Y296" si="326">INDEX(InternalRates,MATCH($S296,InternalRates01,FALSE),2)</f>
        <v>278.98333333333335</v>
      </c>
      <c r="Z296" s="3" t="str">
        <f t="shared" si="286"/>
        <v>Nie</v>
      </c>
      <c r="AA296" s="3" t="str">
        <f t="shared" si="287"/>
        <v>SLA+ZoD</v>
      </c>
      <c r="AB296" s="4">
        <v>53</v>
      </c>
      <c r="AD296" s="3" t="s">
        <v>48</v>
      </c>
      <c r="AE296" s="6">
        <v>44417</v>
      </c>
      <c r="AF296" s="3" t="s">
        <v>59</v>
      </c>
      <c r="AG296" s="3" t="s">
        <v>49</v>
      </c>
      <c r="AH296" s="3">
        <f>YEAR(SrcDB[[#This Row],[Datum_zverejnenia]])</f>
        <v>2020</v>
      </c>
      <c r="AI296" s="3" cm="1">
        <f t="array" ref="AI296">COUNT(_xlfn.UNIQUE(_xlfn._xlws.FILTER(SrcDB[ID],SrcDB[Objednavatel_ICO]=$H296)))</f>
        <v>1</v>
      </c>
      <c r="AJ296" s="3" cm="1">
        <f t="array" ref="AJ296">COUNT(_xlfn.UNIQUE(_xlfn._xlws.FILTER(SrcDB[ID],SrcDB[Dodavatel_ICO]=$K296)))</f>
        <v>14</v>
      </c>
      <c r="AK296" s="3">
        <f t="shared" si="289"/>
        <v>0</v>
      </c>
      <c r="AL296" s="3">
        <f t="shared" si="290"/>
        <v>0</v>
      </c>
      <c r="AM296" s="17" t="str">
        <f>IF(SrcDB[[#This Row],[Pocet zmluv objednavatela]]&gt;3,SrcDB[[#This Row],[Objednavatel]],"Ostatné")</f>
        <v>Ostatné</v>
      </c>
      <c r="AN296" s="17" t="str">
        <f>IF(SrcDB[[#This Row],[Pocet zmluv dodavatela]]&gt;3,SrcDB[[#This Row],[Dodavatel]],"Ostatné")</f>
        <v>DITEC, a.s.</v>
      </c>
    </row>
    <row r="297" spans="1:40" x14ac:dyDescent="0.3">
      <c r="A297" s="2" t="s">
        <v>492</v>
      </c>
      <c r="B297" s="2">
        <v>5378689</v>
      </c>
      <c r="C297" s="3" t="str">
        <f t="shared" si="281"/>
        <v>Áno</v>
      </c>
      <c r="D297" s="3" t="str">
        <f t="shared" si="282"/>
        <v>Áno</v>
      </c>
      <c r="E297" s="3" t="s">
        <v>49</v>
      </c>
      <c r="F297" s="3" t="s">
        <v>49</v>
      </c>
      <c r="G297" s="2" t="str">
        <f t="shared" si="283"/>
        <v>Veľké zmluvy</v>
      </c>
      <c r="H297" s="5" t="s">
        <v>493</v>
      </c>
      <c r="I297" s="2" t="s">
        <v>494</v>
      </c>
      <c r="J297" s="2" t="s">
        <v>495</v>
      </c>
      <c r="K297" s="5">
        <v>31385401</v>
      </c>
      <c r="L297" s="2" t="s">
        <v>142</v>
      </c>
      <c r="M297" s="2" t="s">
        <v>496</v>
      </c>
      <c r="N297" s="6">
        <v>44194</v>
      </c>
      <c r="O297" s="4">
        <v>16241040</v>
      </c>
      <c r="P297" s="2">
        <v>114565</v>
      </c>
      <c r="Q297" s="2" t="s">
        <v>497</v>
      </c>
      <c r="R297" s="2" t="s">
        <v>498</v>
      </c>
      <c r="S297" s="2" t="s">
        <v>69</v>
      </c>
      <c r="T297" s="2" t="s">
        <v>285</v>
      </c>
      <c r="W297" s="4">
        <v>865</v>
      </c>
      <c r="X297" s="4">
        <v>1038</v>
      </c>
      <c r="Y297" s="4">
        <f t="shared" ref="Y297" si="327">INDEX(InternalRates,MATCH($S297,InternalRates01,FALSE),2)</f>
        <v>278.98333333333335</v>
      </c>
      <c r="Z297" s="3" t="str">
        <f t="shared" si="286"/>
        <v>Nie</v>
      </c>
      <c r="AA297" s="3" t="str">
        <f t="shared" si="287"/>
        <v>SLA+ZoD</v>
      </c>
      <c r="AB297" s="4">
        <v>79</v>
      </c>
      <c r="AD297" s="3" t="s">
        <v>48</v>
      </c>
      <c r="AE297" s="6">
        <v>44417</v>
      </c>
      <c r="AF297" s="3" t="s">
        <v>59</v>
      </c>
      <c r="AG297" s="3" t="s">
        <v>49</v>
      </c>
      <c r="AH297" s="3">
        <f>YEAR(SrcDB[[#This Row],[Datum_zverejnenia]])</f>
        <v>2020</v>
      </c>
      <c r="AI297" s="3" cm="1">
        <f t="array" ref="AI297">COUNT(_xlfn.UNIQUE(_xlfn._xlws.FILTER(SrcDB[ID],SrcDB[Objednavatel_ICO]=$H297)))</f>
        <v>1</v>
      </c>
      <c r="AJ297" s="3" cm="1">
        <f t="array" ref="AJ297">COUNT(_xlfn.UNIQUE(_xlfn._xlws.FILTER(SrcDB[ID],SrcDB[Dodavatel_ICO]=$K297)))</f>
        <v>14</v>
      </c>
      <c r="AK297" s="3">
        <f t="shared" si="289"/>
        <v>0</v>
      </c>
      <c r="AL297" s="3">
        <f t="shared" si="290"/>
        <v>0</v>
      </c>
      <c r="AM297" s="17" t="str">
        <f>IF(SrcDB[[#This Row],[Pocet zmluv objednavatela]]&gt;3,SrcDB[[#This Row],[Objednavatel]],"Ostatné")</f>
        <v>Ostatné</v>
      </c>
      <c r="AN297" s="17" t="str">
        <f>IF(SrcDB[[#This Row],[Pocet zmluv dodavatela]]&gt;3,SrcDB[[#This Row],[Dodavatel]],"Ostatné")</f>
        <v>DITEC, a.s.</v>
      </c>
    </row>
    <row r="298" spans="1:40" x14ac:dyDescent="0.3">
      <c r="A298" s="2" t="s">
        <v>492</v>
      </c>
      <c r="B298" s="2">
        <v>5378689</v>
      </c>
      <c r="C298" s="3" t="str">
        <f t="shared" si="281"/>
        <v>Áno</v>
      </c>
      <c r="D298" s="3" t="str">
        <f t="shared" si="282"/>
        <v>Áno</v>
      </c>
      <c r="E298" s="3" t="s">
        <v>49</v>
      </c>
      <c r="F298" s="3" t="s">
        <v>49</v>
      </c>
      <c r="G298" s="2" t="str">
        <f t="shared" si="283"/>
        <v>Veľké zmluvy</v>
      </c>
      <c r="H298" s="5" t="s">
        <v>493</v>
      </c>
      <c r="I298" s="2" t="s">
        <v>494</v>
      </c>
      <c r="J298" s="2" t="s">
        <v>495</v>
      </c>
      <c r="K298" s="5">
        <v>31385401</v>
      </c>
      <c r="L298" s="2" t="s">
        <v>142</v>
      </c>
      <c r="M298" s="2" t="s">
        <v>496</v>
      </c>
      <c r="N298" s="6">
        <v>44194</v>
      </c>
      <c r="O298" s="4">
        <v>16241040</v>
      </c>
      <c r="P298" s="2">
        <v>114565</v>
      </c>
      <c r="Q298" s="2" t="s">
        <v>497</v>
      </c>
      <c r="R298" s="2" t="s">
        <v>498</v>
      </c>
      <c r="S298" s="2" t="s">
        <v>77</v>
      </c>
      <c r="T298" s="2" t="s">
        <v>92</v>
      </c>
      <c r="W298" s="4">
        <v>630</v>
      </c>
      <c r="X298" s="4">
        <v>756</v>
      </c>
      <c r="Y298" s="4">
        <f t="shared" ref="Y298" si="328">INDEX(InternalRates,MATCH($S298,InternalRates01,FALSE),2)</f>
        <v>278.98333333333335</v>
      </c>
      <c r="Z298" s="3" t="str">
        <f t="shared" si="286"/>
        <v>Nie</v>
      </c>
      <c r="AA298" s="3" t="str">
        <f t="shared" si="287"/>
        <v>SLA+ZoD</v>
      </c>
      <c r="AB298" s="4">
        <v>24</v>
      </c>
      <c r="AD298" s="3" t="s">
        <v>48</v>
      </c>
      <c r="AE298" s="6">
        <v>44417</v>
      </c>
      <c r="AF298" s="3" t="s">
        <v>59</v>
      </c>
      <c r="AG298" s="3" t="s">
        <v>49</v>
      </c>
      <c r="AH298" s="3">
        <f>YEAR(SrcDB[[#This Row],[Datum_zverejnenia]])</f>
        <v>2020</v>
      </c>
      <c r="AI298" s="3" cm="1">
        <f t="array" ref="AI298">COUNT(_xlfn.UNIQUE(_xlfn._xlws.FILTER(SrcDB[ID],SrcDB[Objednavatel_ICO]=$H298)))</f>
        <v>1</v>
      </c>
      <c r="AJ298" s="3" cm="1">
        <f t="array" ref="AJ298">COUNT(_xlfn.UNIQUE(_xlfn._xlws.FILTER(SrcDB[ID],SrcDB[Dodavatel_ICO]=$K298)))</f>
        <v>14</v>
      </c>
      <c r="AK298" s="3">
        <f t="shared" si="289"/>
        <v>0</v>
      </c>
      <c r="AL298" s="3">
        <f t="shared" si="290"/>
        <v>0</v>
      </c>
      <c r="AM298" s="17" t="str">
        <f>IF(SrcDB[[#This Row],[Pocet zmluv objednavatela]]&gt;3,SrcDB[[#This Row],[Objednavatel]],"Ostatné")</f>
        <v>Ostatné</v>
      </c>
      <c r="AN298" s="17" t="str">
        <f>IF(SrcDB[[#This Row],[Pocet zmluv dodavatela]]&gt;3,SrcDB[[#This Row],[Dodavatel]],"Ostatné")</f>
        <v>DITEC, a.s.</v>
      </c>
    </row>
    <row r="299" spans="1:40" x14ac:dyDescent="0.3">
      <c r="A299" s="2" t="s">
        <v>492</v>
      </c>
      <c r="B299" s="2">
        <v>5378689</v>
      </c>
      <c r="C299" s="3" t="str">
        <f t="shared" si="281"/>
        <v>Áno</v>
      </c>
      <c r="D299" s="3" t="str">
        <f t="shared" si="282"/>
        <v>Áno</v>
      </c>
      <c r="E299" s="3" t="s">
        <v>49</v>
      </c>
      <c r="F299" s="3" t="s">
        <v>49</v>
      </c>
      <c r="G299" s="2" t="str">
        <f t="shared" si="283"/>
        <v>Veľké zmluvy</v>
      </c>
      <c r="H299" s="5" t="s">
        <v>493</v>
      </c>
      <c r="I299" s="2" t="s">
        <v>494</v>
      </c>
      <c r="J299" s="2" t="s">
        <v>495</v>
      </c>
      <c r="K299" s="5">
        <v>31385401</v>
      </c>
      <c r="L299" s="2" t="s">
        <v>142</v>
      </c>
      <c r="M299" s="2" t="s">
        <v>496</v>
      </c>
      <c r="N299" s="6">
        <v>44194</v>
      </c>
      <c r="O299" s="4">
        <v>16241040</v>
      </c>
      <c r="P299" s="2">
        <v>114565</v>
      </c>
      <c r="Q299" s="2" t="s">
        <v>497</v>
      </c>
      <c r="R299" s="2" t="s">
        <v>498</v>
      </c>
      <c r="S299" s="2" t="s">
        <v>79</v>
      </c>
      <c r="T299" s="2" t="s">
        <v>93</v>
      </c>
      <c r="W299" s="4">
        <v>570</v>
      </c>
      <c r="X299" s="4">
        <v>684</v>
      </c>
      <c r="Y299" s="4">
        <f t="shared" ref="Y299" si="329">INDEX(InternalRates,MATCH($S299,InternalRates01,FALSE),2)</f>
        <v>278.98333333333335</v>
      </c>
      <c r="Z299" s="3" t="str">
        <f t="shared" si="286"/>
        <v>Nie</v>
      </c>
      <c r="AA299" s="3" t="str">
        <f t="shared" si="287"/>
        <v>SLA+ZoD</v>
      </c>
      <c r="AB299" s="4">
        <v>16</v>
      </c>
      <c r="AD299" s="3" t="s">
        <v>48</v>
      </c>
      <c r="AE299" s="6">
        <v>44417</v>
      </c>
      <c r="AF299" s="3" t="s">
        <v>59</v>
      </c>
      <c r="AG299" s="3" t="s">
        <v>49</v>
      </c>
      <c r="AH299" s="3">
        <f>YEAR(SrcDB[[#This Row],[Datum_zverejnenia]])</f>
        <v>2020</v>
      </c>
      <c r="AI299" s="3" cm="1">
        <f t="array" ref="AI299">COUNT(_xlfn.UNIQUE(_xlfn._xlws.FILTER(SrcDB[ID],SrcDB[Objednavatel_ICO]=$H299)))</f>
        <v>1</v>
      </c>
      <c r="AJ299" s="3" cm="1">
        <f t="array" ref="AJ299">COUNT(_xlfn.UNIQUE(_xlfn._xlws.FILTER(SrcDB[ID],SrcDB[Dodavatel_ICO]=$K299)))</f>
        <v>14</v>
      </c>
      <c r="AK299" s="3">
        <f t="shared" si="289"/>
        <v>0</v>
      </c>
      <c r="AL299" s="3">
        <f t="shared" si="290"/>
        <v>0</v>
      </c>
      <c r="AM299" s="17" t="str">
        <f>IF(SrcDB[[#This Row],[Pocet zmluv objednavatela]]&gt;3,SrcDB[[#This Row],[Objednavatel]],"Ostatné")</f>
        <v>Ostatné</v>
      </c>
      <c r="AN299" s="17" t="str">
        <f>IF(SrcDB[[#This Row],[Pocet zmluv dodavatela]]&gt;3,SrcDB[[#This Row],[Dodavatel]],"Ostatné")</f>
        <v>DITEC, a.s.</v>
      </c>
    </row>
    <row r="300" spans="1:40" x14ac:dyDescent="0.3">
      <c r="A300" s="2" t="s">
        <v>492</v>
      </c>
      <c r="B300" s="2">
        <v>5378689</v>
      </c>
      <c r="C300" s="3" t="str">
        <f t="shared" si="281"/>
        <v>Áno</v>
      </c>
      <c r="D300" s="3" t="str">
        <f t="shared" si="282"/>
        <v>Áno</v>
      </c>
      <c r="E300" s="3" t="s">
        <v>49</v>
      </c>
      <c r="F300" s="3" t="s">
        <v>49</v>
      </c>
      <c r="G300" s="2" t="str">
        <f t="shared" si="283"/>
        <v>Veľké zmluvy</v>
      </c>
      <c r="H300" s="5" t="s">
        <v>493</v>
      </c>
      <c r="I300" s="2" t="s">
        <v>494</v>
      </c>
      <c r="J300" s="2" t="s">
        <v>495</v>
      </c>
      <c r="K300" s="5">
        <v>31385401</v>
      </c>
      <c r="L300" s="2" t="s">
        <v>142</v>
      </c>
      <c r="M300" s="2" t="s">
        <v>496</v>
      </c>
      <c r="N300" s="6">
        <v>44194</v>
      </c>
      <c r="O300" s="4">
        <v>16241040</v>
      </c>
      <c r="P300" s="2">
        <v>114565</v>
      </c>
      <c r="Q300" s="2" t="s">
        <v>497</v>
      </c>
      <c r="R300" s="2" t="s">
        <v>498</v>
      </c>
      <c r="S300" s="2" t="s">
        <v>73</v>
      </c>
      <c r="T300" s="2" t="s">
        <v>90</v>
      </c>
      <c r="W300" s="4">
        <v>630</v>
      </c>
      <c r="X300" s="4">
        <v>756</v>
      </c>
      <c r="Y300" s="4">
        <f t="shared" ref="Y300" si="330">INDEX(InternalRates,MATCH($S300,InternalRates01,FALSE),2)</f>
        <v>278.98333333333335</v>
      </c>
      <c r="Z300" s="3" t="str">
        <f t="shared" si="286"/>
        <v>Nie</v>
      </c>
      <c r="AA300" s="3" t="str">
        <f t="shared" si="287"/>
        <v>SLA+ZoD</v>
      </c>
      <c r="AB300" s="4">
        <v>2</v>
      </c>
      <c r="AD300" s="3" t="s">
        <v>48</v>
      </c>
      <c r="AE300" s="6">
        <v>44417</v>
      </c>
      <c r="AF300" s="3" t="s">
        <v>59</v>
      </c>
      <c r="AG300" s="3" t="s">
        <v>49</v>
      </c>
      <c r="AH300" s="3">
        <f>YEAR(SrcDB[[#This Row],[Datum_zverejnenia]])</f>
        <v>2020</v>
      </c>
      <c r="AI300" s="3" cm="1">
        <f t="array" ref="AI300">COUNT(_xlfn.UNIQUE(_xlfn._xlws.FILTER(SrcDB[ID],SrcDB[Objednavatel_ICO]=$H300)))</f>
        <v>1</v>
      </c>
      <c r="AJ300" s="3" cm="1">
        <f t="array" ref="AJ300">COUNT(_xlfn.UNIQUE(_xlfn._xlws.FILTER(SrcDB[ID],SrcDB[Dodavatel_ICO]=$K300)))</f>
        <v>14</v>
      </c>
      <c r="AK300" s="3">
        <f t="shared" si="289"/>
        <v>0</v>
      </c>
      <c r="AL300" s="3">
        <f t="shared" si="290"/>
        <v>0</v>
      </c>
      <c r="AM300" s="17" t="str">
        <f>IF(SrcDB[[#This Row],[Pocet zmluv objednavatela]]&gt;3,SrcDB[[#This Row],[Objednavatel]],"Ostatné")</f>
        <v>Ostatné</v>
      </c>
      <c r="AN300" s="17" t="str">
        <f>IF(SrcDB[[#This Row],[Pocet zmluv dodavatela]]&gt;3,SrcDB[[#This Row],[Dodavatel]],"Ostatné")</f>
        <v>DITEC, a.s.</v>
      </c>
    </row>
    <row r="301" spans="1:40" x14ac:dyDescent="0.3">
      <c r="A301" s="2" t="s">
        <v>492</v>
      </c>
      <c r="B301" s="2">
        <v>5378689</v>
      </c>
      <c r="C301" s="3" t="str">
        <f t="shared" si="281"/>
        <v>Áno</v>
      </c>
      <c r="D301" s="3" t="str">
        <f t="shared" si="282"/>
        <v>Áno</v>
      </c>
      <c r="E301" s="3" t="s">
        <v>49</v>
      </c>
      <c r="F301" s="3" t="s">
        <v>49</v>
      </c>
      <c r="G301" s="2" t="str">
        <f t="shared" si="283"/>
        <v>Veľké zmluvy</v>
      </c>
      <c r="H301" s="5" t="s">
        <v>493</v>
      </c>
      <c r="I301" s="2" t="s">
        <v>494</v>
      </c>
      <c r="J301" s="2" t="s">
        <v>495</v>
      </c>
      <c r="K301" s="5">
        <v>31385401</v>
      </c>
      <c r="L301" s="2" t="s">
        <v>142</v>
      </c>
      <c r="M301" s="2" t="s">
        <v>496</v>
      </c>
      <c r="N301" s="6">
        <v>44194</v>
      </c>
      <c r="O301" s="4">
        <v>16241040</v>
      </c>
      <c r="P301" s="2">
        <v>114565</v>
      </c>
      <c r="Q301" s="2" t="s">
        <v>497</v>
      </c>
      <c r="R301" s="2" t="s">
        <v>498</v>
      </c>
      <c r="S301" s="2" t="s">
        <v>56</v>
      </c>
      <c r="T301" s="2" t="s">
        <v>288</v>
      </c>
      <c r="U301" s="2" t="s">
        <v>289</v>
      </c>
      <c r="W301" s="4">
        <v>600</v>
      </c>
      <c r="X301" s="4">
        <v>720</v>
      </c>
      <c r="Y301" s="4">
        <f t="shared" ref="Y301" si="331">INDEX(InternalRates,MATCH($S301,InternalRates01,FALSE),2)</f>
        <v>278.98333333333335</v>
      </c>
      <c r="Z301" s="3" t="str">
        <f t="shared" si="286"/>
        <v>Nie</v>
      </c>
      <c r="AA301" s="3" t="str">
        <f t="shared" si="287"/>
        <v>SLA+ZoD</v>
      </c>
      <c r="AB301" s="4">
        <v>6</v>
      </c>
      <c r="AD301" s="3" t="s">
        <v>48</v>
      </c>
      <c r="AE301" s="6">
        <v>44417</v>
      </c>
      <c r="AF301" s="3" t="s">
        <v>59</v>
      </c>
      <c r="AG301" s="3" t="s">
        <v>49</v>
      </c>
      <c r="AH301" s="3">
        <f>YEAR(SrcDB[[#This Row],[Datum_zverejnenia]])</f>
        <v>2020</v>
      </c>
      <c r="AI301" s="3" cm="1">
        <f t="array" ref="AI301">COUNT(_xlfn.UNIQUE(_xlfn._xlws.FILTER(SrcDB[ID],SrcDB[Objednavatel_ICO]=$H301)))</f>
        <v>1</v>
      </c>
      <c r="AJ301" s="3" cm="1">
        <f t="array" ref="AJ301">COUNT(_xlfn.UNIQUE(_xlfn._xlws.FILTER(SrcDB[ID],SrcDB[Dodavatel_ICO]=$K301)))</f>
        <v>14</v>
      </c>
      <c r="AK301" s="3">
        <f t="shared" si="289"/>
        <v>0</v>
      </c>
      <c r="AL301" s="3">
        <f t="shared" si="290"/>
        <v>0</v>
      </c>
      <c r="AM301" s="17" t="str">
        <f>IF(SrcDB[[#This Row],[Pocet zmluv objednavatela]]&gt;3,SrcDB[[#This Row],[Objednavatel]],"Ostatné")</f>
        <v>Ostatné</v>
      </c>
      <c r="AN301" s="17" t="str">
        <f>IF(SrcDB[[#This Row],[Pocet zmluv dodavatela]]&gt;3,SrcDB[[#This Row],[Dodavatel]],"Ostatné")</f>
        <v>DITEC, a.s.</v>
      </c>
    </row>
    <row r="302" spans="1:40" x14ac:dyDescent="0.3">
      <c r="A302" s="2" t="s">
        <v>492</v>
      </c>
      <c r="B302" s="2">
        <v>5378689</v>
      </c>
      <c r="C302" s="3" t="str">
        <f t="shared" si="281"/>
        <v>Áno</v>
      </c>
      <c r="D302" s="3" t="str">
        <f t="shared" si="282"/>
        <v>Áno</v>
      </c>
      <c r="E302" s="3" t="s">
        <v>49</v>
      </c>
      <c r="F302" s="3" t="s">
        <v>49</v>
      </c>
      <c r="G302" s="2" t="str">
        <f t="shared" si="283"/>
        <v>Veľké zmluvy</v>
      </c>
      <c r="H302" s="5" t="s">
        <v>493</v>
      </c>
      <c r="I302" s="2" t="s">
        <v>494</v>
      </c>
      <c r="J302" s="2" t="s">
        <v>495</v>
      </c>
      <c r="K302" s="5">
        <v>31385401</v>
      </c>
      <c r="L302" s="2" t="s">
        <v>142</v>
      </c>
      <c r="M302" s="2" t="s">
        <v>496</v>
      </c>
      <c r="N302" s="6">
        <v>44194</v>
      </c>
      <c r="O302" s="4">
        <v>16241040</v>
      </c>
      <c r="P302" s="2">
        <v>114565</v>
      </c>
      <c r="Q302" s="2" t="s">
        <v>497</v>
      </c>
      <c r="R302" s="2" t="s">
        <v>498</v>
      </c>
      <c r="S302" s="2" t="s">
        <v>56</v>
      </c>
      <c r="T302" s="2" t="s">
        <v>96</v>
      </c>
      <c r="U302" s="2" t="s">
        <v>97</v>
      </c>
      <c r="W302" s="4">
        <v>790</v>
      </c>
      <c r="X302" s="4">
        <v>948</v>
      </c>
      <c r="Y302" s="4">
        <f t="shared" ref="Y302" si="332">INDEX(InternalRates,MATCH($S302,InternalRates01,FALSE),2)</f>
        <v>278.98333333333335</v>
      </c>
      <c r="Z302" s="3" t="str">
        <f t="shared" si="286"/>
        <v>Nie</v>
      </c>
      <c r="AA302" s="3" t="str">
        <f t="shared" si="287"/>
        <v>SLA+ZoD</v>
      </c>
      <c r="AB302" s="4">
        <v>13</v>
      </c>
      <c r="AD302" s="3" t="s">
        <v>48</v>
      </c>
      <c r="AE302" s="6">
        <v>44417</v>
      </c>
      <c r="AF302" s="3" t="s">
        <v>59</v>
      </c>
      <c r="AG302" s="3" t="s">
        <v>49</v>
      </c>
      <c r="AH302" s="3">
        <f>YEAR(SrcDB[[#This Row],[Datum_zverejnenia]])</f>
        <v>2020</v>
      </c>
      <c r="AI302" s="3" cm="1">
        <f t="array" ref="AI302">COUNT(_xlfn.UNIQUE(_xlfn._xlws.FILTER(SrcDB[ID],SrcDB[Objednavatel_ICO]=$H302)))</f>
        <v>1</v>
      </c>
      <c r="AJ302" s="3" cm="1">
        <f t="array" ref="AJ302">COUNT(_xlfn.UNIQUE(_xlfn._xlws.FILTER(SrcDB[ID],SrcDB[Dodavatel_ICO]=$K302)))</f>
        <v>14</v>
      </c>
      <c r="AK302" s="3">
        <f t="shared" si="289"/>
        <v>0</v>
      </c>
      <c r="AL302" s="3">
        <f t="shared" si="290"/>
        <v>0</v>
      </c>
      <c r="AM302" s="17" t="str">
        <f>IF(SrcDB[[#This Row],[Pocet zmluv objednavatela]]&gt;3,SrcDB[[#This Row],[Objednavatel]],"Ostatné")</f>
        <v>Ostatné</v>
      </c>
      <c r="AN302" s="17" t="str">
        <f>IF(SrcDB[[#This Row],[Pocet zmluv dodavatela]]&gt;3,SrcDB[[#This Row],[Dodavatel]],"Ostatné")</f>
        <v>DITEC, a.s.</v>
      </c>
    </row>
    <row r="303" spans="1:40" x14ac:dyDescent="0.3">
      <c r="A303" s="2" t="s">
        <v>492</v>
      </c>
      <c r="B303" s="2">
        <v>5378689</v>
      </c>
      <c r="C303" s="3" t="str">
        <f t="shared" si="281"/>
        <v>Áno</v>
      </c>
      <c r="D303" s="3" t="str">
        <f t="shared" si="282"/>
        <v>Áno</v>
      </c>
      <c r="E303" s="3" t="s">
        <v>49</v>
      </c>
      <c r="F303" s="3" t="s">
        <v>49</v>
      </c>
      <c r="G303" s="2" t="str">
        <f t="shared" si="283"/>
        <v>Veľké zmluvy</v>
      </c>
      <c r="H303" s="5" t="s">
        <v>493</v>
      </c>
      <c r="I303" s="2" t="s">
        <v>494</v>
      </c>
      <c r="J303" s="2" t="s">
        <v>495</v>
      </c>
      <c r="K303" s="5">
        <v>31385401</v>
      </c>
      <c r="L303" s="2" t="s">
        <v>142</v>
      </c>
      <c r="M303" s="2" t="s">
        <v>496</v>
      </c>
      <c r="N303" s="6">
        <v>44194</v>
      </c>
      <c r="O303" s="4">
        <v>16241040</v>
      </c>
      <c r="P303" s="2">
        <v>114565</v>
      </c>
      <c r="Q303" s="2" t="s">
        <v>497</v>
      </c>
      <c r="R303" s="2" t="s">
        <v>498</v>
      </c>
      <c r="S303" s="2" t="s">
        <v>98</v>
      </c>
      <c r="T303" s="2" t="s">
        <v>99</v>
      </c>
      <c r="W303" s="4">
        <v>710</v>
      </c>
      <c r="X303" s="4">
        <v>852</v>
      </c>
      <c r="Y303" s="4">
        <f t="shared" ref="Y303" si="333">INDEX(InternalRates,MATCH($S303,InternalRates01,FALSE),2)</f>
        <v>278.98333333333335</v>
      </c>
      <c r="Z303" s="3" t="str">
        <f t="shared" si="286"/>
        <v>Nie</v>
      </c>
      <c r="AA303" s="3" t="str">
        <f t="shared" si="287"/>
        <v>SLA+ZoD</v>
      </c>
      <c r="AB303" s="4">
        <v>15</v>
      </c>
      <c r="AD303" s="3" t="s">
        <v>48</v>
      </c>
      <c r="AE303" s="6">
        <v>44417</v>
      </c>
      <c r="AF303" s="3" t="s">
        <v>59</v>
      </c>
      <c r="AG303" s="3" t="s">
        <v>49</v>
      </c>
      <c r="AH303" s="3">
        <f>YEAR(SrcDB[[#This Row],[Datum_zverejnenia]])</f>
        <v>2020</v>
      </c>
      <c r="AI303" s="3" cm="1">
        <f t="array" ref="AI303">COUNT(_xlfn.UNIQUE(_xlfn._xlws.FILTER(SrcDB[ID],SrcDB[Objednavatel_ICO]=$H303)))</f>
        <v>1</v>
      </c>
      <c r="AJ303" s="3" cm="1">
        <f t="array" ref="AJ303">COUNT(_xlfn.UNIQUE(_xlfn._xlws.FILTER(SrcDB[ID],SrcDB[Dodavatel_ICO]=$K303)))</f>
        <v>14</v>
      </c>
      <c r="AK303" s="3">
        <f t="shared" si="289"/>
        <v>0</v>
      </c>
      <c r="AL303" s="3">
        <f t="shared" si="290"/>
        <v>0</v>
      </c>
      <c r="AM303" s="17" t="str">
        <f>IF(SrcDB[[#This Row],[Pocet zmluv objednavatela]]&gt;3,SrcDB[[#This Row],[Objednavatel]],"Ostatné")</f>
        <v>Ostatné</v>
      </c>
      <c r="AN303" s="17" t="str">
        <f>IF(SrcDB[[#This Row],[Pocet zmluv dodavatela]]&gt;3,SrcDB[[#This Row],[Dodavatel]],"Ostatné")</f>
        <v>DITEC, a.s.</v>
      </c>
    </row>
    <row r="304" spans="1:40" x14ac:dyDescent="0.3">
      <c r="A304" s="2" t="s">
        <v>268</v>
      </c>
      <c r="B304" s="2">
        <v>5383029</v>
      </c>
      <c r="C304" s="3" t="str">
        <f t="shared" si="281"/>
        <v>Nejasné</v>
      </c>
      <c r="D304" s="3" t="str">
        <f t="shared" si="282"/>
        <v>Nejasné</v>
      </c>
      <c r="E304" s="3" t="s">
        <v>48</v>
      </c>
      <c r="F304" s="3" t="s">
        <v>49</v>
      </c>
      <c r="G304" s="2" t="str">
        <f t="shared" si="283"/>
        <v>Stredné zmluvy</v>
      </c>
      <c r="H304" s="5" t="s">
        <v>153</v>
      </c>
      <c r="I304" s="2" t="s">
        <v>154</v>
      </c>
      <c r="J304" s="2" t="s">
        <v>155</v>
      </c>
      <c r="K304" s="5">
        <v>43953794</v>
      </c>
      <c r="L304" s="2" t="s">
        <v>499</v>
      </c>
      <c r="M304" s="2" t="s">
        <v>500</v>
      </c>
      <c r="N304" s="6">
        <v>44195.555046296293</v>
      </c>
      <c r="O304" s="4">
        <v>6598000</v>
      </c>
      <c r="P304" s="2">
        <v>114725</v>
      </c>
      <c r="Q304" s="2" t="s">
        <v>501</v>
      </c>
      <c r="R304" s="2" t="s">
        <v>502</v>
      </c>
      <c r="S304" s="2" t="s">
        <v>69</v>
      </c>
      <c r="T304" s="2" t="s">
        <v>70</v>
      </c>
      <c r="W304" s="4">
        <v>569</v>
      </c>
      <c r="X304" s="4">
        <v>682.8</v>
      </c>
      <c r="Y304" s="4">
        <f t="shared" ref="Y304" si="334">INDEX(InternalRates,MATCH($S304,InternalRates01,FALSE),2)</f>
        <v>278.98333333333335</v>
      </c>
      <c r="Z304" s="3" t="str">
        <f t="shared" si="286"/>
        <v>Nie</v>
      </c>
      <c r="AA304" s="3" t="str">
        <f t="shared" si="287"/>
        <v>SLA</v>
      </c>
      <c r="AB304" s="4">
        <v>160</v>
      </c>
      <c r="AD304" s="3" t="s">
        <v>48</v>
      </c>
      <c r="AE304" s="6">
        <v>44417</v>
      </c>
      <c r="AF304" s="3" t="s">
        <v>59</v>
      </c>
      <c r="AG304" s="3" t="s">
        <v>49</v>
      </c>
      <c r="AH304" s="3">
        <f>YEAR(SrcDB[[#This Row],[Datum_zverejnenia]])</f>
        <v>2020</v>
      </c>
      <c r="AI304" s="3" cm="1">
        <f t="array" ref="AI304">COUNT(_xlfn.UNIQUE(_xlfn._xlws.FILTER(SrcDB[ID],SrcDB[Objednavatel_ICO]=$H304)))</f>
        <v>4</v>
      </c>
      <c r="AJ304" s="3" cm="1">
        <f t="array" ref="AJ304">COUNT(_xlfn.UNIQUE(_xlfn._xlws.FILTER(SrcDB[ID],SrcDB[Dodavatel_ICO]=$K304)))</f>
        <v>3</v>
      </c>
      <c r="AK304" s="3">
        <f t="shared" si="289"/>
        <v>1</v>
      </c>
      <c r="AL304" s="3">
        <f t="shared" si="290"/>
        <v>1</v>
      </c>
      <c r="AM304" s="17" t="str">
        <f>IF(SrcDB[[#This Row],[Pocet zmluv objednavatela]]&gt;3,SrcDB[[#This Row],[Objednavatel]],"Ostatné")</f>
        <v>DataCentrum</v>
      </c>
      <c r="AN304" s="17" t="str">
        <f>IF(SrcDB[[#This Row],[Pocet zmluv dodavatela]]&gt;3,SrcDB[[#This Row],[Dodavatel]],"Ostatné")</f>
        <v>Ostatné</v>
      </c>
    </row>
    <row r="305" spans="1:40" x14ac:dyDescent="0.3">
      <c r="A305" s="2" t="s">
        <v>268</v>
      </c>
      <c r="B305" s="2">
        <v>5383029</v>
      </c>
      <c r="C305" s="3" t="str">
        <f t="shared" si="281"/>
        <v>Nejasné</v>
      </c>
      <c r="D305" s="3" t="str">
        <f t="shared" si="282"/>
        <v>Nejasné</v>
      </c>
      <c r="E305" s="3" t="s">
        <v>48</v>
      </c>
      <c r="F305" s="3" t="s">
        <v>49</v>
      </c>
      <c r="G305" s="2" t="str">
        <f t="shared" si="283"/>
        <v>Stredné zmluvy</v>
      </c>
      <c r="H305" s="5" t="s">
        <v>153</v>
      </c>
      <c r="I305" s="2" t="s">
        <v>154</v>
      </c>
      <c r="J305" s="2" t="s">
        <v>155</v>
      </c>
      <c r="K305" s="5">
        <v>43953794</v>
      </c>
      <c r="L305" s="2" t="s">
        <v>499</v>
      </c>
      <c r="M305" s="2" t="s">
        <v>500</v>
      </c>
      <c r="N305" s="6">
        <v>44195.555046296293</v>
      </c>
      <c r="O305" s="4">
        <v>6598000</v>
      </c>
      <c r="P305" s="2">
        <v>114725</v>
      </c>
      <c r="Q305" s="2" t="s">
        <v>501</v>
      </c>
      <c r="R305" s="2" t="s">
        <v>502</v>
      </c>
      <c r="S305" s="2" t="s">
        <v>56</v>
      </c>
      <c r="T305" s="2" t="s">
        <v>503</v>
      </c>
      <c r="U305" s="2" t="s">
        <v>95</v>
      </c>
      <c r="W305" s="4">
        <v>569</v>
      </c>
      <c r="X305" s="4">
        <v>682.8</v>
      </c>
      <c r="Y305" s="4">
        <f t="shared" ref="Y305" si="335">INDEX(InternalRates,MATCH($S305,InternalRates01,FALSE),2)</f>
        <v>278.98333333333335</v>
      </c>
      <c r="Z305" s="3" t="str">
        <f t="shared" si="286"/>
        <v>Nie</v>
      </c>
      <c r="AA305" s="3" t="str">
        <f t="shared" si="287"/>
        <v>SLA</v>
      </c>
      <c r="AB305" s="4">
        <v>240</v>
      </c>
      <c r="AD305" s="3" t="s">
        <v>48</v>
      </c>
      <c r="AE305" s="6">
        <v>44417</v>
      </c>
      <c r="AF305" s="3" t="s">
        <v>59</v>
      </c>
      <c r="AG305" s="3" t="s">
        <v>49</v>
      </c>
      <c r="AH305" s="3">
        <f>YEAR(SrcDB[[#This Row],[Datum_zverejnenia]])</f>
        <v>2020</v>
      </c>
      <c r="AI305" s="3" cm="1">
        <f t="array" ref="AI305">COUNT(_xlfn.UNIQUE(_xlfn._xlws.FILTER(SrcDB[ID],SrcDB[Objednavatel_ICO]=$H305)))</f>
        <v>4</v>
      </c>
      <c r="AJ305" s="3" cm="1">
        <f t="array" ref="AJ305">COUNT(_xlfn.UNIQUE(_xlfn._xlws.FILTER(SrcDB[ID],SrcDB[Dodavatel_ICO]=$K305)))</f>
        <v>3</v>
      </c>
      <c r="AK305" s="3">
        <f t="shared" si="289"/>
        <v>0</v>
      </c>
      <c r="AL305" s="3">
        <f t="shared" si="290"/>
        <v>0</v>
      </c>
      <c r="AM305" s="17" t="str">
        <f>IF(SrcDB[[#This Row],[Pocet zmluv objednavatela]]&gt;3,SrcDB[[#This Row],[Objednavatel]],"Ostatné")</f>
        <v>DataCentrum</v>
      </c>
      <c r="AN305" s="17" t="str">
        <f>IF(SrcDB[[#This Row],[Pocet zmluv dodavatela]]&gt;3,SrcDB[[#This Row],[Dodavatel]],"Ostatné")</f>
        <v>Ostatné</v>
      </c>
    </row>
    <row r="306" spans="1:40" x14ac:dyDescent="0.3">
      <c r="A306" s="2" t="s">
        <v>268</v>
      </c>
      <c r="B306" s="2">
        <v>5383029</v>
      </c>
      <c r="C306" s="3" t="str">
        <f t="shared" si="281"/>
        <v>Nejasné</v>
      </c>
      <c r="D306" s="3" t="str">
        <f t="shared" si="282"/>
        <v>Nejasné</v>
      </c>
      <c r="E306" s="3" t="s">
        <v>48</v>
      </c>
      <c r="F306" s="3" t="s">
        <v>49</v>
      </c>
      <c r="G306" s="2" t="str">
        <f t="shared" si="283"/>
        <v>Stredné zmluvy</v>
      </c>
      <c r="H306" s="5" t="s">
        <v>153</v>
      </c>
      <c r="I306" s="2" t="s">
        <v>154</v>
      </c>
      <c r="J306" s="2" t="s">
        <v>155</v>
      </c>
      <c r="K306" s="5">
        <v>43953794</v>
      </c>
      <c r="L306" s="2" t="s">
        <v>499</v>
      </c>
      <c r="M306" s="2" t="s">
        <v>500</v>
      </c>
      <c r="N306" s="6">
        <v>44195</v>
      </c>
      <c r="O306" s="4">
        <v>6598000</v>
      </c>
      <c r="P306" s="2">
        <v>114725</v>
      </c>
      <c r="Q306" s="2" t="s">
        <v>501</v>
      </c>
      <c r="R306" s="2" t="s">
        <v>502</v>
      </c>
      <c r="S306" s="2" t="s">
        <v>73</v>
      </c>
      <c r="T306" s="2" t="s">
        <v>504</v>
      </c>
      <c r="W306" s="4">
        <v>569</v>
      </c>
      <c r="X306" s="4">
        <v>682.8</v>
      </c>
      <c r="Y306" s="4">
        <f t="shared" ref="Y306" si="336">INDEX(InternalRates,MATCH($S306,InternalRates01,FALSE),2)</f>
        <v>278.98333333333335</v>
      </c>
      <c r="Z306" s="3" t="str">
        <f t="shared" si="286"/>
        <v>Nie</v>
      </c>
      <c r="AA306" s="3" t="str">
        <f t="shared" si="287"/>
        <v>SLA</v>
      </c>
      <c r="AB306" s="4">
        <v>240</v>
      </c>
      <c r="AD306" s="3" t="s">
        <v>48</v>
      </c>
      <c r="AE306" s="6">
        <v>44417</v>
      </c>
      <c r="AF306" s="3" t="s">
        <v>59</v>
      </c>
      <c r="AG306" s="3" t="s">
        <v>49</v>
      </c>
      <c r="AH306" s="3">
        <f>YEAR(SrcDB[[#This Row],[Datum_zverejnenia]])</f>
        <v>2020</v>
      </c>
      <c r="AI306" s="3" cm="1">
        <f t="array" ref="AI306">COUNT(_xlfn.UNIQUE(_xlfn._xlws.FILTER(SrcDB[ID],SrcDB[Objednavatel_ICO]=$H306)))</f>
        <v>4</v>
      </c>
      <c r="AJ306" s="3" cm="1">
        <f t="array" ref="AJ306">COUNT(_xlfn.UNIQUE(_xlfn._xlws.FILTER(SrcDB[ID],SrcDB[Dodavatel_ICO]=$K306)))</f>
        <v>3</v>
      </c>
      <c r="AK306" s="3">
        <f t="shared" si="289"/>
        <v>0</v>
      </c>
      <c r="AL306" s="3">
        <f t="shared" si="290"/>
        <v>0</v>
      </c>
      <c r="AM306" s="17" t="str">
        <f>IF(SrcDB[[#This Row],[Pocet zmluv objednavatela]]&gt;3,SrcDB[[#This Row],[Objednavatel]],"Ostatné")</f>
        <v>DataCentrum</v>
      </c>
      <c r="AN306" s="17" t="str">
        <f>IF(SrcDB[[#This Row],[Pocet zmluv dodavatela]]&gt;3,SrcDB[[#This Row],[Dodavatel]],"Ostatné")</f>
        <v>Ostatné</v>
      </c>
    </row>
    <row r="307" spans="1:40" x14ac:dyDescent="0.3">
      <c r="A307" s="2" t="s">
        <v>268</v>
      </c>
      <c r="B307" s="2">
        <v>5383029</v>
      </c>
      <c r="C307" s="3" t="str">
        <f t="shared" si="281"/>
        <v>Nejasné</v>
      </c>
      <c r="D307" s="3" t="str">
        <f t="shared" si="282"/>
        <v>Nejasné</v>
      </c>
      <c r="E307" s="3" t="s">
        <v>48</v>
      </c>
      <c r="F307" s="3" t="s">
        <v>49</v>
      </c>
      <c r="G307" s="2" t="str">
        <f t="shared" si="283"/>
        <v>Stredné zmluvy</v>
      </c>
      <c r="H307" s="5" t="s">
        <v>153</v>
      </c>
      <c r="I307" s="2" t="s">
        <v>154</v>
      </c>
      <c r="J307" s="2" t="s">
        <v>155</v>
      </c>
      <c r="K307" s="5">
        <v>43953794</v>
      </c>
      <c r="L307" s="2" t="s">
        <v>499</v>
      </c>
      <c r="M307" s="2" t="s">
        <v>500</v>
      </c>
      <c r="N307" s="6">
        <v>44195</v>
      </c>
      <c r="O307" s="4">
        <v>6598000</v>
      </c>
      <c r="P307" s="2">
        <v>114725</v>
      </c>
      <c r="Q307" s="2" t="s">
        <v>501</v>
      </c>
      <c r="R307" s="2" t="s">
        <v>502</v>
      </c>
      <c r="S307" s="2" t="s">
        <v>56</v>
      </c>
      <c r="T307" s="2" t="s">
        <v>505</v>
      </c>
      <c r="U307" s="2" t="s">
        <v>58</v>
      </c>
      <c r="W307" s="4">
        <v>569</v>
      </c>
      <c r="X307" s="4">
        <v>682.8</v>
      </c>
      <c r="Y307" s="4">
        <f t="shared" ref="Y307" si="337">INDEX(InternalRates,MATCH($S307,InternalRates01,FALSE),2)</f>
        <v>278.98333333333335</v>
      </c>
      <c r="Z307" s="3" t="str">
        <f t="shared" si="286"/>
        <v>Nie</v>
      </c>
      <c r="AA307" s="3" t="str">
        <f t="shared" si="287"/>
        <v>SLA</v>
      </c>
      <c r="AB307" s="4">
        <v>360</v>
      </c>
      <c r="AD307" s="3" t="s">
        <v>48</v>
      </c>
      <c r="AE307" s="6">
        <v>44417</v>
      </c>
      <c r="AF307" s="3" t="s">
        <v>59</v>
      </c>
      <c r="AG307" s="3" t="s">
        <v>49</v>
      </c>
      <c r="AH307" s="3">
        <f>YEAR(SrcDB[[#This Row],[Datum_zverejnenia]])</f>
        <v>2020</v>
      </c>
      <c r="AI307" s="3" cm="1">
        <f t="array" ref="AI307">COUNT(_xlfn.UNIQUE(_xlfn._xlws.FILTER(SrcDB[ID],SrcDB[Objednavatel_ICO]=$H307)))</f>
        <v>4</v>
      </c>
      <c r="AJ307" s="3" cm="1">
        <f t="array" ref="AJ307">COUNT(_xlfn.UNIQUE(_xlfn._xlws.FILTER(SrcDB[ID],SrcDB[Dodavatel_ICO]=$K307)))</f>
        <v>3</v>
      </c>
      <c r="AK307" s="3">
        <f t="shared" si="289"/>
        <v>0</v>
      </c>
      <c r="AL307" s="3">
        <f t="shared" si="290"/>
        <v>0</v>
      </c>
      <c r="AM307" s="17" t="str">
        <f>IF(SrcDB[[#This Row],[Pocet zmluv objednavatela]]&gt;3,SrcDB[[#This Row],[Objednavatel]],"Ostatné")</f>
        <v>DataCentrum</v>
      </c>
      <c r="AN307" s="17" t="str">
        <f>IF(SrcDB[[#This Row],[Pocet zmluv dodavatela]]&gt;3,SrcDB[[#This Row],[Dodavatel]],"Ostatné")</f>
        <v>Ostatné</v>
      </c>
    </row>
    <row r="308" spans="1:40" x14ac:dyDescent="0.3">
      <c r="A308" s="2" t="s">
        <v>268</v>
      </c>
      <c r="B308" s="2">
        <v>5383029</v>
      </c>
      <c r="C308" s="3" t="str">
        <f t="shared" si="281"/>
        <v>Nejasné</v>
      </c>
      <c r="D308" s="3" t="str">
        <f t="shared" si="282"/>
        <v>Nejasné</v>
      </c>
      <c r="E308" s="3" t="s">
        <v>48</v>
      </c>
      <c r="F308" s="3" t="s">
        <v>49</v>
      </c>
      <c r="G308" s="2" t="str">
        <f t="shared" si="283"/>
        <v>Stredné zmluvy</v>
      </c>
      <c r="H308" s="5" t="s">
        <v>153</v>
      </c>
      <c r="I308" s="2" t="s">
        <v>154</v>
      </c>
      <c r="J308" s="2" t="s">
        <v>155</v>
      </c>
      <c r="K308" s="5">
        <v>43953794</v>
      </c>
      <c r="L308" s="2" t="s">
        <v>499</v>
      </c>
      <c r="M308" s="2" t="s">
        <v>500</v>
      </c>
      <c r="N308" s="6">
        <v>44195</v>
      </c>
      <c r="O308" s="4">
        <v>6598000</v>
      </c>
      <c r="P308" s="2">
        <v>114725</v>
      </c>
      <c r="Q308" s="2" t="s">
        <v>501</v>
      </c>
      <c r="R308" s="2" t="s">
        <v>502</v>
      </c>
      <c r="S308" s="2" t="s">
        <v>56</v>
      </c>
      <c r="T308" s="2" t="s">
        <v>506</v>
      </c>
      <c r="U308" s="2" t="s">
        <v>58</v>
      </c>
      <c r="W308" s="4">
        <v>569</v>
      </c>
      <c r="X308" s="4">
        <v>682.8</v>
      </c>
      <c r="Y308" s="4">
        <f t="shared" ref="Y308" si="338">INDEX(InternalRates,MATCH($S308,InternalRates01,FALSE),2)</f>
        <v>278.98333333333335</v>
      </c>
      <c r="Z308" s="3" t="str">
        <f t="shared" si="286"/>
        <v>Nie</v>
      </c>
      <c r="AA308" s="3" t="str">
        <f t="shared" si="287"/>
        <v>SLA</v>
      </c>
      <c r="AB308" s="4">
        <v>240</v>
      </c>
      <c r="AD308" s="3" t="s">
        <v>48</v>
      </c>
      <c r="AE308" s="6">
        <v>44417</v>
      </c>
      <c r="AF308" s="3" t="s">
        <v>59</v>
      </c>
      <c r="AG308" s="3" t="s">
        <v>49</v>
      </c>
      <c r="AH308" s="3">
        <f>YEAR(SrcDB[[#This Row],[Datum_zverejnenia]])</f>
        <v>2020</v>
      </c>
      <c r="AI308" s="3" cm="1">
        <f t="array" ref="AI308">COUNT(_xlfn.UNIQUE(_xlfn._xlws.FILTER(SrcDB[ID],SrcDB[Objednavatel_ICO]=$H308)))</f>
        <v>4</v>
      </c>
      <c r="AJ308" s="3" cm="1">
        <f t="array" ref="AJ308">COUNT(_xlfn.UNIQUE(_xlfn._xlws.FILTER(SrcDB[ID],SrcDB[Dodavatel_ICO]=$K308)))</f>
        <v>3</v>
      </c>
      <c r="AK308" s="3">
        <f t="shared" si="289"/>
        <v>0</v>
      </c>
      <c r="AL308" s="3">
        <f t="shared" si="290"/>
        <v>0</v>
      </c>
      <c r="AM308" s="17" t="str">
        <f>IF(SrcDB[[#This Row],[Pocet zmluv objednavatela]]&gt;3,SrcDB[[#This Row],[Objednavatel]],"Ostatné")</f>
        <v>DataCentrum</v>
      </c>
      <c r="AN308" s="17" t="str">
        <f>IF(SrcDB[[#This Row],[Pocet zmluv dodavatela]]&gt;3,SrcDB[[#This Row],[Dodavatel]],"Ostatné")</f>
        <v>Ostatné</v>
      </c>
    </row>
    <row r="309" spans="1:40" x14ac:dyDescent="0.3">
      <c r="A309" s="2" t="s">
        <v>268</v>
      </c>
      <c r="B309" s="2">
        <v>5383029</v>
      </c>
      <c r="C309" s="3" t="str">
        <f t="shared" si="281"/>
        <v>Nejasné</v>
      </c>
      <c r="D309" s="3" t="str">
        <f t="shared" si="282"/>
        <v>Nejasné</v>
      </c>
      <c r="E309" s="3" t="s">
        <v>48</v>
      </c>
      <c r="F309" s="3" t="s">
        <v>49</v>
      </c>
      <c r="G309" s="2" t="str">
        <f t="shared" si="283"/>
        <v>Stredné zmluvy</v>
      </c>
      <c r="H309" s="5" t="s">
        <v>153</v>
      </c>
      <c r="I309" s="2" t="s">
        <v>154</v>
      </c>
      <c r="J309" s="2" t="s">
        <v>155</v>
      </c>
      <c r="K309" s="5">
        <v>43953794</v>
      </c>
      <c r="L309" s="2" t="s">
        <v>499</v>
      </c>
      <c r="M309" s="2" t="s">
        <v>500</v>
      </c>
      <c r="N309" s="6">
        <v>44195</v>
      </c>
      <c r="O309" s="4">
        <v>6598000</v>
      </c>
      <c r="P309" s="2">
        <v>114725</v>
      </c>
      <c r="Q309" s="2" t="s">
        <v>501</v>
      </c>
      <c r="R309" s="2" t="s">
        <v>502</v>
      </c>
      <c r="S309" s="2" t="s">
        <v>56</v>
      </c>
      <c r="T309" s="2" t="s">
        <v>507</v>
      </c>
      <c r="U309" s="2" t="s">
        <v>113</v>
      </c>
      <c r="W309" s="4">
        <v>337</v>
      </c>
      <c r="X309" s="4">
        <v>404.4</v>
      </c>
      <c r="Y309" s="4">
        <f t="shared" ref="Y309" si="339">INDEX(InternalRates,MATCH($S309,InternalRates01,FALSE),2)</f>
        <v>278.98333333333335</v>
      </c>
      <c r="Z309" s="3" t="str">
        <f t="shared" si="286"/>
        <v>Nie</v>
      </c>
      <c r="AA309" s="3" t="str">
        <f t="shared" si="287"/>
        <v>SLA</v>
      </c>
      <c r="AB309" s="4">
        <v>240</v>
      </c>
      <c r="AD309" s="3" t="s">
        <v>48</v>
      </c>
      <c r="AE309" s="6">
        <v>44417</v>
      </c>
      <c r="AF309" s="3" t="s">
        <v>59</v>
      </c>
      <c r="AG309" s="3" t="s">
        <v>49</v>
      </c>
      <c r="AH309" s="3">
        <f>YEAR(SrcDB[[#This Row],[Datum_zverejnenia]])</f>
        <v>2020</v>
      </c>
      <c r="AI309" s="3" cm="1">
        <f t="array" ref="AI309">COUNT(_xlfn.UNIQUE(_xlfn._xlws.FILTER(SrcDB[ID],SrcDB[Objednavatel_ICO]=$H309)))</f>
        <v>4</v>
      </c>
      <c r="AJ309" s="3" cm="1">
        <f t="array" ref="AJ309">COUNT(_xlfn.UNIQUE(_xlfn._xlws.FILTER(SrcDB[ID],SrcDB[Dodavatel_ICO]=$K309)))</f>
        <v>3</v>
      </c>
      <c r="AK309" s="3">
        <f t="shared" si="289"/>
        <v>0</v>
      </c>
      <c r="AL309" s="3">
        <f t="shared" si="290"/>
        <v>0</v>
      </c>
      <c r="AM309" s="17" t="str">
        <f>IF(SrcDB[[#This Row],[Pocet zmluv objednavatela]]&gt;3,SrcDB[[#This Row],[Objednavatel]],"Ostatné")</f>
        <v>DataCentrum</v>
      </c>
      <c r="AN309" s="17" t="str">
        <f>IF(SrcDB[[#This Row],[Pocet zmluv dodavatela]]&gt;3,SrcDB[[#This Row],[Dodavatel]],"Ostatné")</f>
        <v>Ostatné</v>
      </c>
    </row>
    <row r="310" spans="1:40" x14ac:dyDescent="0.3">
      <c r="A310" s="2" t="s">
        <v>268</v>
      </c>
      <c r="B310" s="2">
        <v>5383029</v>
      </c>
      <c r="C310" s="3" t="str">
        <f t="shared" si="281"/>
        <v>Nejasné</v>
      </c>
      <c r="D310" s="3" t="str">
        <f t="shared" si="282"/>
        <v>Nejasné</v>
      </c>
      <c r="E310" s="3" t="s">
        <v>48</v>
      </c>
      <c r="F310" s="3" t="s">
        <v>49</v>
      </c>
      <c r="G310" s="2" t="str">
        <f t="shared" si="283"/>
        <v>Stredné zmluvy</v>
      </c>
      <c r="H310" s="5" t="s">
        <v>153</v>
      </c>
      <c r="I310" s="2" t="s">
        <v>154</v>
      </c>
      <c r="J310" s="2" t="s">
        <v>155</v>
      </c>
      <c r="K310" s="5">
        <v>43953794</v>
      </c>
      <c r="L310" s="2" t="s">
        <v>499</v>
      </c>
      <c r="M310" s="2" t="s">
        <v>500</v>
      </c>
      <c r="N310" s="6">
        <v>44195</v>
      </c>
      <c r="O310" s="4">
        <v>6598000</v>
      </c>
      <c r="P310" s="2">
        <v>114725</v>
      </c>
      <c r="Q310" s="2" t="s">
        <v>501</v>
      </c>
      <c r="R310" s="2" t="s">
        <v>502</v>
      </c>
      <c r="S310" s="2" t="s">
        <v>123</v>
      </c>
      <c r="T310" s="2" t="s">
        <v>508</v>
      </c>
      <c r="V310" s="2" t="s">
        <v>140</v>
      </c>
      <c r="W310" s="4">
        <v>337</v>
      </c>
      <c r="X310" s="4">
        <v>404.4</v>
      </c>
      <c r="Y310" s="4">
        <f t="shared" ref="Y310" si="340">INDEX(InternalRates,MATCH($S310,InternalRates01,FALSE),2)</f>
        <v>231.85833333333335</v>
      </c>
      <c r="Z310" s="3" t="str">
        <f t="shared" si="286"/>
        <v>Nie</v>
      </c>
      <c r="AA310" s="3" t="str">
        <f t="shared" si="287"/>
        <v>SLA</v>
      </c>
      <c r="AB310" s="4">
        <v>240</v>
      </c>
      <c r="AD310" s="3" t="s">
        <v>48</v>
      </c>
      <c r="AE310" s="6">
        <v>44417</v>
      </c>
      <c r="AF310" s="3" t="s">
        <v>59</v>
      </c>
      <c r="AG310" s="3" t="s">
        <v>49</v>
      </c>
      <c r="AH310" s="3">
        <f>YEAR(SrcDB[[#This Row],[Datum_zverejnenia]])</f>
        <v>2020</v>
      </c>
      <c r="AI310" s="3" cm="1">
        <f t="array" ref="AI310">COUNT(_xlfn.UNIQUE(_xlfn._xlws.FILTER(SrcDB[ID],SrcDB[Objednavatel_ICO]=$H310)))</f>
        <v>4</v>
      </c>
      <c r="AJ310" s="3" cm="1">
        <f t="array" ref="AJ310">COUNT(_xlfn.UNIQUE(_xlfn._xlws.FILTER(SrcDB[ID],SrcDB[Dodavatel_ICO]=$K310)))</f>
        <v>3</v>
      </c>
      <c r="AK310" s="3">
        <f t="shared" si="289"/>
        <v>0</v>
      </c>
      <c r="AL310" s="3">
        <f t="shared" si="290"/>
        <v>0</v>
      </c>
      <c r="AM310" s="17" t="str">
        <f>IF(SrcDB[[#This Row],[Pocet zmluv objednavatela]]&gt;3,SrcDB[[#This Row],[Objednavatel]],"Ostatné")</f>
        <v>DataCentrum</v>
      </c>
      <c r="AN310" s="17" t="str">
        <f>IF(SrcDB[[#This Row],[Pocet zmluv dodavatela]]&gt;3,SrcDB[[#This Row],[Dodavatel]],"Ostatné")</f>
        <v>Ostatné</v>
      </c>
    </row>
    <row r="311" spans="1:40" x14ac:dyDescent="0.3">
      <c r="A311" s="2" t="s">
        <v>268</v>
      </c>
      <c r="B311" s="2">
        <v>5383029</v>
      </c>
      <c r="C311" s="3" t="str">
        <f t="shared" si="281"/>
        <v>Nejasné</v>
      </c>
      <c r="D311" s="3" t="str">
        <f t="shared" si="282"/>
        <v>Nejasné</v>
      </c>
      <c r="E311" s="3" t="s">
        <v>48</v>
      </c>
      <c r="F311" s="3" t="s">
        <v>49</v>
      </c>
      <c r="G311" s="2" t="str">
        <f t="shared" si="283"/>
        <v>Stredné zmluvy</v>
      </c>
      <c r="H311" s="5" t="s">
        <v>153</v>
      </c>
      <c r="I311" s="2" t="s">
        <v>154</v>
      </c>
      <c r="J311" s="2" t="s">
        <v>155</v>
      </c>
      <c r="K311" s="5">
        <v>43953794</v>
      </c>
      <c r="L311" s="2" t="s">
        <v>499</v>
      </c>
      <c r="M311" s="2" t="s">
        <v>500</v>
      </c>
      <c r="N311" s="6">
        <v>44195</v>
      </c>
      <c r="O311" s="4">
        <v>6598000</v>
      </c>
      <c r="P311" s="2">
        <v>114725</v>
      </c>
      <c r="Q311" s="2" t="s">
        <v>501</v>
      </c>
      <c r="R311" s="2" t="s">
        <v>502</v>
      </c>
      <c r="S311" s="2" t="s">
        <v>123</v>
      </c>
      <c r="T311" s="2" t="s">
        <v>509</v>
      </c>
      <c r="V311" s="2" t="s">
        <v>140</v>
      </c>
      <c r="W311" s="4">
        <v>337</v>
      </c>
      <c r="X311" s="4">
        <v>404.4</v>
      </c>
      <c r="Y311" s="4">
        <f t="shared" ref="Y311" si="341">INDEX(InternalRates,MATCH($S311,InternalRates01,FALSE),2)</f>
        <v>231.85833333333335</v>
      </c>
      <c r="Z311" s="3" t="str">
        <f t="shared" si="286"/>
        <v>Nie</v>
      </c>
      <c r="AA311" s="3" t="str">
        <f t="shared" si="287"/>
        <v>SLA</v>
      </c>
      <c r="AB311" s="4">
        <v>200</v>
      </c>
      <c r="AD311" s="3" t="s">
        <v>48</v>
      </c>
      <c r="AE311" s="6">
        <v>44417</v>
      </c>
      <c r="AF311" s="3" t="s">
        <v>59</v>
      </c>
      <c r="AG311" s="3" t="s">
        <v>49</v>
      </c>
      <c r="AH311" s="3">
        <f>YEAR(SrcDB[[#This Row],[Datum_zverejnenia]])</f>
        <v>2020</v>
      </c>
      <c r="AI311" s="3" cm="1">
        <f t="array" ref="AI311">COUNT(_xlfn.UNIQUE(_xlfn._xlws.FILTER(SrcDB[ID],SrcDB[Objednavatel_ICO]=$H311)))</f>
        <v>4</v>
      </c>
      <c r="AJ311" s="3" cm="1">
        <f t="array" ref="AJ311">COUNT(_xlfn.UNIQUE(_xlfn._xlws.FILTER(SrcDB[ID],SrcDB[Dodavatel_ICO]=$K311)))</f>
        <v>3</v>
      </c>
      <c r="AK311" s="3">
        <f t="shared" si="289"/>
        <v>0</v>
      </c>
      <c r="AL311" s="3">
        <f t="shared" si="290"/>
        <v>0</v>
      </c>
      <c r="AM311" s="17" t="str">
        <f>IF(SrcDB[[#This Row],[Pocet zmluv objednavatela]]&gt;3,SrcDB[[#This Row],[Objednavatel]],"Ostatné")</f>
        <v>DataCentrum</v>
      </c>
      <c r="AN311" s="17" t="str">
        <f>IF(SrcDB[[#This Row],[Pocet zmluv dodavatela]]&gt;3,SrcDB[[#This Row],[Dodavatel]],"Ostatné")</f>
        <v>Ostatné</v>
      </c>
    </row>
    <row r="312" spans="1:40" x14ac:dyDescent="0.3">
      <c r="A312" s="2" t="s">
        <v>268</v>
      </c>
      <c r="B312" s="2">
        <v>5383029</v>
      </c>
      <c r="C312" s="3" t="str">
        <f t="shared" si="281"/>
        <v>Nejasné</v>
      </c>
      <c r="D312" s="3" t="str">
        <f t="shared" si="282"/>
        <v>Nejasné</v>
      </c>
      <c r="E312" s="3" t="s">
        <v>48</v>
      </c>
      <c r="F312" s="3" t="s">
        <v>49</v>
      </c>
      <c r="G312" s="2" t="str">
        <f t="shared" si="283"/>
        <v>Stredné zmluvy</v>
      </c>
      <c r="H312" s="5" t="s">
        <v>153</v>
      </c>
      <c r="I312" s="2" t="s">
        <v>154</v>
      </c>
      <c r="J312" s="2" t="s">
        <v>155</v>
      </c>
      <c r="K312" s="5">
        <v>43953794</v>
      </c>
      <c r="L312" s="2" t="s">
        <v>499</v>
      </c>
      <c r="M312" s="2" t="s">
        <v>500</v>
      </c>
      <c r="N312" s="6">
        <v>44195</v>
      </c>
      <c r="O312" s="4">
        <v>6598000</v>
      </c>
      <c r="P312" s="2">
        <v>114725</v>
      </c>
      <c r="Q312" s="2" t="s">
        <v>501</v>
      </c>
      <c r="R312" s="2" t="s">
        <v>502</v>
      </c>
      <c r="S312" s="2" t="s">
        <v>123</v>
      </c>
      <c r="T312" s="2" t="s">
        <v>510</v>
      </c>
      <c r="V312" s="2" t="s">
        <v>140</v>
      </c>
      <c r="W312" s="4">
        <v>337</v>
      </c>
      <c r="X312" s="4">
        <v>404.4</v>
      </c>
      <c r="Y312" s="4">
        <f t="shared" ref="Y312" si="342">INDEX(InternalRates,MATCH($S312,InternalRates01,FALSE),2)</f>
        <v>231.85833333333335</v>
      </c>
      <c r="Z312" s="3" t="str">
        <f t="shared" si="286"/>
        <v>Nie</v>
      </c>
      <c r="AA312" s="3" t="str">
        <f t="shared" si="287"/>
        <v>SLA</v>
      </c>
      <c r="AB312" s="4">
        <v>270</v>
      </c>
      <c r="AD312" s="3" t="s">
        <v>48</v>
      </c>
      <c r="AE312" s="6">
        <v>44417</v>
      </c>
      <c r="AF312" s="3" t="s">
        <v>59</v>
      </c>
      <c r="AG312" s="3" t="s">
        <v>49</v>
      </c>
      <c r="AH312" s="3">
        <f>YEAR(SrcDB[[#This Row],[Datum_zverejnenia]])</f>
        <v>2020</v>
      </c>
      <c r="AI312" s="3" cm="1">
        <f t="array" ref="AI312">COUNT(_xlfn.UNIQUE(_xlfn._xlws.FILTER(SrcDB[ID],SrcDB[Objednavatel_ICO]=$H312)))</f>
        <v>4</v>
      </c>
      <c r="AJ312" s="3" cm="1">
        <f t="array" ref="AJ312">COUNT(_xlfn.UNIQUE(_xlfn._xlws.FILTER(SrcDB[ID],SrcDB[Dodavatel_ICO]=$K312)))</f>
        <v>3</v>
      </c>
      <c r="AK312" s="3">
        <f t="shared" si="289"/>
        <v>0</v>
      </c>
      <c r="AL312" s="3">
        <f t="shared" si="290"/>
        <v>0</v>
      </c>
      <c r="AM312" s="17" t="str">
        <f>IF(SrcDB[[#This Row],[Pocet zmluv objednavatela]]&gt;3,SrcDB[[#This Row],[Objednavatel]],"Ostatné")</f>
        <v>DataCentrum</v>
      </c>
      <c r="AN312" s="17" t="str">
        <f>IF(SrcDB[[#This Row],[Pocet zmluv dodavatela]]&gt;3,SrcDB[[#This Row],[Dodavatel]],"Ostatné")</f>
        <v>Ostatné</v>
      </c>
    </row>
    <row r="313" spans="1:40" x14ac:dyDescent="0.3">
      <c r="A313" s="2" t="s">
        <v>268</v>
      </c>
      <c r="B313" s="2">
        <v>5383029</v>
      </c>
      <c r="C313" s="3" t="str">
        <f t="shared" si="281"/>
        <v>Nejasné</v>
      </c>
      <c r="D313" s="3" t="str">
        <f t="shared" si="282"/>
        <v>Nejasné</v>
      </c>
      <c r="E313" s="3" t="s">
        <v>48</v>
      </c>
      <c r="F313" s="3" t="s">
        <v>49</v>
      </c>
      <c r="G313" s="2" t="str">
        <f t="shared" si="283"/>
        <v>Stredné zmluvy</v>
      </c>
      <c r="H313" s="5" t="s">
        <v>153</v>
      </c>
      <c r="I313" s="2" t="s">
        <v>154</v>
      </c>
      <c r="J313" s="2" t="s">
        <v>155</v>
      </c>
      <c r="K313" s="5">
        <v>43953794</v>
      </c>
      <c r="L313" s="2" t="s">
        <v>499</v>
      </c>
      <c r="M313" s="2" t="s">
        <v>500</v>
      </c>
      <c r="N313" s="6">
        <v>44195</v>
      </c>
      <c r="O313" s="4">
        <v>6598000</v>
      </c>
      <c r="P313" s="2">
        <v>114725</v>
      </c>
      <c r="Q313" s="2" t="s">
        <v>501</v>
      </c>
      <c r="R313" s="2" t="s">
        <v>502</v>
      </c>
      <c r="S313" s="2" t="s">
        <v>123</v>
      </c>
      <c r="T313" s="2" t="s">
        <v>511</v>
      </c>
      <c r="V313" s="2" t="s">
        <v>58</v>
      </c>
      <c r="W313" s="4">
        <v>337</v>
      </c>
      <c r="X313" s="4">
        <v>404.4</v>
      </c>
      <c r="Y313" s="4">
        <f t="shared" ref="Y313" si="343">INDEX(InternalRates,MATCH($S313,InternalRates01,FALSE),2)</f>
        <v>231.85833333333335</v>
      </c>
      <c r="Z313" s="3" t="str">
        <f t="shared" si="286"/>
        <v>Nie</v>
      </c>
      <c r="AA313" s="3" t="str">
        <f t="shared" si="287"/>
        <v>SLA</v>
      </c>
      <c r="AB313" s="4">
        <v>370</v>
      </c>
      <c r="AD313" s="3" t="s">
        <v>48</v>
      </c>
      <c r="AE313" s="6">
        <v>44417</v>
      </c>
      <c r="AF313" s="3" t="s">
        <v>59</v>
      </c>
      <c r="AG313" s="3" t="s">
        <v>49</v>
      </c>
      <c r="AH313" s="3">
        <f>YEAR(SrcDB[[#This Row],[Datum_zverejnenia]])</f>
        <v>2020</v>
      </c>
      <c r="AI313" s="3" cm="1">
        <f t="array" ref="AI313">COUNT(_xlfn.UNIQUE(_xlfn._xlws.FILTER(SrcDB[ID],SrcDB[Objednavatel_ICO]=$H313)))</f>
        <v>4</v>
      </c>
      <c r="AJ313" s="3" cm="1">
        <f t="array" ref="AJ313">COUNT(_xlfn.UNIQUE(_xlfn._xlws.FILTER(SrcDB[ID],SrcDB[Dodavatel_ICO]=$K313)))</f>
        <v>3</v>
      </c>
      <c r="AK313" s="3">
        <f t="shared" si="289"/>
        <v>0</v>
      </c>
      <c r="AL313" s="3">
        <f t="shared" si="290"/>
        <v>0</v>
      </c>
      <c r="AM313" s="17" t="str">
        <f>IF(SrcDB[[#This Row],[Pocet zmluv objednavatela]]&gt;3,SrcDB[[#This Row],[Objednavatel]],"Ostatné")</f>
        <v>DataCentrum</v>
      </c>
      <c r="AN313" s="17" t="str">
        <f>IF(SrcDB[[#This Row],[Pocet zmluv dodavatela]]&gt;3,SrcDB[[#This Row],[Dodavatel]],"Ostatné")</f>
        <v>Ostatné</v>
      </c>
    </row>
    <row r="314" spans="1:40" x14ac:dyDescent="0.3">
      <c r="A314" s="2" t="s">
        <v>268</v>
      </c>
      <c r="B314" s="2">
        <v>5383029</v>
      </c>
      <c r="C314" s="3" t="str">
        <f t="shared" si="281"/>
        <v>Nejasné</v>
      </c>
      <c r="D314" s="3" t="str">
        <f t="shared" si="282"/>
        <v>Nejasné</v>
      </c>
      <c r="E314" s="3" t="s">
        <v>48</v>
      </c>
      <c r="F314" s="3" t="s">
        <v>49</v>
      </c>
      <c r="G314" s="2" t="str">
        <f t="shared" si="283"/>
        <v>Stredné zmluvy</v>
      </c>
      <c r="H314" s="5" t="s">
        <v>153</v>
      </c>
      <c r="I314" s="2" t="s">
        <v>154</v>
      </c>
      <c r="J314" s="2" t="s">
        <v>155</v>
      </c>
      <c r="K314" s="5">
        <v>43953794</v>
      </c>
      <c r="L314" s="2" t="s">
        <v>499</v>
      </c>
      <c r="M314" s="2" t="s">
        <v>500</v>
      </c>
      <c r="N314" s="6">
        <v>44195</v>
      </c>
      <c r="O314" s="4">
        <v>6598000</v>
      </c>
      <c r="P314" s="2">
        <v>114725</v>
      </c>
      <c r="Q314" s="2" t="s">
        <v>501</v>
      </c>
      <c r="R314" s="2" t="s">
        <v>502</v>
      </c>
      <c r="S314" s="2" t="s">
        <v>56</v>
      </c>
      <c r="T314" s="2" t="s">
        <v>512</v>
      </c>
      <c r="U314" s="2" t="s">
        <v>58</v>
      </c>
      <c r="W314" s="4">
        <v>569</v>
      </c>
      <c r="X314" s="4">
        <v>682.8</v>
      </c>
      <c r="Y314" s="4">
        <f t="shared" ref="Y314" si="344">INDEX(InternalRates,MATCH($S314,InternalRates01,FALSE),2)</f>
        <v>278.98333333333335</v>
      </c>
      <c r="Z314" s="3" t="str">
        <f t="shared" si="286"/>
        <v>Nie</v>
      </c>
      <c r="AA314" s="3" t="str">
        <f t="shared" si="287"/>
        <v>SLA</v>
      </c>
      <c r="AB314" s="4">
        <v>180</v>
      </c>
      <c r="AD314" s="3" t="s">
        <v>48</v>
      </c>
      <c r="AE314" s="6">
        <v>44417</v>
      </c>
      <c r="AF314" s="3" t="s">
        <v>59</v>
      </c>
      <c r="AG314" s="3" t="s">
        <v>49</v>
      </c>
      <c r="AH314" s="3">
        <f>YEAR(SrcDB[[#This Row],[Datum_zverejnenia]])</f>
        <v>2020</v>
      </c>
      <c r="AI314" s="3" cm="1">
        <f t="array" ref="AI314">COUNT(_xlfn.UNIQUE(_xlfn._xlws.FILTER(SrcDB[ID],SrcDB[Objednavatel_ICO]=$H314)))</f>
        <v>4</v>
      </c>
      <c r="AJ314" s="3" cm="1">
        <f t="array" ref="AJ314">COUNT(_xlfn.UNIQUE(_xlfn._xlws.FILTER(SrcDB[ID],SrcDB[Dodavatel_ICO]=$K314)))</f>
        <v>3</v>
      </c>
      <c r="AK314" s="3">
        <f t="shared" si="289"/>
        <v>0</v>
      </c>
      <c r="AL314" s="3">
        <f t="shared" si="290"/>
        <v>0</v>
      </c>
      <c r="AM314" s="17" t="str">
        <f>IF(SrcDB[[#This Row],[Pocet zmluv objednavatela]]&gt;3,SrcDB[[#This Row],[Objednavatel]],"Ostatné")</f>
        <v>DataCentrum</v>
      </c>
      <c r="AN314" s="17" t="str">
        <f>IF(SrcDB[[#This Row],[Pocet zmluv dodavatela]]&gt;3,SrcDB[[#This Row],[Dodavatel]],"Ostatné")</f>
        <v>Ostatné</v>
      </c>
    </row>
    <row r="315" spans="1:40" x14ac:dyDescent="0.3">
      <c r="A315" s="2" t="s">
        <v>513</v>
      </c>
      <c r="B315" s="2">
        <v>5387136</v>
      </c>
      <c r="C315" s="3" t="str">
        <f t="shared" si="281"/>
        <v>Nie</v>
      </c>
      <c r="D315" s="3" t="str">
        <f t="shared" si="282"/>
        <v>Áno</v>
      </c>
      <c r="E315" s="3" t="s">
        <v>48</v>
      </c>
      <c r="F315" s="3" t="s">
        <v>49</v>
      </c>
      <c r="G315" s="2" t="str">
        <f t="shared" si="283"/>
        <v>Stredné zmluvy</v>
      </c>
      <c r="H315" s="5" t="s">
        <v>514</v>
      </c>
      <c r="I315" s="2" t="s">
        <v>515</v>
      </c>
      <c r="J315" s="2" t="s">
        <v>516</v>
      </c>
      <c r="K315" s="5">
        <v>31410952</v>
      </c>
      <c r="L315" s="2" t="s">
        <v>361</v>
      </c>
      <c r="M315" s="2" t="s">
        <v>362</v>
      </c>
      <c r="N315" s="6">
        <v>44196.476168981484</v>
      </c>
      <c r="O315" s="4">
        <v>1638000</v>
      </c>
      <c r="P315" s="2">
        <v>114654</v>
      </c>
      <c r="Q315" s="2" t="s">
        <v>517</v>
      </c>
      <c r="R315" s="2" t="s">
        <v>518</v>
      </c>
      <c r="S315" s="2" t="s">
        <v>73</v>
      </c>
      <c r="T315" s="2" t="s">
        <v>519</v>
      </c>
      <c r="W315" s="4">
        <v>525</v>
      </c>
      <c r="X315" s="4">
        <v>630</v>
      </c>
      <c r="Y315" s="4">
        <f t="shared" ref="Y315" si="345">INDEX(InternalRates,MATCH($S315,InternalRates01,FALSE),2)</f>
        <v>278.98333333333335</v>
      </c>
      <c r="Z315" s="3" t="str">
        <f t="shared" si="286"/>
        <v>Nie</v>
      </c>
      <c r="AA315" s="3" t="str">
        <f t="shared" si="287"/>
        <v>SLA</v>
      </c>
      <c r="AB315" s="4">
        <v>180</v>
      </c>
      <c r="AD315" s="3" t="s">
        <v>48</v>
      </c>
      <c r="AE315" s="6">
        <v>44418</v>
      </c>
      <c r="AF315" s="3" t="s">
        <v>59</v>
      </c>
      <c r="AG315" s="3" t="s">
        <v>60</v>
      </c>
      <c r="AH315" s="3">
        <f>YEAR(SrcDB[[#This Row],[Datum_zverejnenia]])</f>
        <v>2020</v>
      </c>
      <c r="AI315" s="3" cm="1">
        <f t="array" ref="AI315">COUNT(_xlfn.UNIQUE(_xlfn._xlws.FILTER(SrcDB[ID],SrcDB[Objednavatel_ICO]=$H315)))</f>
        <v>3</v>
      </c>
      <c r="AJ315" s="3" cm="1">
        <f t="array" ref="AJ315">COUNT(_xlfn.UNIQUE(_xlfn._xlws.FILTER(SrcDB[ID],SrcDB[Dodavatel_ICO]=$K315)))</f>
        <v>5</v>
      </c>
      <c r="AK315" s="3">
        <f t="shared" si="289"/>
        <v>1</v>
      </c>
      <c r="AL315" s="3">
        <f t="shared" si="290"/>
        <v>1</v>
      </c>
      <c r="AM315" s="17" t="str">
        <f>IF(SrcDB[[#This Row],[Pocet zmluv objednavatela]]&gt;3,SrcDB[[#This Row],[Objednavatel]],"Ostatné")</f>
        <v>Ostatné</v>
      </c>
      <c r="AN315" s="17" t="str">
        <f>IF(SrcDB[[#This Row],[Pocet zmluv dodavatela]]&gt;3,SrcDB[[#This Row],[Dodavatel]],"Ostatné")</f>
        <v>MICROCOMP – Computersystém s.r.o.</v>
      </c>
    </row>
    <row r="316" spans="1:40" x14ac:dyDescent="0.3">
      <c r="A316" s="2" t="s">
        <v>513</v>
      </c>
      <c r="B316" s="2">
        <v>5387136</v>
      </c>
      <c r="C316" s="3" t="str">
        <f t="shared" si="281"/>
        <v>Nie</v>
      </c>
      <c r="D316" s="3" t="str">
        <f t="shared" si="282"/>
        <v>Áno</v>
      </c>
      <c r="E316" s="3" t="s">
        <v>48</v>
      </c>
      <c r="F316" s="3" t="s">
        <v>49</v>
      </c>
      <c r="G316" s="2" t="str">
        <f t="shared" si="283"/>
        <v>Stredné zmluvy</v>
      </c>
      <c r="H316" s="5" t="s">
        <v>514</v>
      </c>
      <c r="I316" s="2" t="s">
        <v>515</v>
      </c>
      <c r="J316" s="2" t="s">
        <v>516</v>
      </c>
      <c r="K316" s="5">
        <v>31410952</v>
      </c>
      <c r="L316" s="2" t="s">
        <v>361</v>
      </c>
      <c r="M316" s="2" t="s">
        <v>362</v>
      </c>
      <c r="N316" s="6">
        <v>44196.476168981484</v>
      </c>
      <c r="O316" s="4">
        <v>1638000</v>
      </c>
      <c r="P316" s="2">
        <v>114654</v>
      </c>
      <c r="Q316" s="2" t="s">
        <v>517</v>
      </c>
      <c r="R316" s="2" t="s">
        <v>518</v>
      </c>
      <c r="S316" s="2" t="s">
        <v>71</v>
      </c>
      <c r="T316" s="2" t="s">
        <v>196</v>
      </c>
      <c r="W316" s="4">
        <v>525</v>
      </c>
      <c r="X316" s="4">
        <v>630</v>
      </c>
      <c r="Y316" s="4">
        <f t="shared" ref="Y316" si="346">INDEX(InternalRates,MATCH($S316,InternalRates01,FALSE),2)</f>
        <v>354.0333333333333</v>
      </c>
      <c r="Z316" s="3" t="str">
        <f t="shared" si="286"/>
        <v>Nie</v>
      </c>
      <c r="AA316" s="3" t="str">
        <f t="shared" si="287"/>
        <v>SLA</v>
      </c>
      <c r="AB316" s="4">
        <v>140</v>
      </c>
      <c r="AD316" s="3" t="s">
        <v>48</v>
      </c>
      <c r="AE316" s="6">
        <v>44418</v>
      </c>
      <c r="AF316" s="3" t="s">
        <v>59</v>
      </c>
      <c r="AG316" s="3" t="s">
        <v>60</v>
      </c>
      <c r="AH316" s="3">
        <f>YEAR(SrcDB[[#This Row],[Datum_zverejnenia]])</f>
        <v>2020</v>
      </c>
      <c r="AI316" s="3" cm="1">
        <f t="array" ref="AI316">COUNT(_xlfn.UNIQUE(_xlfn._xlws.FILTER(SrcDB[ID],SrcDB[Objednavatel_ICO]=$H316)))</f>
        <v>3</v>
      </c>
      <c r="AJ316" s="3" cm="1">
        <f t="array" ref="AJ316">COUNT(_xlfn.UNIQUE(_xlfn._xlws.FILTER(SrcDB[ID],SrcDB[Dodavatel_ICO]=$K316)))</f>
        <v>5</v>
      </c>
      <c r="AK316" s="3">
        <f t="shared" si="289"/>
        <v>0</v>
      </c>
      <c r="AL316" s="3">
        <f t="shared" si="290"/>
        <v>0</v>
      </c>
      <c r="AM316" s="17" t="str">
        <f>IF(SrcDB[[#This Row],[Pocet zmluv objednavatela]]&gt;3,SrcDB[[#This Row],[Objednavatel]],"Ostatné")</f>
        <v>Ostatné</v>
      </c>
      <c r="AN316" s="17" t="str">
        <f>IF(SrcDB[[#This Row],[Pocet zmluv dodavatela]]&gt;3,SrcDB[[#This Row],[Dodavatel]],"Ostatné")</f>
        <v>MICROCOMP – Computersystém s.r.o.</v>
      </c>
    </row>
    <row r="317" spans="1:40" x14ac:dyDescent="0.3">
      <c r="A317" s="2" t="s">
        <v>513</v>
      </c>
      <c r="B317" s="2">
        <v>5387136</v>
      </c>
      <c r="C317" s="3" t="str">
        <f t="shared" si="281"/>
        <v>Nie</v>
      </c>
      <c r="D317" s="3" t="str">
        <f t="shared" si="282"/>
        <v>Áno</v>
      </c>
      <c r="E317" s="3" t="s">
        <v>48</v>
      </c>
      <c r="F317" s="3" t="s">
        <v>49</v>
      </c>
      <c r="G317" s="2" t="str">
        <f t="shared" si="283"/>
        <v>Stredné zmluvy</v>
      </c>
      <c r="H317" s="5" t="s">
        <v>514</v>
      </c>
      <c r="I317" s="2" t="s">
        <v>515</v>
      </c>
      <c r="J317" s="2" t="s">
        <v>516</v>
      </c>
      <c r="K317" s="5">
        <v>31410952</v>
      </c>
      <c r="L317" s="2" t="s">
        <v>361</v>
      </c>
      <c r="M317" s="2" t="s">
        <v>362</v>
      </c>
      <c r="N317" s="6">
        <v>44196</v>
      </c>
      <c r="O317" s="4">
        <v>1638000</v>
      </c>
      <c r="P317" s="2">
        <v>114654</v>
      </c>
      <c r="Q317" s="2" t="s">
        <v>517</v>
      </c>
      <c r="R317" s="2" t="s">
        <v>518</v>
      </c>
      <c r="S317" s="2" t="s">
        <v>77</v>
      </c>
      <c r="T317" s="2" t="s">
        <v>520</v>
      </c>
      <c r="W317" s="4">
        <v>525</v>
      </c>
      <c r="X317" s="4">
        <v>630</v>
      </c>
      <c r="Y317" s="4">
        <f t="shared" ref="Y317" si="347">INDEX(InternalRates,MATCH($S317,InternalRates01,FALSE),2)</f>
        <v>278.98333333333335</v>
      </c>
      <c r="Z317" s="3" t="str">
        <f t="shared" si="286"/>
        <v>Nie</v>
      </c>
      <c r="AA317" s="3" t="str">
        <f t="shared" si="287"/>
        <v>SLA</v>
      </c>
      <c r="AB317" s="4">
        <v>400</v>
      </c>
      <c r="AD317" s="3" t="s">
        <v>48</v>
      </c>
      <c r="AE317" s="6">
        <v>44418</v>
      </c>
      <c r="AF317" s="3" t="s">
        <v>59</v>
      </c>
      <c r="AG317" s="3" t="s">
        <v>60</v>
      </c>
      <c r="AH317" s="3">
        <f>YEAR(SrcDB[[#This Row],[Datum_zverejnenia]])</f>
        <v>2020</v>
      </c>
      <c r="AI317" s="3" cm="1">
        <f t="array" ref="AI317">COUNT(_xlfn.UNIQUE(_xlfn._xlws.FILTER(SrcDB[ID],SrcDB[Objednavatel_ICO]=$H317)))</f>
        <v>3</v>
      </c>
      <c r="AJ317" s="3" cm="1">
        <f t="array" ref="AJ317">COUNT(_xlfn.UNIQUE(_xlfn._xlws.FILTER(SrcDB[ID],SrcDB[Dodavatel_ICO]=$K317)))</f>
        <v>5</v>
      </c>
      <c r="AK317" s="3">
        <f t="shared" si="289"/>
        <v>0</v>
      </c>
      <c r="AL317" s="3">
        <f t="shared" si="290"/>
        <v>0</v>
      </c>
      <c r="AM317" s="17" t="str">
        <f>IF(SrcDB[[#This Row],[Pocet zmluv objednavatela]]&gt;3,SrcDB[[#This Row],[Objednavatel]],"Ostatné")</f>
        <v>Ostatné</v>
      </c>
      <c r="AN317" s="17" t="str">
        <f>IF(SrcDB[[#This Row],[Pocet zmluv dodavatela]]&gt;3,SrcDB[[#This Row],[Dodavatel]],"Ostatné")</f>
        <v>MICROCOMP – Computersystém s.r.o.</v>
      </c>
    </row>
    <row r="318" spans="1:40" x14ac:dyDescent="0.3">
      <c r="A318" s="2" t="s">
        <v>513</v>
      </c>
      <c r="B318" s="2">
        <v>5387136</v>
      </c>
      <c r="C318" s="3" t="str">
        <f t="shared" si="281"/>
        <v>Nie</v>
      </c>
      <c r="D318" s="3" t="str">
        <f t="shared" si="282"/>
        <v>Áno</v>
      </c>
      <c r="E318" s="3" t="s">
        <v>48</v>
      </c>
      <c r="F318" s="3" t="s">
        <v>49</v>
      </c>
      <c r="G318" s="2" t="str">
        <f t="shared" si="283"/>
        <v>Stredné zmluvy</v>
      </c>
      <c r="H318" s="5" t="s">
        <v>514</v>
      </c>
      <c r="I318" s="2" t="s">
        <v>515</v>
      </c>
      <c r="J318" s="2" t="s">
        <v>516</v>
      </c>
      <c r="K318" s="5">
        <v>31410952</v>
      </c>
      <c r="L318" s="2" t="s">
        <v>361</v>
      </c>
      <c r="M318" s="2" t="s">
        <v>362</v>
      </c>
      <c r="N318" s="6">
        <v>44196</v>
      </c>
      <c r="O318" s="4">
        <v>1638000</v>
      </c>
      <c r="P318" s="2">
        <v>114654</v>
      </c>
      <c r="Q318" s="2" t="s">
        <v>517</v>
      </c>
      <c r="R318" s="2" t="s">
        <v>518</v>
      </c>
      <c r="S318" s="2" t="s">
        <v>77</v>
      </c>
      <c r="T318" s="2" t="s">
        <v>77</v>
      </c>
      <c r="W318" s="4">
        <v>525</v>
      </c>
      <c r="X318" s="4">
        <v>630</v>
      </c>
      <c r="Y318" s="4">
        <f t="shared" ref="Y318" si="348">INDEX(InternalRates,MATCH($S318,InternalRates01,FALSE),2)</f>
        <v>278.98333333333335</v>
      </c>
      <c r="Z318" s="3" t="str">
        <f t="shared" si="286"/>
        <v>Nie</v>
      </c>
      <c r="AA318" s="3" t="str">
        <f t="shared" si="287"/>
        <v>SLA</v>
      </c>
      <c r="AB318" s="4">
        <v>840</v>
      </c>
      <c r="AD318" s="3" t="s">
        <v>48</v>
      </c>
      <c r="AE318" s="6">
        <v>44418</v>
      </c>
      <c r="AF318" s="3" t="s">
        <v>59</v>
      </c>
      <c r="AG318" s="3" t="s">
        <v>60</v>
      </c>
      <c r="AH318" s="3">
        <f>YEAR(SrcDB[[#This Row],[Datum_zverejnenia]])</f>
        <v>2020</v>
      </c>
      <c r="AI318" s="3" cm="1">
        <f t="array" ref="AI318">COUNT(_xlfn.UNIQUE(_xlfn._xlws.FILTER(SrcDB[ID],SrcDB[Objednavatel_ICO]=$H318)))</f>
        <v>3</v>
      </c>
      <c r="AJ318" s="3" cm="1">
        <f t="array" ref="AJ318">COUNT(_xlfn.UNIQUE(_xlfn._xlws.FILTER(SrcDB[ID],SrcDB[Dodavatel_ICO]=$K318)))</f>
        <v>5</v>
      </c>
      <c r="AK318" s="3">
        <f t="shared" si="289"/>
        <v>0</v>
      </c>
      <c r="AL318" s="3">
        <f t="shared" si="290"/>
        <v>0</v>
      </c>
      <c r="AM318" s="17" t="str">
        <f>IF(SrcDB[[#This Row],[Pocet zmluv objednavatela]]&gt;3,SrcDB[[#This Row],[Objednavatel]],"Ostatné")</f>
        <v>Ostatné</v>
      </c>
      <c r="AN318" s="17" t="str">
        <f>IF(SrcDB[[#This Row],[Pocet zmluv dodavatela]]&gt;3,SrcDB[[#This Row],[Dodavatel]],"Ostatné")</f>
        <v>MICROCOMP – Computersystém s.r.o.</v>
      </c>
    </row>
    <row r="319" spans="1:40" x14ac:dyDescent="0.3">
      <c r="A319" s="2" t="s">
        <v>513</v>
      </c>
      <c r="B319" s="2">
        <v>5387136</v>
      </c>
      <c r="C319" s="3" t="str">
        <f t="shared" si="281"/>
        <v>Nie</v>
      </c>
      <c r="D319" s="3" t="str">
        <f t="shared" si="282"/>
        <v>Áno</v>
      </c>
      <c r="E319" s="3" t="s">
        <v>48</v>
      </c>
      <c r="F319" s="3" t="s">
        <v>49</v>
      </c>
      <c r="G319" s="2" t="str">
        <f t="shared" si="283"/>
        <v>Stredné zmluvy</v>
      </c>
      <c r="H319" s="5" t="s">
        <v>514</v>
      </c>
      <c r="I319" s="2" t="s">
        <v>515</v>
      </c>
      <c r="J319" s="2" t="s">
        <v>516</v>
      </c>
      <c r="K319" s="5">
        <v>31410952</v>
      </c>
      <c r="L319" s="2" t="s">
        <v>361</v>
      </c>
      <c r="M319" s="2" t="s">
        <v>362</v>
      </c>
      <c r="N319" s="6">
        <v>44196</v>
      </c>
      <c r="O319" s="4">
        <v>1638000</v>
      </c>
      <c r="P319" s="2">
        <v>114654</v>
      </c>
      <c r="Q319" s="2" t="s">
        <v>517</v>
      </c>
      <c r="R319" s="2" t="s">
        <v>518</v>
      </c>
      <c r="S319" s="2" t="s">
        <v>56</v>
      </c>
      <c r="T319" s="2" t="s">
        <v>521</v>
      </c>
      <c r="U319" s="2" t="s">
        <v>97</v>
      </c>
      <c r="W319" s="4">
        <v>525</v>
      </c>
      <c r="X319" s="4">
        <v>630</v>
      </c>
      <c r="Y319" s="4">
        <f t="shared" ref="Y319" si="349">INDEX(InternalRates,MATCH($S319,InternalRates01,FALSE),2)</f>
        <v>278.98333333333335</v>
      </c>
      <c r="Z319" s="3" t="str">
        <f t="shared" si="286"/>
        <v>Nie</v>
      </c>
      <c r="AA319" s="3" t="str">
        <f t="shared" si="287"/>
        <v>SLA</v>
      </c>
      <c r="AB319" s="4">
        <v>120</v>
      </c>
      <c r="AD319" s="3" t="s">
        <v>48</v>
      </c>
      <c r="AE319" s="6">
        <v>44418</v>
      </c>
      <c r="AF319" s="3" t="s">
        <v>59</v>
      </c>
      <c r="AG319" s="3" t="s">
        <v>60</v>
      </c>
      <c r="AH319" s="3">
        <f>YEAR(SrcDB[[#This Row],[Datum_zverejnenia]])</f>
        <v>2020</v>
      </c>
      <c r="AI319" s="3" cm="1">
        <f t="array" ref="AI319">COUNT(_xlfn.UNIQUE(_xlfn._xlws.FILTER(SrcDB[ID],SrcDB[Objednavatel_ICO]=$H319)))</f>
        <v>3</v>
      </c>
      <c r="AJ319" s="3" cm="1">
        <f t="array" ref="AJ319">COUNT(_xlfn.UNIQUE(_xlfn._xlws.FILTER(SrcDB[ID],SrcDB[Dodavatel_ICO]=$K319)))</f>
        <v>5</v>
      </c>
      <c r="AK319" s="3">
        <f t="shared" si="289"/>
        <v>0</v>
      </c>
      <c r="AL319" s="3">
        <f t="shared" si="290"/>
        <v>0</v>
      </c>
      <c r="AM319" s="17" t="str">
        <f>IF(SrcDB[[#This Row],[Pocet zmluv objednavatela]]&gt;3,SrcDB[[#This Row],[Objednavatel]],"Ostatné")</f>
        <v>Ostatné</v>
      </c>
      <c r="AN319" s="17" t="str">
        <f>IF(SrcDB[[#This Row],[Pocet zmluv dodavatela]]&gt;3,SrcDB[[#This Row],[Dodavatel]],"Ostatné")</f>
        <v>MICROCOMP – Computersystém s.r.o.</v>
      </c>
    </row>
    <row r="320" spans="1:40" x14ac:dyDescent="0.3">
      <c r="A320" s="2" t="s">
        <v>513</v>
      </c>
      <c r="B320" s="2">
        <v>5387136</v>
      </c>
      <c r="C320" s="3" t="str">
        <f t="shared" si="281"/>
        <v>Nie</v>
      </c>
      <c r="D320" s="3" t="str">
        <f t="shared" si="282"/>
        <v>Áno</v>
      </c>
      <c r="E320" s="3" t="s">
        <v>48</v>
      </c>
      <c r="F320" s="3" t="s">
        <v>49</v>
      </c>
      <c r="G320" s="2" t="str">
        <f t="shared" si="283"/>
        <v>Stredné zmluvy</v>
      </c>
      <c r="H320" s="5" t="s">
        <v>514</v>
      </c>
      <c r="I320" s="2" t="s">
        <v>515</v>
      </c>
      <c r="J320" s="2" t="s">
        <v>516</v>
      </c>
      <c r="K320" s="5">
        <v>31410952</v>
      </c>
      <c r="L320" s="2" t="s">
        <v>361</v>
      </c>
      <c r="M320" s="2" t="s">
        <v>362</v>
      </c>
      <c r="N320" s="6">
        <v>44196</v>
      </c>
      <c r="O320" s="4">
        <v>1638000</v>
      </c>
      <c r="P320" s="2">
        <v>114654</v>
      </c>
      <c r="Q320" s="2" t="s">
        <v>517</v>
      </c>
      <c r="R320" s="2" t="s">
        <v>518</v>
      </c>
      <c r="S320" s="2" t="s">
        <v>79</v>
      </c>
      <c r="T320" s="2" t="s">
        <v>79</v>
      </c>
      <c r="W320" s="4">
        <v>525</v>
      </c>
      <c r="X320" s="4">
        <v>630</v>
      </c>
      <c r="Y320" s="4">
        <f t="shared" ref="Y320" si="350">INDEX(InternalRates,MATCH($S320,InternalRates01,FALSE),2)</f>
        <v>278.98333333333335</v>
      </c>
      <c r="Z320" s="3" t="str">
        <f t="shared" si="286"/>
        <v>Nie</v>
      </c>
      <c r="AA320" s="3" t="str">
        <f t="shared" si="287"/>
        <v>SLA</v>
      </c>
      <c r="AB320" s="4">
        <v>260</v>
      </c>
      <c r="AD320" s="3" t="s">
        <v>48</v>
      </c>
      <c r="AE320" s="6">
        <v>44418</v>
      </c>
      <c r="AF320" s="3" t="s">
        <v>59</v>
      </c>
      <c r="AG320" s="3" t="s">
        <v>60</v>
      </c>
      <c r="AH320" s="3">
        <f>YEAR(SrcDB[[#This Row],[Datum_zverejnenia]])</f>
        <v>2020</v>
      </c>
      <c r="AI320" s="3" cm="1">
        <f t="array" ref="AI320">COUNT(_xlfn.UNIQUE(_xlfn._xlws.FILTER(SrcDB[ID],SrcDB[Objednavatel_ICO]=$H320)))</f>
        <v>3</v>
      </c>
      <c r="AJ320" s="3" cm="1">
        <f t="array" ref="AJ320">COUNT(_xlfn.UNIQUE(_xlfn._xlws.FILTER(SrcDB[ID],SrcDB[Dodavatel_ICO]=$K320)))</f>
        <v>5</v>
      </c>
      <c r="AK320" s="3">
        <f t="shared" si="289"/>
        <v>0</v>
      </c>
      <c r="AL320" s="3">
        <f t="shared" si="290"/>
        <v>0</v>
      </c>
      <c r="AM320" s="17" t="str">
        <f>IF(SrcDB[[#This Row],[Pocet zmluv objednavatela]]&gt;3,SrcDB[[#This Row],[Objednavatel]],"Ostatné")</f>
        <v>Ostatné</v>
      </c>
      <c r="AN320" s="17" t="str">
        <f>IF(SrcDB[[#This Row],[Pocet zmluv dodavatela]]&gt;3,SrcDB[[#This Row],[Dodavatel]],"Ostatné")</f>
        <v>MICROCOMP – Computersystém s.r.o.</v>
      </c>
    </row>
    <row r="321" spans="1:40" x14ac:dyDescent="0.3">
      <c r="A321" s="2" t="s">
        <v>513</v>
      </c>
      <c r="B321" s="2">
        <v>5387136</v>
      </c>
      <c r="C321" s="3" t="str">
        <f t="shared" si="281"/>
        <v>Nie</v>
      </c>
      <c r="D321" s="3" t="str">
        <f t="shared" si="282"/>
        <v>Áno</v>
      </c>
      <c r="E321" s="3" t="s">
        <v>48</v>
      </c>
      <c r="F321" s="3" t="s">
        <v>49</v>
      </c>
      <c r="G321" s="2" t="str">
        <f t="shared" si="283"/>
        <v>Stredné zmluvy</v>
      </c>
      <c r="H321" s="5" t="s">
        <v>514</v>
      </c>
      <c r="I321" s="2" t="s">
        <v>515</v>
      </c>
      <c r="J321" s="2" t="s">
        <v>516</v>
      </c>
      <c r="K321" s="5">
        <v>31410952</v>
      </c>
      <c r="L321" s="2" t="s">
        <v>361</v>
      </c>
      <c r="M321" s="2" t="s">
        <v>362</v>
      </c>
      <c r="N321" s="6">
        <v>44196</v>
      </c>
      <c r="O321" s="4">
        <v>1638000</v>
      </c>
      <c r="P321" s="2">
        <v>114654</v>
      </c>
      <c r="Q321" s="2" t="s">
        <v>517</v>
      </c>
      <c r="R321" s="2" t="s">
        <v>518</v>
      </c>
      <c r="S321" s="2" t="s">
        <v>56</v>
      </c>
      <c r="T321" s="2" t="s">
        <v>328</v>
      </c>
      <c r="U321" s="2" t="s">
        <v>113</v>
      </c>
      <c r="W321" s="4">
        <v>525</v>
      </c>
      <c r="X321" s="4">
        <v>630</v>
      </c>
      <c r="Y321" s="4">
        <f t="shared" ref="Y321" si="351">INDEX(InternalRates,MATCH($S321,InternalRates01,FALSE),2)</f>
        <v>278.98333333333335</v>
      </c>
      <c r="Z321" s="3" t="str">
        <f t="shared" si="286"/>
        <v>Nie</v>
      </c>
      <c r="AA321" s="3" t="str">
        <f t="shared" si="287"/>
        <v>SLA</v>
      </c>
      <c r="AB321" s="4">
        <v>200</v>
      </c>
      <c r="AD321" s="3" t="s">
        <v>48</v>
      </c>
      <c r="AE321" s="6">
        <v>44418</v>
      </c>
      <c r="AF321" s="3" t="s">
        <v>59</v>
      </c>
      <c r="AG321" s="3" t="s">
        <v>60</v>
      </c>
      <c r="AH321" s="3">
        <f>YEAR(SrcDB[[#This Row],[Datum_zverejnenia]])</f>
        <v>2020</v>
      </c>
      <c r="AI321" s="3" cm="1">
        <f t="array" ref="AI321">COUNT(_xlfn.UNIQUE(_xlfn._xlws.FILTER(SrcDB[ID],SrcDB[Objednavatel_ICO]=$H321)))</f>
        <v>3</v>
      </c>
      <c r="AJ321" s="3" cm="1">
        <f t="array" ref="AJ321">COUNT(_xlfn.UNIQUE(_xlfn._xlws.FILTER(SrcDB[ID],SrcDB[Dodavatel_ICO]=$K321)))</f>
        <v>5</v>
      </c>
      <c r="AK321" s="3">
        <f t="shared" si="289"/>
        <v>0</v>
      </c>
      <c r="AL321" s="3">
        <f t="shared" si="290"/>
        <v>0</v>
      </c>
      <c r="AM321" s="17" t="str">
        <f>IF(SrcDB[[#This Row],[Pocet zmluv objednavatela]]&gt;3,SrcDB[[#This Row],[Objednavatel]],"Ostatné")</f>
        <v>Ostatné</v>
      </c>
      <c r="AN321" s="17" t="str">
        <f>IF(SrcDB[[#This Row],[Pocet zmluv dodavatela]]&gt;3,SrcDB[[#This Row],[Dodavatel]],"Ostatné")</f>
        <v>MICROCOMP – Computersystém s.r.o.</v>
      </c>
    </row>
    <row r="322" spans="1:40" x14ac:dyDescent="0.3">
      <c r="A322" s="2" t="s">
        <v>513</v>
      </c>
      <c r="B322" s="2">
        <v>5387136</v>
      </c>
      <c r="C322" s="3" t="str">
        <f t="shared" ref="C322:C385" si="352">IF(OR(NOT(ISERROR(FIND("O DIEL",UPPER($A322)))),NOT(ISERROR(FIND("O IMPLEM",UPPER($A322)))))=TRUE,"Áno",IF(OR(NOT(ISERROR(FIND("PODPOR",UPPER($A322)))),NOT(ISERROR(FIND("SLA",UPPER($A322)))),NOT(ISERROR(FIND("SERVIS",UPPER($A322)))))=TRUE,"Nie","Nejasné"))</f>
        <v>Nie</v>
      </c>
      <c r="D322" s="3" t="str">
        <f t="shared" ref="D322:D385" si="353">IF(OR(NOT(ISERROR(FIND("PODPOR",UPPER($A322)))),NOT(ISERROR(FIND("SLA",UPPER($A322)))),NOT(ISERROR(FIND("SERVIS",UPPER($A322)))))=TRUE,"Áno",IF(OR(NOT(ISERROR(FIND("O DIEL",UPPER($A322)))),NOT(ISERROR(FIND("O IMPLEM",UPPER($A322)))))=TRUE,"Nie","Nejasné"))</f>
        <v>Áno</v>
      </c>
      <c r="E322" s="3" t="s">
        <v>48</v>
      </c>
      <c r="F322" s="3" t="s">
        <v>49</v>
      </c>
      <c r="G322" s="2" t="str">
        <f t="shared" ref="G322:G385" si="354">IF($O322&gt;=8000000,"Veľké zmluvy",IF($O322&gt;=1000000,"Stredné zmluvy","Malé zmluvy"))</f>
        <v>Stredné zmluvy</v>
      </c>
      <c r="H322" s="5" t="s">
        <v>514</v>
      </c>
      <c r="I322" s="2" t="s">
        <v>515</v>
      </c>
      <c r="J322" s="2" t="s">
        <v>516</v>
      </c>
      <c r="K322" s="5">
        <v>31410952</v>
      </c>
      <c r="L322" s="2" t="s">
        <v>361</v>
      </c>
      <c r="M322" s="2" t="s">
        <v>362</v>
      </c>
      <c r="N322" s="6">
        <v>44196</v>
      </c>
      <c r="O322" s="4">
        <v>1638000</v>
      </c>
      <c r="P322" s="2">
        <v>114654</v>
      </c>
      <c r="Q322" s="2" t="s">
        <v>517</v>
      </c>
      <c r="R322" s="2" t="s">
        <v>518</v>
      </c>
      <c r="S322" s="2" t="s">
        <v>56</v>
      </c>
      <c r="T322" s="2" t="s">
        <v>503</v>
      </c>
      <c r="U322" s="2" t="s">
        <v>95</v>
      </c>
      <c r="W322" s="4">
        <v>525</v>
      </c>
      <c r="X322" s="4">
        <v>630</v>
      </c>
      <c r="Y322" s="4">
        <f t="shared" ref="Y322" si="355">INDEX(InternalRates,MATCH($S322,InternalRates01,FALSE),2)</f>
        <v>278.98333333333335</v>
      </c>
      <c r="Z322" s="3" t="str">
        <f t="shared" si="286"/>
        <v>Nie</v>
      </c>
      <c r="AA322" s="3" t="str">
        <f t="shared" si="287"/>
        <v>SLA</v>
      </c>
      <c r="AB322" s="4">
        <v>140</v>
      </c>
      <c r="AD322" s="3" t="s">
        <v>48</v>
      </c>
      <c r="AE322" s="6">
        <v>44418</v>
      </c>
      <c r="AF322" s="3" t="s">
        <v>59</v>
      </c>
      <c r="AG322" s="3" t="s">
        <v>60</v>
      </c>
      <c r="AH322" s="3">
        <f>YEAR(SrcDB[[#This Row],[Datum_zverejnenia]])</f>
        <v>2020</v>
      </c>
      <c r="AI322" s="3" cm="1">
        <f t="array" ref="AI322">COUNT(_xlfn.UNIQUE(_xlfn._xlws.FILTER(SrcDB[ID],SrcDB[Objednavatel_ICO]=$H322)))</f>
        <v>3</v>
      </c>
      <c r="AJ322" s="3" cm="1">
        <f t="array" ref="AJ322">COUNT(_xlfn.UNIQUE(_xlfn._xlws.FILTER(SrcDB[ID],SrcDB[Dodavatel_ICO]=$K322)))</f>
        <v>5</v>
      </c>
      <c r="AK322" s="3">
        <f t="shared" si="289"/>
        <v>0</v>
      </c>
      <c r="AL322" s="3">
        <f t="shared" si="290"/>
        <v>0</v>
      </c>
      <c r="AM322" s="17" t="str">
        <f>IF(SrcDB[[#This Row],[Pocet zmluv objednavatela]]&gt;3,SrcDB[[#This Row],[Objednavatel]],"Ostatné")</f>
        <v>Ostatné</v>
      </c>
      <c r="AN322" s="17" t="str">
        <f>IF(SrcDB[[#This Row],[Pocet zmluv dodavatela]]&gt;3,SrcDB[[#This Row],[Dodavatel]],"Ostatné")</f>
        <v>MICROCOMP – Computersystém s.r.o.</v>
      </c>
    </row>
    <row r="323" spans="1:40" x14ac:dyDescent="0.3">
      <c r="A323" s="2" t="s">
        <v>513</v>
      </c>
      <c r="B323" s="2">
        <v>5387136</v>
      </c>
      <c r="C323" s="3" t="str">
        <f t="shared" si="352"/>
        <v>Nie</v>
      </c>
      <c r="D323" s="3" t="str">
        <f t="shared" si="353"/>
        <v>Áno</v>
      </c>
      <c r="E323" s="3" t="s">
        <v>48</v>
      </c>
      <c r="F323" s="3" t="s">
        <v>49</v>
      </c>
      <c r="G323" s="2" t="str">
        <f t="shared" si="354"/>
        <v>Stredné zmluvy</v>
      </c>
      <c r="H323" s="5" t="s">
        <v>514</v>
      </c>
      <c r="I323" s="2" t="s">
        <v>515</v>
      </c>
      <c r="J323" s="2" t="s">
        <v>516</v>
      </c>
      <c r="K323" s="5">
        <v>31410952</v>
      </c>
      <c r="L323" s="2" t="s">
        <v>361</v>
      </c>
      <c r="M323" s="2" t="s">
        <v>362</v>
      </c>
      <c r="N323" s="6">
        <v>44196</v>
      </c>
      <c r="O323" s="4">
        <v>1638000</v>
      </c>
      <c r="P323" s="2">
        <v>114654</v>
      </c>
      <c r="Q323" s="2" t="s">
        <v>517</v>
      </c>
      <c r="R323" s="2" t="s">
        <v>518</v>
      </c>
      <c r="S323" s="2" t="s">
        <v>69</v>
      </c>
      <c r="T323" s="2" t="s">
        <v>70</v>
      </c>
      <c r="W323" s="4">
        <v>525</v>
      </c>
      <c r="X323" s="4">
        <v>630</v>
      </c>
      <c r="Y323" s="4">
        <f t="shared" ref="Y323" si="356">INDEX(InternalRates,MATCH($S323,InternalRates01,FALSE),2)</f>
        <v>278.98333333333335</v>
      </c>
      <c r="Z323" s="3" t="str">
        <f t="shared" ref="Z323:Z366" si="357">IF(W323&gt;0,IF(Y323&gt;W323,"Áno","Nie"),"Nie")</f>
        <v>Nie</v>
      </c>
      <c r="AA323" s="3" t="str">
        <f t="shared" ref="AA323:AA366" si="358">IF(E323="Nie","SLA",IF(F323="Nie","ZoD","SLA+ZoD"))</f>
        <v>SLA</v>
      </c>
      <c r="AB323" s="4">
        <v>100</v>
      </c>
      <c r="AD323" s="3" t="s">
        <v>48</v>
      </c>
      <c r="AE323" s="6">
        <v>44418</v>
      </c>
      <c r="AF323" s="3" t="s">
        <v>59</v>
      </c>
      <c r="AG323" s="3" t="s">
        <v>60</v>
      </c>
      <c r="AH323" s="3">
        <f>YEAR(SrcDB[[#This Row],[Datum_zverejnenia]])</f>
        <v>2020</v>
      </c>
      <c r="AI323" s="3" cm="1">
        <f t="array" ref="AI323">COUNT(_xlfn.UNIQUE(_xlfn._xlws.FILTER(SrcDB[ID],SrcDB[Objednavatel_ICO]=$H323)))</f>
        <v>3</v>
      </c>
      <c r="AJ323" s="3" cm="1">
        <f t="array" ref="AJ323">COUNT(_xlfn.UNIQUE(_xlfn._xlws.FILTER(SrcDB[ID],SrcDB[Dodavatel_ICO]=$K323)))</f>
        <v>5</v>
      </c>
      <c r="AK323" s="3">
        <f t="shared" si="289"/>
        <v>0</v>
      </c>
      <c r="AL323" s="3">
        <f t="shared" si="290"/>
        <v>0</v>
      </c>
      <c r="AM323" s="17" t="str">
        <f>IF(SrcDB[[#This Row],[Pocet zmluv objednavatela]]&gt;3,SrcDB[[#This Row],[Objednavatel]],"Ostatné")</f>
        <v>Ostatné</v>
      </c>
      <c r="AN323" s="17" t="str">
        <f>IF(SrcDB[[#This Row],[Pocet zmluv dodavatela]]&gt;3,SrcDB[[#This Row],[Dodavatel]],"Ostatné")</f>
        <v>MICROCOMP – Computersystém s.r.o.</v>
      </c>
    </row>
    <row r="324" spans="1:40" x14ac:dyDescent="0.3">
      <c r="A324" s="2" t="s">
        <v>513</v>
      </c>
      <c r="B324" s="2">
        <v>5387136</v>
      </c>
      <c r="C324" s="3" t="str">
        <f t="shared" si="352"/>
        <v>Nie</v>
      </c>
      <c r="D324" s="3" t="str">
        <f t="shared" si="353"/>
        <v>Áno</v>
      </c>
      <c r="E324" s="3" t="s">
        <v>48</v>
      </c>
      <c r="F324" s="3" t="s">
        <v>49</v>
      </c>
      <c r="G324" s="2" t="str">
        <f t="shared" si="354"/>
        <v>Stredné zmluvy</v>
      </c>
      <c r="H324" s="5" t="s">
        <v>514</v>
      </c>
      <c r="I324" s="2" t="s">
        <v>515</v>
      </c>
      <c r="J324" s="2" t="s">
        <v>516</v>
      </c>
      <c r="K324" s="5">
        <v>31410952</v>
      </c>
      <c r="L324" s="2" t="s">
        <v>361</v>
      </c>
      <c r="M324" s="2" t="s">
        <v>362</v>
      </c>
      <c r="N324" s="6">
        <v>44196</v>
      </c>
      <c r="O324" s="4">
        <v>1638000</v>
      </c>
      <c r="P324" s="2">
        <v>114654</v>
      </c>
      <c r="Q324" s="2" t="s">
        <v>517</v>
      </c>
      <c r="R324" s="2" t="s">
        <v>518</v>
      </c>
      <c r="S324" s="2" t="s">
        <v>56</v>
      </c>
      <c r="T324" s="2" t="s">
        <v>522</v>
      </c>
      <c r="U324" s="2" t="s">
        <v>289</v>
      </c>
      <c r="W324" s="4">
        <v>525</v>
      </c>
      <c r="X324" s="4">
        <v>630</v>
      </c>
      <c r="Y324" s="4">
        <f t="shared" ref="Y324" si="359">INDEX(InternalRates,MATCH($S324,InternalRates01,FALSE),2)</f>
        <v>278.98333333333335</v>
      </c>
      <c r="Z324" s="3" t="str">
        <f t="shared" si="357"/>
        <v>Nie</v>
      </c>
      <c r="AA324" s="3" t="str">
        <f t="shared" si="358"/>
        <v>SLA</v>
      </c>
      <c r="AB324" s="4">
        <v>100</v>
      </c>
      <c r="AD324" s="3" t="s">
        <v>48</v>
      </c>
      <c r="AE324" s="6">
        <v>44418</v>
      </c>
      <c r="AF324" s="3" t="s">
        <v>59</v>
      </c>
      <c r="AG324" s="3" t="s">
        <v>60</v>
      </c>
      <c r="AH324" s="3">
        <f>YEAR(SrcDB[[#This Row],[Datum_zverejnenia]])</f>
        <v>2020</v>
      </c>
      <c r="AI324" s="3" cm="1">
        <f t="array" ref="AI324">COUNT(_xlfn.UNIQUE(_xlfn._xlws.FILTER(SrcDB[ID],SrcDB[Objednavatel_ICO]=$H324)))</f>
        <v>3</v>
      </c>
      <c r="AJ324" s="3" cm="1">
        <f t="array" ref="AJ324">COUNT(_xlfn.UNIQUE(_xlfn._xlws.FILTER(SrcDB[ID],SrcDB[Dodavatel_ICO]=$K324)))</f>
        <v>5</v>
      </c>
      <c r="AK324" s="3">
        <f t="shared" ref="AK324:AK387" si="360">IF($H323&lt;&gt;$H324,1,IF($B323&lt;&gt;$B324,1,0))</f>
        <v>0</v>
      </c>
      <c r="AL324" s="3">
        <f t="shared" ref="AL324:AL387" si="361">IF($K323&lt;&gt;$K324,1,IF($B323&lt;&gt;$B324,1,0))</f>
        <v>0</v>
      </c>
      <c r="AM324" s="17" t="str">
        <f>IF(SrcDB[[#This Row],[Pocet zmluv objednavatela]]&gt;3,SrcDB[[#This Row],[Objednavatel]],"Ostatné")</f>
        <v>Ostatné</v>
      </c>
      <c r="AN324" s="17" t="str">
        <f>IF(SrcDB[[#This Row],[Pocet zmluv dodavatela]]&gt;3,SrcDB[[#This Row],[Dodavatel]],"Ostatné")</f>
        <v>MICROCOMP – Computersystém s.r.o.</v>
      </c>
    </row>
    <row r="325" spans="1:40" x14ac:dyDescent="0.3">
      <c r="A325" s="2" t="s">
        <v>513</v>
      </c>
      <c r="B325" s="2">
        <v>5387136</v>
      </c>
      <c r="C325" s="3" t="str">
        <f t="shared" si="352"/>
        <v>Nie</v>
      </c>
      <c r="D325" s="3" t="str">
        <f t="shared" si="353"/>
        <v>Áno</v>
      </c>
      <c r="E325" s="3" t="s">
        <v>48</v>
      </c>
      <c r="F325" s="3" t="s">
        <v>49</v>
      </c>
      <c r="G325" s="2" t="str">
        <f t="shared" si="354"/>
        <v>Stredné zmluvy</v>
      </c>
      <c r="H325" s="5" t="s">
        <v>514</v>
      </c>
      <c r="I325" s="2" t="s">
        <v>515</v>
      </c>
      <c r="J325" s="2" t="s">
        <v>516</v>
      </c>
      <c r="K325" s="5">
        <v>31410952</v>
      </c>
      <c r="L325" s="2" t="s">
        <v>361</v>
      </c>
      <c r="M325" s="2" t="s">
        <v>362</v>
      </c>
      <c r="N325" s="6">
        <v>44196</v>
      </c>
      <c r="O325" s="4">
        <v>1638000</v>
      </c>
      <c r="P325" s="2">
        <v>114654</v>
      </c>
      <c r="Q325" s="2" t="s">
        <v>517</v>
      </c>
      <c r="R325" s="2" t="s">
        <v>518</v>
      </c>
      <c r="S325" s="2" t="s">
        <v>98</v>
      </c>
      <c r="T325" s="2" t="s">
        <v>461</v>
      </c>
      <c r="W325" s="4">
        <v>525</v>
      </c>
      <c r="X325" s="4">
        <v>630</v>
      </c>
      <c r="Y325" s="4">
        <f t="shared" ref="Y325" si="362">INDEX(InternalRates,MATCH($S325,InternalRates01,FALSE),2)</f>
        <v>278.98333333333335</v>
      </c>
      <c r="Z325" s="3" t="str">
        <f t="shared" si="357"/>
        <v>Nie</v>
      </c>
      <c r="AA325" s="3" t="str">
        <f t="shared" si="358"/>
        <v>SLA</v>
      </c>
      <c r="AB325" s="4">
        <v>120</v>
      </c>
      <c r="AD325" s="3" t="s">
        <v>48</v>
      </c>
      <c r="AE325" s="6">
        <v>44418</v>
      </c>
      <c r="AF325" s="3" t="s">
        <v>59</v>
      </c>
      <c r="AG325" s="3" t="s">
        <v>60</v>
      </c>
      <c r="AH325" s="3">
        <f>YEAR(SrcDB[[#This Row],[Datum_zverejnenia]])</f>
        <v>2020</v>
      </c>
      <c r="AI325" s="3" cm="1">
        <f t="array" ref="AI325">COUNT(_xlfn.UNIQUE(_xlfn._xlws.FILTER(SrcDB[ID],SrcDB[Objednavatel_ICO]=$H325)))</f>
        <v>3</v>
      </c>
      <c r="AJ325" s="3" cm="1">
        <f t="array" ref="AJ325">COUNT(_xlfn.UNIQUE(_xlfn._xlws.FILTER(SrcDB[ID],SrcDB[Dodavatel_ICO]=$K325)))</f>
        <v>5</v>
      </c>
      <c r="AK325" s="3">
        <f t="shared" si="360"/>
        <v>0</v>
      </c>
      <c r="AL325" s="3">
        <f t="shared" si="361"/>
        <v>0</v>
      </c>
      <c r="AM325" s="17" t="str">
        <f>IF(SrcDB[[#This Row],[Pocet zmluv objednavatela]]&gt;3,SrcDB[[#This Row],[Objednavatel]],"Ostatné")</f>
        <v>Ostatné</v>
      </c>
      <c r="AN325" s="17" t="str">
        <f>IF(SrcDB[[#This Row],[Pocet zmluv dodavatela]]&gt;3,SrcDB[[#This Row],[Dodavatel]],"Ostatné")</f>
        <v>MICROCOMP – Computersystém s.r.o.</v>
      </c>
    </row>
    <row r="326" spans="1:40" x14ac:dyDescent="0.3">
      <c r="A326" s="2" t="s">
        <v>523</v>
      </c>
      <c r="B326" s="2">
        <v>5454518</v>
      </c>
      <c r="C326" s="3" t="str">
        <f t="shared" si="352"/>
        <v>Nejasné</v>
      </c>
      <c r="D326" s="3" t="str">
        <f t="shared" si="353"/>
        <v>Nejasné</v>
      </c>
      <c r="E326" s="3" t="s">
        <v>49</v>
      </c>
      <c r="F326" s="3" t="s">
        <v>49</v>
      </c>
      <c r="G326" s="2" t="str">
        <f t="shared" si="354"/>
        <v>Stredné zmluvy</v>
      </c>
      <c r="H326" s="5" t="s">
        <v>524</v>
      </c>
      <c r="I326" s="2" t="s">
        <v>525</v>
      </c>
      <c r="J326" s="2" t="s">
        <v>526</v>
      </c>
      <c r="K326" s="5">
        <v>35810734</v>
      </c>
      <c r="L326" s="2" t="s">
        <v>257</v>
      </c>
      <c r="M326" s="2" t="s">
        <v>53</v>
      </c>
      <c r="N326" s="6">
        <v>44223.614374999997</v>
      </c>
      <c r="O326" s="4">
        <v>1261000</v>
      </c>
      <c r="P326" s="2">
        <v>114499</v>
      </c>
      <c r="Q326" s="2" t="s">
        <v>527</v>
      </c>
      <c r="R326" s="2" t="s">
        <v>528</v>
      </c>
      <c r="S326" s="2" t="s">
        <v>183</v>
      </c>
      <c r="T326" s="2" t="s">
        <v>529</v>
      </c>
      <c r="W326" s="4">
        <v>560</v>
      </c>
      <c r="X326" s="4">
        <v>672</v>
      </c>
      <c r="Y326" s="4">
        <f t="shared" ref="Y326" si="363">INDEX(InternalRates,MATCH($S326,InternalRates01,FALSE),2)</f>
        <v>278.98333333333335</v>
      </c>
      <c r="Z326" s="3" t="str">
        <f t="shared" si="357"/>
        <v>Nie</v>
      </c>
      <c r="AA326" s="3" t="str">
        <f t="shared" si="358"/>
        <v>SLA+ZoD</v>
      </c>
      <c r="AB326" s="4">
        <v>50</v>
      </c>
      <c r="AD326" s="3" t="s">
        <v>48</v>
      </c>
      <c r="AE326" s="6">
        <v>44413</v>
      </c>
      <c r="AF326" s="3" t="s">
        <v>59</v>
      </c>
      <c r="AG326" s="3" t="s">
        <v>60</v>
      </c>
      <c r="AH326" s="3">
        <f>YEAR(SrcDB[[#This Row],[Datum_zverejnenia]])</f>
        <v>2021</v>
      </c>
      <c r="AI326" s="3" cm="1">
        <f t="array" ref="AI326">COUNT(_xlfn.UNIQUE(_xlfn._xlws.FILTER(SrcDB[ID],SrcDB[Objednavatel_ICO]=$H326)))</f>
        <v>4</v>
      </c>
      <c r="AJ326" s="3" cm="1">
        <f t="array" ref="AJ326">COUNT(_xlfn.UNIQUE(_xlfn._xlws.FILTER(SrcDB[ID],SrcDB[Dodavatel_ICO]=$K326)))</f>
        <v>10</v>
      </c>
      <c r="AK326" s="3">
        <f t="shared" si="360"/>
        <v>1</v>
      </c>
      <c r="AL326" s="3">
        <f t="shared" si="361"/>
        <v>1</v>
      </c>
      <c r="AM326" s="17" t="str">
        <f>IF(SrcDB[[#This Row],[Pocet zmluv objednavatela]]&gt;3,SrcDB[[#This Row],[Objednavatel]],"Ostatné")</f>
        <v>Ministerstvo hospodárstva Slovenskej republiky</v>
      </c>
      <c r="AN326" s="17" t="str">
        <f>IF(SrcDB[[#This Row],[Pocet zmluv dodavatela]]&gt;3,SrcDB[[#This Row],[Dodavatel]],"Ostatné")</f>
        <v>DATALAN, a.s.</v>
      </c>
    </row>
    <row r="327" spans="1:40" x14ac:dyDescent="0.3">
      <c r="A327" s="2" t="s">
        <v>523</v>
      </c>
      <c r="B327" s="2">
        <v>5454518</v>
      </c>
      <c r="C327" s="3" t="str">
        <f t="shared" si="352"/>
        <v>Nejasné</v>
      </c>
      <c r="D327" s="3" t="str">
        <f t="shared" si="353"/>
        <v>Nejasné</v>
      </c>
      <c r="E327" s="3" t="s">
        <v>49</v>
      </c>
      <c r="F327" s="3" t="s">
        <v>49</v>
      </c>
      <c r="G327" s="2" t="str">
        <f t="shared" si="354"/>
        <v>Stredné zmluvy</v>
      </c>
      <c r="H327" s="5" t="s">
        <v>524</v>
      </c>
      <c r="I327" s="2" t="s">
        <v>525</v>
      </c>
      <c r="J327" s="2" t="s">
        <v>526</v>
      </c>
      <c r="K327" s="5">
        <v>35810734</v>
      </c>
      <c r="L327" s="2" t="s">
        <v>257</v>
      </c>
      <c r="M327" s="2" t="s">
        <v>53</v>
      </c>
      <c r="N327" s="6">
        <v>44223.614374999997</v>
      </c>
      <c r="O327" s="4">
        <v>1261000</v>
      </c>
      <c r="P327" s="2">
        <v>114499</v>
      </c>
      <c r="Q327" s="2" t="s">
        <v>527</v>
      </c>
      <c r="R327" s="2" t="s">
        <v>528</v>
      </c>
      <c r="S327" s="2" t="s">
        <v>183</v>
      </c>
      <c r="T327" s="2" t="s">
        <v>530</v>
      </c>
      <c r="W327" s="4">
        <v>560</v>
      </c>
      <c r="X327" s="4">
        <v>672</v>
      </c>
      <c r="Y327" s="4">
        <f t="shared" ref="Y327" si="364">INDEX(InternalRates,MATCH($S327,InternalRates01,FALSE),2)</f>
        <v>278.98333333333335</v>
      </c>
      <c r="Z327" s="3" t="str">
        <f t="shared" si="357"/>
        <v>Nie</v>
      </c>
      <c r="AA327" s="3" t="str">
        <f t="shared" si="358"/>
        <v>SLA+ZoD</v>
      </c>
      <c r="AB327" s="4">
        <v>50</v>
      </c>
      <c r="AD327" s="3" t="s">
        <v>48</v>
      </c>
      <c r="AE327" s="6">
        <v>44413</v>
      </c>
      <c r="AF327" s="3" t="s">
        <v>59</v>
      </c>
      <c r="AG327" s="3" t="s">
        <v>60</v>
      </c>
      <c r="AH327" s="3">
        <f>YEAR(SrcDB[[#This Row],[Datum_zverejnenia]])</f>
        <v>2021</v>
      </c>
      <c r="AI327" s="3" cm="1">
        <f t="array" ref="AI327">COUNT(_xlfn.UNIQUE(_xlfn._xlws.FILTER(SrcDB[ID],SrcDB[Objednavatel_ICO]=$H327)))</f>
        <v>4</v>
      </c>
      <c r="AJ327" s="3" cm="1">
        <f t="array" ref="AJ327">COUNT(_xlfn.UNIQUE(_xlfn._xlws.FILTER(SrcDB[ID],SrcDB[Dodavatel_ICO]=$K327)))</f>
        <v>10</v>
      </c>
      <c r="AK327" s="3">
        <f t="shared" si="360"/>
        <v>0</v>
      </c>
      <c r="AL327" s="3">
        <f t="shared" si="361"/>
        <v>0</v>
      </c>
      <c r="AM327" s="17" t="str">
        <f>IF(SrcDB[[#This Row],[Pocet zmluv objednavatela]]&gt;3,SrcDB[[#This Row],[Objednavatel]],"Ostatné")</f>
        <v>Ministerstvo hospodárstva Slovenskej republiky</v>
      </c>
      <c r="AN327" s="17" t="str">
        <f>IF(SrcDB[[#This Row],[Pocet zmluv dodavatela]]&gt;3,SrcDB[[#This Row],[Dodavatel]],"Ostatné")</f>
        <v>DATALAN, a.s.</v>
      </c>
    </row>
    <row r="328" spans="1:40" x14ac:dyDescent="0.3">
      <c r="A328" s="2" t="s">
        <v>523</v>
      </c>
      <c r="B328" s="2">
        <v>5454518</v>
      </c>
      <c r="C328" s="3" t="str">
        <f t="shared" si="352"/>
        <v>Nejasné</v>
      </c>
      <c r="D328" s="3" t="str">
        <f t="shared" si="353"/>
        <v>Nejasné</v>
      </c>
      <c r="E328" s="3" t="s">
        <v>49</v>
      </c>
      <c r="F328" s="3" t="s">
        <v>49</v>
      </c>
      <c r="G328" s="2" t="str">
        <f t="shared" si="354"/>
        <v>Stredné zmluvy</v>
      </c>
      <c r="H328" s="5" t="s">
        <v>524</v>
      </c>
      <c r="I328" s="2" t="s">
        <v>525</v>
      </c>
      <c r="J328" s="2" t="s">
        <v>526</v>
      </c>
      <c r="K328" s="5">
        <v>35810734</v>
      </c>
      <c r="L328" s="2" t="s">
        <v>257</v>
      </c>
      <c r="M328" s="2" t="s">
        <v>53</v>
      </c>
      <c r="N328" s="6">
        <v>44223.614374999997</v>
      </c>
      <c r="O328" s="4">
        <v>1261000</v>
      </c>
      <c r="P328" s="2">
        <v>114499</v>
      </c>
      <c r="Q328" s="2" t="s">
        <v>527</v>
      </c>
      <c r="R328" s="2" t="s">
        <v>528</v>
      </c>
      <c r="S328" s="2" t="s">
        <v>183</v>
      </c>
      <c r="T328" s="2" t="s">
        <v>531</v>
      </c>
      <c r="W328" s="4">
        <v>400</v>
      </c>
      <c r="X328" s="4">
        <v>480</v>
      </c>
      <c r="Y328" s="4">
        <f t="shared" ref="Y328" si="365">INDEX(InternalRates,MATCH($S328,InternalRates01,FALSE),2)</f>
        <v>278.98333333333335</v>
      </c>
      <c r="Z328" s="3" t="str">
        <f t="shared" si="357"/>
        <v>Nie</v>
      </c>
      <c r="AA328" s="3" t="str">
        <f t="shared" si="358"/>
        <v>SLA+ZoD</v>
      </c>
      <c r="AB328" s="4">
        <v>75</v>
      </c>
      <c r="AD328" s="3" t="s">
        <v>48</v>
      </c>
      <c r="AE328" s="6">
        <v>44413</v>
      </c>
      <c r="AF328" s="3" t="s">
        <v>59</v>
      </c>
      <c r="AG328" s="3" t="s">
        <v>60</v>
      </c>
      <c r="AH328" s="3">
        <f>YEAR(SrcDB[[#This Row],[Datum_zverejnenia]])</f>
        <v>2021</v>
      </c>
      <c r="AI328" s="3" cm="1">
        <f t="array" ref="AI328">COUNT(_xlfn.UNIQUE(_xlfn._xlws.FILTER(SrcDB[ID],SrcDB[Objednavatel_ICO]=$H328)))</f>
        <v>4</v>
      </c>
      <c r="AJ328" s="3" cm="1">
        <f t="array" ref="AJ328">COUNT(_xlfn.UNIQUE(_xlfn._xlws.FILTER(SrcDB[ID],SrcDB[Dodavatel_ICO]=$K328)))</f>
        <v>10</v>
      </c>
      <c r="AK328" s="3">
        <f t="shared" si="360"/>
        <v>0</v>
      </c>
      <c r="AL328" s="3">
        <f t="shared" si="361"/>
        <v>0</v>
      </c>
      <c r="AM328" s="17" t="str">
        <f>IF(SrcDB[[#This Row],[Pocet zmluv objednavatela]]&gt;3,SrcDB[[#This Row],[Objednavatel]],"Ostatné")</f>
        <v>Ministerstvo hospodárstva Slovenskej republiky</v>
      </c>
      <c r="AN328" s="17" t="str">
        <f>IF(SrcDB[[#This Row],[Pocet zmluv dodavatela]]&gt;3,SrcDB[[#This Row],[Dodavatel]],"Ostatné")</f>
        <v>DATALAN, a.s.</v>
      </c>
    </row>
    <row r="329" spans="1:40" x14ac:dyDescent="0.3">
      <c r="A329" s="2" t="s">
        <v>523</v>
      </c>
      <c r="B329" s="2">
        <v>5454518</v>
      </c>
      <c r="C329" s="3" t="str">
        <f t="shared" si="352"/>
        <v>Nejasné</v>
      </c>
      <c r="D329" s="3" t="str">
        <f t="shared" si="353"/>
        <v>Nejasné</v>
      </c>
      <c r="E329" s="3" t="s">
        <v>49</v>
      </c>
      <c r="F329" s="3" t="s">
        <v>49</v>
      </c>
      <c r="G329" s="2" t="str">
        <f t="shared" si="354"/>
        <v>Stredné zmluvy</v>
      </c>
      <c r="H329" s="5" t="s">
        <v>524</v>
      </c>
      <c r="I329" s="2" t="s">
        <v>525</v>
      </c>
      <c r="J329" s="2" t="s">
        <v>526</v>
      </c>
      <c r="K329" s="5">
        <v>35810734</v>
      </c>
      <c r="L329" s="2" t="s">
        <v>257</v>
      </c>
      <c r="M329" s="2" t="s">
        <v>53</v>
      </c>
      <c r="N329" s="6">
        <v>44223.614374999997</v>
      </c>
      <c r="O329" s="4">
        <v>1261000</v>
      </c>
      <c r="P329" s="2">
        <v>114499</v>
      </c>
      <c r="Q329" s="2" t="s">
        <v>527</v>
      </c>
      <c r="R329" s="2" t="s">
        <v>528</v>
      </c>
      <c r="S329" s="2" t="s">
        <v>183</v>
      </c>
      <c r="T329" s="2" t="s">
        <v>532</v>
      </c>
      <c r="W329" s="4">
        <v>560</v>
      </c>
      <c r="X329" s="4">
        <v>672</v>
      </c>
      <c r="Y329" s="4">
        <f t="shared" ref="Y329" si="366">INDEX(InternalRates,MATCH($S329,InternalRates01,FALSE),2)</f>
        <v>278.98333333333335</v>
      </c>
      <c r="Z329" s="3" t="str">
        <f t="shared" si="357"/>
        <v>Nie</v>
      </c>
      <c r="AA329" s="3" t="str">
        <f t="shared" si="358"/>
        <v>SLA+ZoD</v>
      </c>
      <c r="AB329" s="4">
        <v>62.5</v>
      </c>
      <c r="AD329" s="3" t="s">
        <v>48</v>
      </c>
      <c r="AE329" s="6">
        <v>44413</v>
      </c>
      <c r="AF329" s="3" t="s">
        <v>59</v>
      </c>
      <c r="AG329" s="3" t="s">
        <v>60</v>
      </c>
      <c r="AH329" s="3">
        <f>YEAR(SrcDB[[#This Row],[Datum_zverejnenia]])</f>
        <v>2021</v>
      </c>
      <c r="AI329" s="3" cm="1">
        <f t="array" ref="AI329">COUNT(_xlfn.UNIQUE(_xlfn._xlws.FILTER(SrcDB[ID],SrcDB[Objednavatel_ICO]=$H329)))</f>
        <v>4</v>
      </c>
      <c r="AJ329" s="3" cm="1">
        <f t="array" ref="AJ329">COUNT(_xlfn.UNIQUE(_xlfn._xlws.FILTER(SrcDB[ID],SrcDB[Dodavatel_ICO]=$K329)))</f>
        <v>10</v>
      </c>
      <c r="AK329" s="3">
        <f t="shared" si="360"/>
        <v>0</v>
      </c>
      <c r="AL329" s="3">
        <f t="shared" si="361"/>
        <v>0</v>
      </c>
      <c r="AM329" s="17" t="str">
        <f>IF(SrcDB[[#This Row],[Pocet zmluv objednavatela]]&gt;3,SrcDB[[#This Row],[Objednavatel]],"Ostatné")</f>
        <v>Ministerstvo hospodárstva Slovenskej republiky</v>
      </c>
      <c r="AN329" s="17" t="str">
        <f>IF(SrcDB[[#This Row],[Pocet zmluv dodavatela]]&gt;3,SrcDB[[#This Row],[Dodavatel]],"Ostatné")</f>
        <v>DATALAN, a.s.</v>
      </c>
    </row>
    <row r="330" spans="1:40" x14ac:dyDescent="0.3">
      <c r="A330" s="2" t="s">
        <v>523</v>
      </c>
      <c r="B330" s="2">
        <v>5454518</v>
      </c>
      <c r="C330" s="3" t="str">
        <f t="shared" si="352"/>
        <v>Nejasné</v>
      </c>
      <c r="D330" s="3" t="str">
        <f t="shared" si="353"/>
        <v>Nejasné</v>
      </c>
      <c r="E330" s="3" t="s">
        <v>49</v>
      </c>
      <c r="F330" s="3" t="s">
        <v>49</v>
      </c>
      <c r="G330" s="2" t="str">
        <f t="shared" si="354"/>
        <v>Stredné zmluvy</v>
      </c>
      <c r="H330" s="5" t="s">
        <v>524</v>
      </c>
      <c r="I330" s="2" t="s">
        <v>525</v>
      </c>
      <c r="J330" s="2" t="s">
        <v>526</v>
      </c>
      <c r="K330" s="5">
        <v>35810734</v>
      </c>
      <c r="L330" s="2" t="s">
        <v>257</v>
      </c>
      <c r="M330" s="2" t="s">
        <v>53</v>
      </c>
      <c r="N330" s="6">
        <v>44223.614374999997</v>
      </c>
      <c r="O330" s="4">
        <v>1261000</v>
      </c>
      <c r="P330" s="2">
        <v>114499</v>
      </c>
      <c r="Q330" s="2" t="s">
        <v>527</v>
      </c>
      <c r="R330" s="2" t="s">
        <v>528</v>
      </c>
      <c r="S330" s="2" t="s">
        <v>183</v>
      </c>
      <c r="T330" s="2" t="s">
        <v>533</v>
      </c>
      <c r="W330" s="4">
        <v>400</v>
      </c>
      <c r="X330" s="4">
        <v>480</v>
      </c>
      <c r="Y330" s="4">
        <f t="shared" ref="Y330" si="367">INDEX(InternalRates,MATCH($S330,InternalRates01,FALSE),2)</f>
        <v>278.98333333333335</v>
      </c>
      <c r="Z330" s="3" t="str">
        <f t="shared" si="357"/>
        <v>Nie</v>
      </c>
      <c r="AA330" s="3" t="str">
        <f t="shared" si="358"/>
        <v>SLA+ZoD</v>
      </c>
      <c r="AB330" s="4">
        <v>50</v>
      </c>
      <c r="AD330" s="3" t="s">
        <v>48</v>
      </c>
      <c r="AE330" s="6">
        <v>44413</v>
      </c>
      <c r="AF330" s="3" t="s">
        <v>59</v>
      </c>
      <c r="AG330" s="3" t="s">
        <v>60</v>
      </c>
      <c r="AH330" s="3">
        <f>YEAR(SrcDB[[#This Row],[Datum_zverejnenia]])</f>
        <v>2021</v>
      </c>
      <c r="AI330" s="3" cm="1">
        <f t="array" ref="AI330">COUNT(_xlfn.UNIQUE(_xlfn._xlws.FILTER(SrcDB[ID],SrcDB[Objednavatel_ICO]=$H330)))</f>
        <v>4</v>
      </c>
      <c r="AJ330" s="3" cm="1">
        <f t="array" ref="AJ330">COUNT(_xlfn.UNIQUE(_xlfn._xlws.FILTER(SrcDB[ID],SrcDB[Dodavatel_ICO]=$K330)))</f>
        <v>10</v>
      </c>
      <c r="AK330" s="3">
        <f t="shared" si="360"/>
        <v>0</v>
      </c>
      <c r="AL330" s="3">
        <f t="shared" si="361"/>
        <v>0</v>
      </c>
      <c r="AM330" s="17" t="str">
        <f>IF(SrcDB[[#This Row],[Pocet zmluv objednavatela]]&gt;3,SrcDB[[#This Row],[Objednavatel]],"Ostatné")</f>
        <v>Ministerstvo hospodárstva Slovenskej republiky</v>
      </c>
      <c r="AN330" s="17" t="str">
        <f>IF(SrcDB[[#This Row],[Pocet zmluv dodavatela]]&gt;3,SrcDB[[#This Row],[Dodavatel]],"Ostatné")</f>
        <v>DATALAN, a.s.</v>
      </c>
    </row>
    <row r="331" spans="1:40" x14ac:dyDescent="0.3">
      <c r="A331" s="2" t="s">
        <v>523</v>
      </c>
      <c r="B331" s="2">
        <v>5454518</v>
      </c>
      <c r="C331" s="3" t="str">
        <f t="shared" si="352"/>
        <v>Nejasné</v>
      </c>
      <c r="D331" s="3" t="str">
        <f t="shared" si="353"/>
        <v>Nejasné</v>
      </c>
      <c r="E331" s="3" t="s">
        <v>49</v>
      </c>
      <c r="F331" s="3" t="s">
        <v>49</v>
      </c>
      <c r="G331" s="2" t="str">
        <f t="shared" si="354"/>
        <v>Stredné zmluvy</v>
      </c>
      <c r="H331" s="5" t="s">
        <v>524</v>
      </c>
      <c r="I331" s="2" t="s">
        <v>525</v>
      </c>
      <c r="J331" s="2" t="s">
        <v>526</v>
      </c>
      <c r="K331" s="5">
        <v>35810734</v>
      </c>
      <c r="L331" s="2" t="s">
        <v>257</v>
      </c>
      <c r="M331" s="2" t="s">
        <v>53</v>
      </c>
      <c r="N331" s="6">
        <v>44223.614374999997</v>
      </c>
      <c r="O331" s="4">
        <v>1261000</v>
      </c>
      <c r="P331" s="2">
        <v>114499</v>
      </c>
      <c r="Q331" s="2" t="s">
        <v>527</v>
      </c>
      <c r="R331" s="2" t="s">
        <v>528</v>
      </c>
      <c r="S331" s="2" t="s">
        <v>183</v>
      </c>
      <c r="T331" s="2" t="s">
        <v>534</v>
      </c>
      <c r="W331" s="4">
        <v>360</v>
      </c>
      <c r="X331" s="4">
        <v>432</v>
      </c>
      <c r="Y331" s="4">
        <f t="shared" ref="Y331" si="368">INDEX(InternalRates,MATCH($S331,InternalRates01,FALSE),2)</f>
        <v>278.98333333333335</v>
      </c>
      <c r="Z331" s="3" t="str">
        <f t="shared" si="357"/>
        <v>Nie</v>
      </c>
      <c r="AA331" s="3" t="str">
        <f t="shared" si="358"/>
        <v>SLA+ZoD</v>
      </c>
      <c r="AB331" s="4">
        <v>62.5</v>
      </c>
      <c r="AD331" s="3" t="s">
        <v>48</v>
      </c>
      <c r="AE331" s="6">
        <v>44413</v>
      </c>
      <c r="AF331" s="3" t="s">
        <v>59</v>
      </c>
      <c r="AG331" s="3" t="s">
        <v>60</v>
      </c>
      <c r="AH331" s="3">
        <f>YEAR(SrcDB[[#This Row],[Datum_zverejnenia]])</f>
        <v>2021</v>
      </c>
      <c r="AI331" s="3" cm="1">
        <f t="array" ref="AI331">COUNT(_xlfn.UNIQUE(_xlfn._xlws.FILTER(SrcDB[ID],SrcDB[Objednavatel_ICO]=$H331)))</f>
        <v>4</v>
      </c>
      <c r="AJ331" s="3" cm="1">
        <f t="array" ref="AJ331">COUNT(_xlfn.UNIQUE(_xlfn._xlws.FILTER(SrcDB[ID],SrcDB[Dodavatel_ICO]=$K331)))</f>
        <v>10</v>
      </c>
      <c r="AK331" s="3">
        <f t="shared" si="360"/>
        <v>0</v>
      </c>
      <c r="AL331" s="3">
        <f t="shared" si="361"/>
        <v>0</v>
      </c>
      <c r="AM331" s="17" t="str">
        <f>IF(SrcDB[[#This Row],[Pocet zmluv objednavatela]]&gt;3,SrcDB[[#This Row],[Objednavatel]],"Ostatné")</f>
        <v>Ministerstvo hospodárstva Slovenskej republiky</v>
      </c>
      <c r="AN331" s="17" t="str">
        <f>IF(SrcDB[[#This Row],[Pocet zmluv dodavatela]]&gt;3,SrcDB[[#This Row],[Dodavatel]],"Ostatné")</f>
        <v>DATALAN, a.s.</v>
      </c>
    </row>
    <row r="332" spans="1:40" x14ac:dyDescent="0.3">
      <c r="A332" s="2" t="s">
        <v>535</v>
      </c>
      <c r="B332" s="2">
        <v>5458296</v>
      </c>
      <c r="C332" s="3" t="str">
        <f t="shared" si="352"/>
        <v>Nie</v>
      </c>
      <c r="D332" s="3" t="str">
        <f t="shared" si="353"/>
        <v>Áno</v>
      </c>
      <c r="E332" s="3" t="s">
        <v>48</v>
      </c>
      <c r="F332" s="3" t="s">
        <v>49</v>
      </c>
      <c r="G332" s="2" t="str">
        <f t="shared" si="354"/>
        <v>Stredné zmluvy</v>
      </c>
      <c r="H332" s="5" t="s">
        <v>231</v>
      </c>
      <c r="I332" s="2" t="s">
        <v>232</v>
      </c>
      <c r="J332" s="2" t="s">
        <v>233</v>
      </c>
      <c r="K332" s="5">
        <v>31385401</v>
      </c>
      <c r="L332" s="2" t="s">
        <v>142</v>
      </c>
      <c r="M332" s="2" t="s">
        <v>536</v>
      </c>
      <c r="N332" s="6">
        <v>44224.559513888889</v>
      </c>
      <c r="O332" s="4">
        <v>4641120</v>
      </c>
      <c r="P332" s="2">
        <v>114497</v>
      </c>
      <c r="Q332" s="2" t="s">
        <v>537</v>
      </c>
      <c r="R332" s="2" t="s">
        <v>538</v>
      </c>
      <c r="S332" s="2" t="s">
        <v>73</v>
      </c>
      <c r="T332" s="2" t="s">
        <v>539</v>
      </c>
      <c r="W332" s="4">
        <v>550</v>
      </c>
      <c r="X332" s="4">
        <v>660</v>
      </c>
      <c r="Y332" s="4">
        <f t="shared" ref="Y332" si="369">INDEX(InternalRates,MATCH($S332,InternalRates01,FALSE),2)</f>
        <v>278.98333333333335</v>
      </c>
      <c r="Z332" s="3" t="str">
        <f t="shared" si="357"/>
        <v>Nie</v>
      </c>
      <c r="AA332" s="3" t="str">
        <f t="shared" si="358"/>
        <v>SLA</v>
      </c>
      <c r="AD332" s="3" t="s">
        <v>48</v>
      </c>
      <c r="AE332" s="6">
        <v>44413</v>
      </c>
      <c r="AF332" s="3" t="s">
        <v>59</v>
      </c>
      <c r="AG332" s="3" t="s">
        <v>48</v>
      </c>
      <c r="AH332" s="3">
        <f>YEAR(SrcDB[[#This Row],[Datum_zverejnenia]])</f>
        <v>2021</v>
      </c>
      <c r="AI332" s="3" cm="1">
        <f t="array" ref="AI332">COUNT(_xlfn.UNIQUE(_xlfn._xlws.FILTER(SrcDB[ID],SrcDB[Objednavatel_ICO]=$H332)))</f>
        <v>9</v>
      </c>
      <c r="AJ332" s="3" cm="1">
        <f t="array" ref="AJ332">COUNT(_xlfn.UNIQUE(_xlfn._xlws.FILTER(SrcDB[ID],SrcDB[Dodavatel_ICO]=$K332)))</f>
        <v>14</v>
      </c>
      <c r="AK332" s="3">
        <f t="shared" si="360"/>
        <v>1</v>
      </c>
      <c r="AL332" s="3">
        <f t="shared" si="361"/>
        <v>1</v>
      </c>
      <c r="AM332" s="17" t="str">
        <f>IF(SrcDB[[#This Row],[Pocet zmluv objednavatela]]&gt;3,SrcDB[[#This Row],[Objednavatel]],"Ostatné")</f>
        <v>Ministerstvo školstva, výskumu, vývoja a mládeže SR</v>
      </c>
      <c r="AN332" s="17" t="str">
        <f>IF(SrcDB[[#This Row],[Pocet zmluv dodavatela]]&gt;3,SrcDB[[#This Row],[Dodavatel]],"Ostatné")</f>
        <v>DITEC, a.s.</v>
      </c>
    </row>
    <row r="333" spans="1:40" x14ac:dyDescent="0.3">
      <c r="A333" s="2" t="s">
        <v>535</v>
      </c>
      <c r="B333" s="2">
        <v>5458296</v>
      </c>
      <c r="C333" s="3" t="str">
        <f t="shared" si="352"/>
        <v>Nie</v>
      </c>
      <c r="D333" s="3" t="str">
        <f t="shared" si="353"/>
        <v>Áno</v>
      </c>
      <c r="E333" s="3" t="s">
        <v>48</v>
      </c>
      <c r="F333" s="3" t="s">
        <v>49</v>
      </c>
      <c r="G333" s="2" t="str">
        <f t="shared" si="354"/>
        <v>Stredné zmluvy</v>
      </c>
      <c r="H333" s="5" t="s">
        <v>231</v>
      </c>
      <c r="I333" s="2" t="s">
        <v>232</v>
      </c>
      <c r="J333" s="2" t="s">
        <v>233</v>
      </c>
      <c r="K333" s="5">
        <v>31385401</v>
      </c>
      <c r="L333" s="2" t="s">
        <v>142</v>
      </c>
      <c r="M333" s="2" t="s">
        <v>536</v>
      </c>
      <c r="N333" s="6">
        <v>44224.559513888889</v>
      </c>
      <c r="O333" s="4">
        <v>4641120</v>
      </c>
      <c r="P333" s="2">
        <v>114497</v>
      </c>
      <c r="Q333" s="2" t="s">
        <v>537</v>
      </c>
      <c r="R333" s="2" t="s">
        <v>538</v>
      </c>
      <c r="S333" s="2" t="s">
        <v>100</v>
      </c>
      <c r="T333" s="2" t="s">
        <v>540</v>
      </c>
      <c r="W333" s="4">
        <v>550</v>
      </c>
      <c r="X333" s="4">
        <v>660</v>
      </c>
      <c r="Y333" s="4">
        <f t="shared" ref="Y333" si="370">INDEX(InternalRates,MATCH($S333,InternalRates01,FALSE),2)</f>
        <v>278.98333333333335</v>
      </c>
      <c r="Z333" s="3" t="str">
        <f t="shared" si="357"/>
        <v>Nie</v>
      </c>
      <c r="AA333" s="3" t="str">
        <f t="shared" si="358"/>
        <v>SLA</v>
      </c>
      <c r="AD333" s="3" t="s">
        <v>48</v>
      </c>
      <c r="AE333" s="6">
        <v>44413</v>
      </c>
      <c r="AF333" s="3" t="s">
        <v>59</v>
      </c>
      <c r="AG333" s="3" t="s">
        <v>48</v>
      </c>
      <c r="AH333" s="3">
        <f>YEAR(SrcDB[[#This Row],[Datum_zverejnenia]])</f>
        <v>2021</v>
      </c>
      <c r="AI333" s="3" cm="1">
        <f t="array" ref="AI333">COUNT(_xlfn.UNIQUE(_xlfn._xlws.FILTER(SrcDB[ID],SrcDB[Objednavatel_ICO]=$H333)))</f>
        <v>9</v>
      </c>
      <c r="AJ333" s="3" cm="1">
        <f t="array" ref="AJ333">COUNT(_xlfn.UNIQUE(_xlfn._xlws.FILTER(SrcDB[ID],SrcDB[Dodavatel_ICO]=$K333)))</f>
        <v>14</v>
      </c>
      <c r="AK333" s="3">
        <f t="shared" si="360"/>
        <v>0</v>
      </c>
      <c r="AL333" s="3">
        <f t="shared" si="361"/>
        <v>0</v>
      </c>
      <c r="AM333" s="17" t="str">
        <f>IF(SrcDB[[#This Row],[Pocet zmluv objednavatela]]&gt;3,SrcDB[[#This Row],[Objednavatel]],"Ostatné")</f>
        <v>Ministerstvo školstva, výskumu, vývoja a mládeže SR</v>
      </c>
      <c r="AN333" s="17" t="str">
        <f>IF(SrcDB[[#This Row],[Pocet zmluv dodavatela]]&gt;3,SrcDB[[#This Row],[Dodavatel]],"Ostatné")</f>
        <v>DITEC, a.s.</v>
      </c>
    </row>
    <row r="334" spans="1:40" x14ac:dyDescent="0.3">
      <c r="A334" s="2" t="s">
        <v>535</v>
      </c>
      <c r="B334" s="2">
        <v>5458296</v>
      </c>
      <c r="C334" s="3" t="str">
        <f t="shared" si="352"/>
        <v>Nie</v>
      </c>
      <c r="D334" s="3" t="str">
        <f t="shared" si="353"/>
        <v>Áno</v>
      </c>
      <c r="E334" s="3" t="s">
        <v>48</v>
      </c>
      <c r="F334" s="3" t="s">
        <v>49</v>
      </c>
      <c r="G334" s="2" t="str">
        <f t="shared" si="354"/>
        <v>Stredné zmluvy</v>
      </c>
      <c r="H334" s="5" t="s">
        <v>231</v>
      </c>
      <c r="I334" s="2" t="s">
        <v>232</v>
      </c>
      <c r="J334" s="2" t="s">
        <v>233</v>
      </c>
      <c r="K334" s="5">
        <v>31385401</v>
      </c>
      <c r="L334" s="2" t="s">
        <v>142</v>
      </c>
      <c r="M334" s="2" t="s">
        <v>536</v>
      </c>
      <c r="N334" s="6">
        <v>44224.559513888889</v>
      </c>
      <c r="O334" s="4">
        <v>4641120</v>
      </c>
      <c r="P334" s="2">
        <v>114497</v>
      </c>
      <c r="Q334" s="2" t="s">
        <v>537</v>
      </c>
      <c r="R334" s="2" t="s">
        <v>538</v>
      </c>
      <c r="S334" s="2" t="s">
        <v>162</v>
      </c>
      <c r="T334" s="2" t="s">
        <v>541</v>
      </c>
      <c r="W334" s="4">
        <v>550</v>
      </c>
      <c r="X334" s="4">
        <v>660</v>
      </c>
      <c r="Y334" s="4">
        <f t="shared" ref="Y334" si="371">INDEX(InternalRates,MATCH($S334,InternalRates01,FALSE),2)</f>
        <v>231.85833333333335</v>
      </c>
      <c r="Z334" s="3" t="str">
        <f t="shared" si="357"/>
        <v>Nie</v>
      </c>
      <c r="AA334" s="3" t="str">
        <f t="shared" si="358"/>
        <v>SLA</v>
      </c>
      <c r="AD334" s="3" t="s">
        <v>48</v>
      </c>
      <c r="AE334" s="6">
        <v>44413</v>
      </c>
      <c r="AF334" s="3" t="s">
        <v>59</v>
      </c>
      <c r="AG334" s="3" t="s">
        <v>48</v>
      </c>
      <c r="AH334" s="3">
        <f>YEAR(SrcDB[[#This Row],[Datum_zverejnenia]])</f>
        <v>2021</v>
      </c>
      <c r="AI334" s="3" cm="1">
        <f t="array" ref="AI334">COUNT(_xlfn.UNIQUE(_xlfn._xlws.FILTER(SrcDB[ID],SrcDB[Objednavatel_ICO]=$H334)))</f>
        <v>9</v>
      </c>
      <c r="AJ334" s="3" cm="1">
        <f t="array" ref="AJ334">COUNT(_xlfn.UNIQUE(_xlfn._xlws.FILTER(SrcDB[ID],SrcDB[Dodavatel_ICO]=$K334)))</f>
        <v>14</v>
      </c>
      <c r="AK334" s="3">
        <f t="shared" si="360"/>
        <v>0</v>
      </c>
      <c r="AL334" s="3">
        <f t="shared" si="361"/>
        <v>0</v>
      </c>
      <c r="AM334" s="17" t="str">
        <f>IF(SrcDB[[#This Row],[Pocet zmluv objednavatela]]&gt;3,SrcDB[[#This Row],[Objednavatel]],"Ostatné")</f>
        <v>Ministerstvo školstva, výskumu, vývoja a mládeže SR</v>
      </c>
      <c r="AN334" s="17" t="str">
        <f>IF(SrcDB[[#This Row],[Pocet zmluv dodavatela]]&gt;3,SrcDB[[#This Row],[Dodavatel]],"Ostatné")</f>
        <v>DITEC, a.s.</v>
      </c>
    </row>
    <row r="335" spans="1:40" x14ac:dyDescent="0.3">
      <c r="A335" s="2" t="s">
        <v>535</v>
      </c>
      <c r="B335" s="2">
        <v>5458296</v>
      </c>
      <c r="C335" s="3" t="str">
        <f t="shared" si="352"/>
        <v>Nie</v>
      </c>
      <c r="D335" s="3" t="str">
        <f t="shared" si="353"/>
        <v>Áno</v>
      </c>
      <c r="E335" s="3" t="s">
        <v>48</v>
      </c>
      <c r="F335" s="3" t="s">
        <v>49</v>
      </c>
      <c r="G335" s="2" t="str">
        <f t="shared" si="354"/>
        <v>Stredné zmluvy</v>
      </c>
      <c r="H335" s="5" t="s">
        <v>231</v>
      </c>
      <c r="I335" s="2" t="s">
        <v>232</v>
      </c>
      <c r="J335" s="2" t="s">
        <v>233</v>
      </c>
      <c r="K335" s="5">
        <v>31385401</v>
      </c>
      <c r="L335" s="2" t="s">
        <v>142</v>
      </c>
      <c r="M335" s="2" t="s">
        <v>536</v>
      </c>
      <c r="N335" s="6">
        <v>44224.559513888889</v>
      </c>
      <c r="O335" s="4">
        <v>4641120</v>
      </c>
      <c r="P335" s="2">
        <v>114497</v>
      </c>
      <c r="Q335" s="2" t="s">
        <v>537</v>
      </c>
      <c r="R335" s="2" t="s">
        <v>538</v>
      </c>
      <c r="S335" s="2" t="s">
        <v>77</v>
      </c>
      <c r="T335" s="2" t="s">
        <v>77</v>
      </c>
      <c r="W335" s="4">
        <v>550</v>
      </c>
      <c r="X335" s="4">
        <v>660</v>
      </c>
      <c r="Y335" s="4">
        <f t="shared" ref="Y335" si="372">INDEX(InternalRates,MATCH($S335,InternalRates01,FALSE),2)</f>
        <v>278.98333333333335</v>
      </c>
      <c r="Z335" s="3" t="str">
        <f t="shared" si="357"/>
        <v>Nie</v>
      </c>
      <c r="AA335" s="3" t="str">
        <f t="shared" si="358"/>
        <v>SLA</v>
      </c>
      <c r="AD335" s="3" t="s">
        <v>48</v>
      </c>
      <c r="AE335" s="6">
        <v>44413</v>
      </c>
      <c r="AF335" s="3" t="s">
        <v>59</v>
      </c>
      <c r="AG335" s="3" t="s">
        <v>48</v>
      </c>
      <c r="AH335" s="3">
        <f>YEAR(SrcDB[[#This Row],[Datum_zverejnenia]])</f>
        <v>2021</v>
      </c>
      <c r="AI335" s="3" cm="1">
        <f t="array" ref="AI335">COUNT(_xlfn.UNIQUE(_xlfn._xlws.FILTER(SrcDB[ID],SrcDB[Objednavatel_ICO]=$H335)))</f>
        <v>9</v>
      </c>
      <c r="AJ335" s="3" cm="1">
        <f t="array" ref="AJ335">COUNT(_xlfn.UNIQUE(_xlfn._xlws.FILTER(SrcDB[ID],SrcDB[Dodavatel_ICO]=$K335)))</f>
        <v>14</v>
      </c>
      <c r="AK335" s="3">
        <f t="shared" si="360"/>
        <v>0</v>
      </c>
      <c r="AL335" s="3">
        <f t="shared" si="361"/>
        <v>0</v>
      </c>
      <c r="AM335" s="17" t="str">
        <f>IF(SrcDB[[#This Row],[Pocet zmluv objednavatela]]&gt;3,SrcDB[[#This Row],[Objednavatel]],"Ostatné")</f>
        <v>Ministerstvo školstva, výskumu, vývoja a mládeže SR</v>
      </c>
      <c r="AN335" s="17" t="str">
        <f>IF(SrcDB[[#This Row],[Pocet zmluv dodavatela]]&gt;3,SrcDB[[#This Row],[Dodavatel]],"Ostatné")</f>
        <v>DITEC, a.s.</v>
      </c>
    </row>
    <row r="336" spans="1:40" x14ac:dyDescent="0.3">
      <c r="A336" s="2" t="s">
        <v>535</v>
      </c>
      <c r="B336" s="2">
        <v>5458296</v>
      </c>
      <c r="C336" s="3" t="str">
        <f t="shared" si="352"/>
        <v>Nie</v>
      </c>
      <c r="D336" s="3" t="str">
        <f t="shared" si="353"/>
        <v>Áno</v>
      </c>
      <c r="E336" s="3" t="s">
        <v>48</v>
      </c>
      <c r="F336" s="3" t="s">
        <v>49</v>
      </c>
      <c r="G336" s="2" t="str">
        <f t="shared" si="354"/>
        <v>Stredné zmluvy</v>
      </c>
      <c r="H336" s="5" t="s">
        <v>231</v>
      </c>
      <c r="I336" s="2" t="s">
        <v>232</v>
      </c>
      <c r="J336" s="2" t="s">
        <v>233</v>
      </c>
      <c r="K336" s="5">
        <v>31385401</v>
      </c>
      <c r="L336" s="2" t="s">
        <v>142</v>
      </c>
      <c r="M336" s="2" t="s">
        <v>536</v>
      </c>
      <c r="N336" s="6">
        <v>44224.559513888889</v>
      </c>
      <c r="O336" s="4">
        <v>4641120</v>
      </c>
      <c r="P336" s="2">
        <v>114497</v>
      </c>
      <c r="Q336" s="2" t="s">
        <v>537</v>
      </c>
      <c r="R336" s="2" t="s">
        <v>538</v>
      </c>
      <c r="S336" s="2" t="s">
        <v>71</v>
      </c>
      <c r="T336" s="2" t="s">
        <v>542</v>
      </c>
      <c r="W336" s="4">
        <v>550</v>
      </c>
      <c r="X336" s="4">
        <v>660</v>
      </c>
      <c r="Y336" s="4">
        <f t="shared" ref="Y336" si="373">INDEX(InternalRates,MATCH($S336,InternalRates01,FALSE),2)</f>
        <v>354.0333333333333</v>
      </c>
      <c r="Z336" s="3" t="str">
        <f t="shared" si="357"/>
        <v>Nie</v>
      </c>
      <c r="AA336" s="3" t="str">
        <f t="shared" si="358"/>
        <v>SLA</v>
      </c>
      <c r="AD336" s="3" t="s">
        <v>48</v>
      </c>
      <c r="AE336" s="6">
        <v>44413</v>
      </c>
      <c r="AF336" s="3" t="s">
        <v>59</v>
      </c>
      <c r="AG336" s="3" t="s">
        <v>48</v>
      </c>
      <c r="AH336" s="3">
        <f>YEAR(SrcDB[[#This Row],[Datum_zverejnenia]])</f>
        <v>2021</v>
      </c>
      <c r="AI336" s="3" cm="1">
        <f t="array" ref="AI336">COUNT(_xlfn.UNIQUE(_xlfn._xlws.FILTER(SrcDB[ID],SrcDB[Objednavatel_ICO]=$H336)))</f>
        <v>9</v>
      </c>
      <c r="AJ336" s="3" cm="1">
        <f t="array" ref="AJ336">COUNT(_xlfn.UNIQUE(_xlfn._xlws.FILTER(SrcDB[ID],SrcDB[Dodavatel_ICO]=$K336)))</f>
        <v>14</v>
      </c>
      <c r="AK336" s="3">
        <f t="shared" si="360"/>
        <v>0</v>
      </c>
      <c r="AL336" s="3">
        <f t="shared" si="361"/>
        <v>0</v>
      </c>
      <c r="AM336" s="17" t="str">
        <f>IF(SrcDB[[#This Row],[Pocet zmluv objednavatela]]&gt;3,SrcDB[[#This Row],[Objednavatel]],"Ostatné")</f>
        <v>Ministerstvo školstva, výskumu, vývoja a mládeže SR</v>
      </c>
      <c r="AN336" s="17" t="str">
        <f>IF(SrcDB[[#This Row],[Pocet zmluv dodavatela]]&gt;3,SrcDB[[#This Row],[Dodavatel]],"Ostatné")</f>
        <v>DITEC, a.s.</v>
      </c>
    </row>
    <row r="337" spans="1:40" x14ac:dyDescent="0.3">
      <c r="A337" s="2" t="s">
        <v>535</v>
      </c>
      <c r="B337" s="2">
        <v>5458296</v>
      </c>
      <c r="C337" s="3" t="str">
        <f t="shared" si="352"/>
        <v>Nie</v>
      </c>
      <c r="D337" s="3" t="str">
        <f t="shared" si="353"/>
        <v>Áno</v>
      </c>
      <c r="E337" s="3" t="s">
        <v>48</v>
      </c>
      <c r="F337" s="3" t="s">
        <v>49</v>
      </c>
      <c r="G337" s="2" t="str">
        <f t="shared" si="354"/>
        <v>Stredné zmluvy</v>
      </c>
      <c r="H337" s="5" t="s">
        <v>231</v>
      </c>
      <c r="I337" s="2" t="s">
        <v>232</v>
      </c>
      <c r="J337" s="2" t="s">
        <v>233</v>
      </c>
      <c r="K337" s="5">
        <v>31385401</v>
      </c>
      <c r="L337" s="2" t="s">
        <v>142</v>
      </c>
      <c r="M337" s="2" t="s">
        <v>536</v>
      </c>
      <c r="N337" s="6">
        <v>44224.559513888889</v>
      </c>
      <c r="O337" s="4">
        <v>4641120</v>
      </c>
      <c r="P337" s="2">
        <v>114497</v>
      </c>
      <c r="Q337" s="2" t="s">
        <v>537</v>
      </c>
      <c r="R337" s="2" t="s">
        <v>538</v>
      </c>
      <c r="S337" s="2" t="s">
        <v>56</v>
      </c>
      <c r="T337" s="2" t="s">
        <v>543</v>
      </c>
      <c r="U337" s="2" t="s">
        <v>113</v>
      </c>
      <c r="W337" s="4">
        <v>550</v>
      </c>
      <c r="X337" s="4">
        <v>660</v>
      </c>
      <c r="Y337" s="4">
        <f t="shared" ref="Y337" si="374">INDEX(InternalRates,MATCH($S337,InternalRates01,FALSE),2)</f>
        <v>278.98333333333335</v>
      </c>
      <c r="Z337" s="3" t="str">
        <f t="shared" si="357"/>
        <v>Nie</v>
      </c>
      <c r="AA337" s="3" t="str">
        <f t="shared" si="358"/>
        <v>SLA</v>
      </c>
      <c r="AD337" s="3" t="s">
        <v>48</v>
      </c>
      <c r="AE337" s="6">
        <v>44413</v>
      </c>
      <c r="AF337" s="3" t="s">
        <v>59</v>
      </c>
      <c r="AG337" s="3" t="s">
        <v>48</v>
      </c>
      <c r="AH337" s="3">
        <f>YEAR(SrcDB[[#This Row],[Datum_zverejnenia]])</f>
        <v>2021</v>
      </c>
      <c r="AI337" s="3" cm="1">
        <f t="array" ref="AI337">COUNT(_xlfn.UNIQUE(_xlfn._xlws.FILTER(SrcDB[ID],SrcDB[Objednavatel_ICO]=$H337)))</f>
        <v>9</v>
      </c>
      <c r="AJ337" s="3" cm="1">
        <f t="array" ref="AJ337">COUNT(_xlfn.UNIQUE(_xlfn._xlws.FILTER(SrcDB[ID],SrcDB[Dodavatel_ICO]=$K337)))</f>
        <v>14</v>
      </c>
      <c r="AK337" s="3">
        <f t="shared" si="360"/>
        <v>0</v>
      </c>
      <c r="AL337" s="3">
        <f t="shared" si="361"/>
        <v>0</v>
      </c>
      <c r="AM337" s="17" t="str">
        <f>IF(SrcDB[[#This Row],[Pocet zmluv objednavatela]]&gt;3,SrcDB[[#This Row],[Objednavatel]],"Ostatné")</f>
        <v>Ministerstvo školstva, výskumu, vývoja a mládeže SR</v>
      </c>
      <c r="AN337" s="17" t="str">
        <f>IF(SrcDB[[#This Row],[Pocet zmluv dodavatela]]&gt;3,SrcDB[[#This Row],[Dodavatel]],"Ostatné")</f>
        <v>DITEC, a.s.</v>
      </c>
    </row>
    <row r="338" spans="1:40" x14ac:dyDescent="0.3">
      <c r="A338" s="2" t="s">
        <v>535</v>
      </c>
      <c r="B338" s="2">
        <v>5458296</v>
      </c>
      <c r="C338" s="3" t="str">
        <f t="shared" si="352"/>
        <v>Nie</v>
      </c>
      <c r="D338" s="3" t="str">
        <f t="shared" si="353"/>
        <v>Áno</v>
      </c>
      <c r="E338" s="3" t="s">
        <v>48</v>
      </c>
      <c r="F338" s="3" t="s">
        <v>49</v>
      </c>
      <c r="G338" s="2" t="str">
        <f t="shared" si="354"/>
        <v>Stredné zmluvy</v>
      </c>
      <c r="H338" s="5" t="s">
        <v>231</v>
      </c>
      <c r="I338" s="2" t="s">
        <v>232</v>
      </c>
      <c r="J338" s="2" t="s">
        <v>233</v>
      </c>
      <c r="K338" s="5">
        <v>31385401</v>
      </c>
      <c r="L338" s="2" t="s">
        <v>142</v>
      </c>
      <c r="M338" s="2" t="s">
        <v>536</v>
      </c>
      <c r="N338" s="6">
        <v>44224.559513888889</v>
      </c>
      <c r="O338" s="4">
        <v>4641120</v>
      </c>
      <c r="P338" s="2">
        <v>114497</v>
      </c>
      <c r="Q338" s="2" t="s">
        <v>537</v>
      </c>
      <c r="R338" s="2" t="s">
        <v>538</v>
      </c>
      <c r="S338" s="2" t="s">
        <v>56</v>
      </c>
      <c r="T338" s="2" t="s">
        <v>544</v>
      </c>
      <c r="U338" s="2" t="s">
        <v>289</v>
      </c>
      <c r="W338" s="4">
        <v>550</v>
      </c>
      <c r="X338" s="4">
        <v>660</v>
      </c>
      <c r="Y338" s="4">
        <f t="shared" ref="Y338" si="375">INDEX(InternalRates,MATCH($S338,InternalRates01,FALSE),2)</f>
        <v>278.98333333333335</v>
      </c>
      <c r="Z338" s="3" t="str">
        <f t="shared" si="357"/>
        <v>Nie</v>
      </c>
      <c r="AA338" s="3" t="str">
        <f t="shared" si="358"/>
        <v>SLA</v>
      </c>
      <c r="AD338" s="3" t="s">
        <v>48</v>
      </c>
      <c r="AE338" s="6">
        <v>44413</v>
      </c>
      <c r="AF338" s="3" t="s">
        <v>59</v>
      </c>
      <c r="AG338" s="3" t="s">
        <v>48</v>
      </c>
      <c r="AH338" s="3">
        <f>YEAR(SrcDB[[#This Row],[Datum_zverejnenia]])</f>
        <v>2021</v>
      </c>
      <c r="AI338" s="3" cm="1">
        <f t="array" ref="AI338">COUNT(_xlfn.UNIQUE(_xlfn._xlws.FILTER(SrcDB[ID],SrcDB[Objednavatel_ICO]=$H338)))</f>
        <v>9</v>
      </c>
      <c r="AJ338" s="3" cm="1">
        <f t="array" ref="AJ338">COUNT(_xlfn.UNIQUE(_xlfn._xlws.FILTER(SrcDB[ID],SrcDB[Dodavatel_ICO]=$K338)))</f>
        <v>14</v>
      </c>
      <c r="AK338" s="3">
        <f t="shared" si="360"/>
        <v>0</v>
      </c>
      <c r="AL338" s="3">
        <f t="shared" si="361"/>
        <v>0</v>
      </c>
      <c r="AM338" s="17" t="str">
        <f>IF(SrcDB[[#This Row],[Pocet zmluv objednavatela]]&gt;3,SrcDB[[#This Row],[Objednavatel]],"Ostatné")</f>
        <v>Ministerstvo školstva, výskumu, vývoja a mládeže SR</v>
      </c>
      <c r="AN338" s="17" t="str">
        <f>IF(SrcDB[[#This Row],[Pocet zmluv dodavatela]]&gt;3,SrcDB[[#This Row],[Dodavatel]],"Ostatné")</f>
        <v>DITEC, a.s.</v>
      </c>
    </row>
    <row r="339" spans="1:40" x14ac:dyDescent="0.3">
      <c r="A339" s="2" t="s">
        <v>535</v>
      </c>
      <c r="B339" s="2">
        <v>5458296</v>
      </c>
      <c r="C339" s="3" t="str">
        <f t="shared" si="352"/>
        <v>Nie</v>
      </c>
      <c r="D339" s="3" t="str">
        <f t="shared" si="353"/>
        <v>Áno</v>
      </c>
      <c r="E339" s="3" t="s">
        <v>48</v>
      </c>
      <c r="F339" s="3" t="s">
        <v>49</v>
      </c>
      <c r="G339" s="2" t="str">
        <f t="shared" si="354"/>
        <v>Stredné zmluvy</v>
      </c>
      <c r="H339" s="5" t="s">
        <v>231</v>
      </c>
      <c r="I339" s="2" t="s">
        <v>232</v>
      </c>
      <c r="J339" s="2" t="s">
        <v>233</v>
      </c>
      <c r="K339" s="5">
        <v>31385401</v>
      </c>
      <c r="L339" s="2" t="s">
        <v>142</v>
      </c>
      <c r="M339" s="2" t="s">
        <v>536</v>
      </c>
      <c r="N339" s="6">
        <v>44224.559513888889</v>
      </c>
      <c r="O339" s="4">
        <v>4641120</v>
      </c>
      <c r="P339" s="2">
        <v>114497</v>
      </c>
      <c r="Q339" s="2" t="s">
        <v>537</v>
      </c>
      <c r="R339" s="2" t="s">
        <v>538</v>
      </c>
      <c r="S339" s="2" t="s">
        <v>56</v>
      </c>
      <c r="T339" s="2" t="s">
        <v>545</v>
      </c>
      <c r="U339" s="2" t="s">
        <v>97</v>
      </c>
      <c r="W339" s="4">
        <v>550</v>
      </c>
      <c r="X339" s="4">
        <v>660</v>
      </c>
      <c r="Y339" s="4">
        <f t="shared" ref="Y339" si="376">INDEX(InternalRates,MATCH($S339,InternalRates01,FALSE),2)</f>
        <v>278.98333333333335</v>
      </c>
      <c r="Z339" s="3" t="str">
        <f t="shared" si="357"/>
        <v>Nie</v>
      </c>
      <c r="AA339" s="3" t="str">
        <f t="shared" si="358"/>
        <v>SLA</v>
      </c>
      <c r="AD339" s="3" t="s">
        <v>48</v>
      </c>
      <c r="AE339" s="6">
        <v>44413</v>
      </c>
      <c r="AF339" s="3" t="s">
        <v>59</v>
      </c>
      <c r="AG339" s="3" t="s">
        <v>48</v>
      </c>
      <c r="AH339" s="3">
        <f>YEAR(SrcDB[[#This Row],[Datum_zverejnenia]])</f>
        <v>2021</v>
      </c>
      <c r="AI339" s="3" cm="1">
        <f t="array" ref="AI339">COUNT(_xlfn.UNIQUE(_xlfn._xlws.FILTER(SrcDB[ID],SrcDB[Objednavatel_ICO]=$H339)))</f>
        <v>9</v>
      </c>
      <c r="AJ339" s="3" cm="1">
        <f t="array" ref="AJ339">COUNT(_xlfn.UNIQUE(_xlfn._xlws.FILTER(SrcDB[ID],SrcDB[Dodavatel_ICO]=$K339)))</f>
        <v>14</v>
      </c>
      <c r="AK339" s="3">
        <f t="shared" si="360"/>
        <v>0</v>
      </c>
      <c r="AL339" s="3">
        <f t="shared" si="361"/>
        <v>0</v>
      </c>
      <c r="AM339" s="17" t="str">
        <f>IF(SrcDB[[#This Row],[Pocet zmluv objednavatela]]&gt;3,SrcDB[[#This Row],[Objednavatel]],"Ostatné")</f>
        <v>Ministerstvo školstva, výskumu, vývoja a mládeže SR</v>
      </c>
      <c r="AN339" s="17" t="str">
        <f>IF(SrcDB[[#This Row],[Pocet zmluv dodavatela]]&gt;3,SrcDB[[#This Row],[Dodavatel]],"Ostatné")</f>
        <v>DITEC, a.s.</v>
      </c>
    </row>
    <row r="340" spans="1:40" x14ac:dyDescent="0.3">
      <c r="A340" s="2" t="s">
        <v>535</v>
      </c>
      <c r="B340" s="2">
        <v>5458296</v>
      </c>
      <c r="C340" s="3" t="str">
        <f t="shared" si="352"/>
        <v>Nie</v>
      </c>
      <c r="D340" s="3" t="str">
        <f t="shared" si="353"/>
        <v>Áno</v>
      </c>
      <c r="E340" s="3" t="s">
        <v>48</v>
      </c>
      <c r="F340" s="3" t="s">
        <v>49</v>
      </c>
      <c r="G340" s="2" t="str">
        <f t="shared" si="354"/>
        <v>Stredné zmluvy</v>
      </c>
      <c r="H340" s="5" t="s">
        <v>231</v>
      </c>
      <c r="I340" s="2" t="s">
        <v>232</v>
      </c>
      <c r="J340" s="2" t="s">
        <v>233</v>
      </c>
      <c r="K340" s="5">
        <v>31385401</v>
      </c>
      <c r="L340" s="2" t="s">
        <v>142</v>
      </c>
      <c r="M340" s="2" t="s">
        <v>536</v>
      </c>
      <c r="N340" s="6">
        <v>44224.559513888889</v>
      </c>
      <c r="O340" s="4">
        <v>4641120</v>
      </c>
      <c r="P340" s="2">
        <v>114497</v>
      </c>
      <c r="Q340" s="2" t="s">
        <v>537</v>
      </c>
      <c r="R340" s="2" t="s">
        <v>538</v>
      </c>
      <c r="S340" s="2" t="s">
        <v>79</v>
      </c>
      <c r="T340" s="2" t="s">
        <v>79</v>
      </c>
      <c r="W340" s="4">
        <v>550</v>
      </c>
      <c r="X340" s="4">
        <v>660</v>
      </c>
      <c r="Y340" s="4">
        <f t="shared" ref="Y340" si="377">INDEX(InternalRates,MATCH($S340,InternalRates01,FALSE),2)</f>
        <v>278.98333333333335</v>
      </c>
      <c r="Z340" s="3" t="str">
        <f t="shared" si="357"/>
        <v>Nie</v>
      </c>
      <c r="AA340" s="3" t="str">
        <f t="shared" si="358"/>
        <v>SLA</v>
      </c>
      <c r="AD340" s="3" t="s">
        <v>48</v>
      </c>
      <c r="AE340" s="6">
        <v>44413</v>
      </c>
      <c r="AF340" s="3" t="s">
        <v>59</v>
      </c>
      <c r="AG340" s="3" t="s">
        <v>48</v>
      </c>
      <c r="AH340" s="3">
        <f>YEAR(SrcDB[[#This Row],[Datum_zverejnenia]])</f>
        <v>2021</v>
      </c>
      <c r="AI340" s="3" cm="1">
        <f t="array" ref="AI340">COUNT(_xlfn.UNIQUE(_xlfn._xlws.FILTER(SrcDB[ID],SrcDB[Objednavatel_ICO]=$H340)))</f>
        <v>9</v>
      </c>
      <c r="AJ340" s="3" cm="1">
        <f t="array" ref="AJ340">COUNT(_xlfn.UNIQUE(_xlfn._xlws.FILTER(SrcDB[ID],SrcDB[Dodavatel_ICO]=$K340)))</f>
        <v>14</v>
      </c>
      <c r="AK340" s="3">
        <f t="shared" si="360"/>
        <v>0</v>
      </c>
      <c r="AL340" s="3">
        <f t="shared" si="361"/>
        <v>0</v>
      </c>
      <c r="AM340" s="17" t="str">
        <f>IF(SrcDB[[#This Row],[Pocet zmluv objednavatela]]&gt;3,SrcDB[[#This Row],[Objednavatel]],"Ostatné")</f>
        <v>Ministerstvo školstva, výskumu, vývoja a mládeže SR</v>
      </c>
      <c r="AN340" s="17" t="str">
        <f>IF(SrcDB[[#This Row],[Pocet zmluv dodavatela]]&gt;3,SrcDB[[#This Row],[Dodavatel]],"Ostatné")</f>
        <v>DITEC, a.s.</v>
      </c>
    </row>
    <row r="341" spans="1:40" x14ac:dyDescent="0.3">
      <c r="A341" s="2" t="s">
        <v>535</v>
      </c>
      <c r="B341" s="2">
        <v>5458296</v>
      </c>
      <c r="C341" s="3" t="str">
        <f t="shared" si="352"/>
        <v>Nie</v>
      </c>
      <c r="D341" s="3" t="str">
        <f t="shared" si="353"/>
        <v>Áno</v>
      </c>
      <c r="E341" s="3" t="s">
        <v>48</v>
      </c>
      <c r="F341" s="3" t="s">
        <v>49</v>
      </c>
      <c r="G341" s="2" t="str">
        <f t="shared" si="354"/>
        <v>Stredné zmluvy</v>
      </c>
      <c r="H341" s="5" t="s">
        <v>231</v>
      </c>
      <c r="I341" s="2" t="s">
        <v>232</v>
      </c>
      <c r="J341" s="2" t="s">
        <v>233</v>
      </c>
      <c r="K341" s="5">
        <v>31385401</v>
      </c>
      <c r="L341" s="2" t="s">
        <v>142</v>
      </c>
      <c r="M341" s="2" t="s">
        <v>536</v>
      </c>
      <c r="N341" s="6">
        <v>44224.559513888889</v>
      </c>
      <c r="O341" s="4">
        <v>4641120</v>
      </c>
      <c r="P341" s="2">
        <v>114497</v>
      </c>
      <c r="Q341" s="2" t="s">
        <v>537</v>
      </c>
      <c r="R341" s="2" t="s">
        <v>538</v>
      </c>
      <c r="S341" s="2" t="s">
        <v>100</v>
      </c>
      <c r="T341" s="2" t="s">
        <v>333</v>
      </c>
      <c r="W341" s="4">
        <v>550</v>
      </c>
      <c r="X341" s="4">
        <v>660</v>
      </c>
      <c r="Y341" s="4">
        <f t="shared" ref="Y341" si="378">INDEX(InternalRates,MATCH($S341,InternalRates01,FALSE),2)</f>
        <v>278.98333333333335</v>
      </c>
      <c r="Z341" s="3" t="str">
        <f t="shared" si="357"/>
        <v>Nie</v>
      </c>
      <c r="AA341" s="3" t="str">
        <f t="shared" si="358"/>
        <v>SLA</v>
      </c>
      <c r="AD341" s="3" t="s">
        <v>48</v>
      </c>
      <c r="AE341" s="6">
        <v>44413</v>
      </c>
      <c r="AF341" s="3" t="s">
        <v>59</v>
      </c>
      <c r="AG341" s="3" t="s">
        <v>48</v>
      </c>
      <c r="AH341" s="3">
        <f>YEAR(SrcDB[[#This Row],[Datum_zverejnenia]])</f>
        <v>2021</v>
      </c>
      <c r="AI341" s="3" cm="1">
        <f t="array" ref="AI341">COUNT(_xlfn.UNIQUE(_xlfn._xlws.FILTER(SrcDB[ID],SrcDB[Objednavatel_ICO]=$H341)))</f>
        <v>9</v>
      </c>
      <c r="AJ341" s="3" cm="1">
        <f t="array" ref="AJ341">COUNT(_xlfn.UNIQUE(_xlfn._xlws.FILTER(SrcDB[ID],SrcDB[Dodavatel_ICO]=$K341)))</f>
        <v>14</v>
      </c>
      <c r="AK341" s="3">
        <f t="shared" si="360"/>
        <v>0</v>
      </c>
      <c r="AL341" s="3">
        <f t="shared" si="361"/>
        <v>0</v>
      </c>
      <c r="AM341" s="17" t="str">
        <f>IF(SrcDB[[#This Row],[Pocet zmluv objednavatela]]&gt;3,SrcDB[[#This Row],[Objednavatel]],"Ostatné")</f>
        <v>Ministerstvo školstva, výskumu, vývoja a mládeže SR</v>
      </c>
      <c r="AN341" s="17" t="str">
        <f>IF(SrcDB[[#This Row],[Pocet zmluv dodavatela]]&gt;3,SrcDB[[#This Row],[Dodavatel]],"Ostatné")</f>
        <v>DITEC, a.s.</v>
      </c>
    </row>
    <row r="342" spans="1:40" x14ac:dyDescent="0.3">
      <c r="A342" s="2" t="s">
        <v>535</v>
      </c>
      <c r="B342" s="2">
        <v>5458296</v>
      </c>
      <c r="C342" s="3" t="str">
        <f t="shared" si="352"/>
        <v>Nie</v>
      </c>
      <c r="D342" s="3" t="str">
        <f t="shared" si="353"/>
        <v>Áno</v>
      </c>
      <c r="E342" s="3" t="s">
        <v>48</v>
      </c>
      <c r="F342" s="3" t="s">
        <v>49</v>
      </c>
      <c r="G342" s="2" t="str">
        <f t="shared" si="354"/>
        <v>Stredné zmluvy</v>
      </c>
      <c r="H342" s="5" t="s">
        <v>231</v>
      </c>
      <c r="I342" s="2" t="s">
        <v>232</v>
      </c>
      <c r="J342" s="2" t="s">
        <v>233</v>
      </c>
      <c r="K342" s="5">
        <v>31385401</v>
      </c>
      <c r="L342" s="2" t="s">
        <v>142</v>
      </c>
      <c r="M342" s="2" t="s">
        <v>536</v>
      </c>
      <c r="N342" s="6">
        <v>44224.559513888889</v>
      </c>
      <c r="O342" s="4">
        <v>4641120</v>
      </c>
      <c r="P342" s="2">
        <v>114497</v>
      </c>
      <c r="Q342" s="2" t="s">
        <v>537</v>
      </c>
      <c r="R342" s="2" t="s">
        <v>538</v>
      </c>
      <c r="S342" s="2" t="s">
        <v>123</v>
      </c>
      <c r="T342" s="2" t="s">
        <v>546</v>
      </c>
      <c r="V342" s="2" t="s">
        <v>58</v>
      </c>
      <c r="W342" s="4">
        <v>550</v>
      </c>
      <c r="X342" s="4">
        <v>660</v>
      </c>
      <c r="Y342" s="4">
        <f t="shared" ref="Y342" si="379">INDEX(InternalRates,MATCH($S342,InternalRates01,FALSE),2)</f>
        <v>231.85833333333335</v>
      </c>
      <c r="Z342" s="3" t="str">
        <f t="shared" si="357"/>
        <v>Nie</v>
      </c>
      <c r="AA342" s="3" t="str">
        <f t="shared" si="358"/>
        <v>SLA</v>
      </c>
      <c r="AD342" s="3" t="s">
        <v>48</v>
      </c>
      <c r="AE342" s="6">
        <v>44413</v>
      </c>
      <c r="AF342" s="3" t="s">
        <v>59</v>
      </c>
      <c r="AG342" s="3" t="s">
        <v>48</v>
      </c>
      <c r="AH342" s="3">
        <f>YEAR(SrcDB[[#This Row],[Datum_zverejnenia]])</f>
        <v>2021</v>
      </c>
      <c r="AI342" s="3" cm="1">
        <f t="array" ref="AI342">COUNT(_xlfn.UNIQUE(_xlfn._xlws.FILTER(SrcDB[ID],SrcDB[Objednavatel_ICO]=$H342)))</f>
        <v>9</v>
      </c>
      <c r="AJ342" s="3" cm="1">
        <f t="array" ref="AJ342">COUNT(_xlfn.UNIQUE(_xlfn._xlws.FILTER(SrcDB[ID],SrcDB[Dodavatel_ICO]=$K342)))</f>
        <v>14</v>
      </c>
      <c r="AK342" s="3">
        <f t="shared" si="360"/>
        <v>0</v>
      </c>
      <c r="AL342" s="3">
        <f t="shared" si="361"/>
        <v>0</v>
      </c>
      <c r="AM342" s="17" t="str">
        <f>IF(SrcDB[[#This Row],[Pocet zmluv objednavatela]]&gt;3,SrcDB[[#This Row],[Objednavatel]],"Ostatné")</f>
        <v>Ministerstvo školstva, výskumu, vývoja a mládeže SR</v>
      </c>
      <c r="AN342" s="17" t="str">
        <f>IF(SrcDB[[#This Row],[Pocet zmluv dodavatela]]&gt;3,SrcDB[[#This Row],[Dodavatel]],"Ostatné")</f>
        <v>DITEC, a.s.</v>
      </c>
    </row>
    <row r="343" spans="1:40" x14ac:dyDescent="0.3">
      <c r="A343" s="2" t="s">
        <v>535</v>
      </c>
      <c r="B343" s="2">
        <v>5458296</v>
      </c>
      <c r="C343" s="3" t="str">
        <f t="shared" si="352"/>
        <v>Nie</v>
      </c>
      <c r="D343" s="3" t="str">
        <f t="shared" si="353"/>
        <v>Áno</v>
      </c>
      <c r="E343" s="3" t="s">
        <v>48</v>
      </c>
      <c r="F343" s="3" t="s">
        <v>49</v>
      </c>
      <c r="G343" s="2" t="str">
        <f t="shared" si="354"/>
        <v>Stredné zmluvy</v>
      </c>
      <c r="H343" s="5" t="s">
        <v>231</v>
      </c>
      <c r="I343" s="2" t="s">
        <v>232</v>
      </c>
      <c r="J343" s="2" t="s">
        <v>233</v>
      </c>
      <c r="K343" s="5">
        <v>31385401</v>
      </c>
      <c r="L343" s="2" t="s">
        <v>142</v>
      </c>
      <c r="M343" s="2" t="s">
        <v>536</v>
      </c>
      <c r="N343" s="6">
        <v>44224.559513888889</v>
      </c>
      <c r="O343" s="4">
        <v>4641120</v>
      </c>
      <c r="P343" s="2">
        <v>114497</v>
      </c>
      <c r="Q343" s="2" t="s">
        <v>537</v>
      </c>
      <c r="R343" s="2" t="s">
        <v>538</v>
      </c>
      <c r="S343" s="2" t="s">
        <v>69</v>
      </c>
      <c r="T343" s="2" t="s">
        <v>70</v>
      </c>
      <c r="W343" s="4">
        <v>550</v>
      </c>
      <c r="X343" s="4">
        <v>660</v>
      </c>
      <c r="Y343" s="4">
        <f t="shared" ref="Y343" si="380">INDEX(InternalRates,MATCH($S343,InternalRates01,FALSE),2)</f>
        <v>278.98333333333335</v>
      </c>
      <c r="Z343" s="3" t="str">
        <f t="shared" si="357"/>
        <v>Nie</v>
      </c>
      <c r="AA343" s="3" t="str">
        <f t="shared" si="358"/>
        <v>SLA</v>
      </c>
      <c r="AD343" s="3" t="s">
        <v>48</v>
      </c>
      <c r="AE343" s="6">
        <v>44413</v>
      </c>
      <c r="AF343" s="3" t="s">
        <v>59</v>
      </c>
      <c r="AG343" s="3" t="s">
        <v>48</v>
      </c>
      <c r="AH343" s="3">
        <f>YEAR(SrcDB[[#This Row],[Datum_zverejnenia]])</f>
        <v>2021</v>
      </c>
      <c r="AI343" s="3" cm="1">
        <f t="array" ref="AI343">COUNT(_xlfn.UNIQUE(_xlfn._xlws.FILTER(SrcDB[ID],SrcDB[Objednavatel_ICO]=$H343)))</f>
        <v>9</v>
      </c>
      <c r="AJ343" s="3" cm="1">
        <f t="array" ref="AJ343">COUNT(_xlfn.UNIQUE(_xlfn._xlws.FILTER(SrcDB[ID],SrcDB[Dodavatel_ICO]=$K343)))</f>
        <v>14</v>
      </c>
      <c r="AK343" s="3">
        <f t="shared" si="360"/>
        <v>0</v>
      </c>
      <c r="AL343" s="3">
        <f t="shared" si="361"/>
        <v>0</v>
      </c>
      <c r="AM343" s="17" t="str">
        <f>IF(SrcDB[[#This Row],[Pocet zmluv objednavatela]]&gt;3,SrcDB[[#This Row],[Objednavatel]],"Ostatné")</f>
        <v>Ministerstvo školstva, výskumu, vývoja a mládeže SR</v>
      </c>
      <c r="AN343" s="17" t="str">
        <f>IF(SrcDB[[#This Row],[Pocet zmluv dodavatela]]&gt;3,SrcDB[[#This Row],[Dodavatel]],"Ostatné")</f>
        <v>DITEC, a.s.</v>
      </c>
    </row>
    <row r="344" spans="1:40" x14ac:dyDescent="0.3">
      <c r="A344" s="2" t="s">
        <v>547</v>
      </c>
      <c r="B344" s="2">
        <v>5460706</v>
      </c>
      <c r="C344" s="3" t="str">
        <f t="shared" si="352"/>
        <v>Nejasné</v>
      </c>
      <c r="D344" s="3" t="str">
        <f t="shared" si="353"/>
        <v>Nejasné</v>
      </c>
      <c r="E344" s="3" t="s">
        <v>48</v>
      </c>
      <c r="F344" s="3" t="s">
        <v>49</v>
      </c>
      <c r="G344" s="2" t="str">
        <f t="shared" si="354"/>
        <v>Malé zmluvy</v>
      </c>
      <c r="H344" s="5" t="s">
        <v>548</v>
      </c>
      <c r="I344" s="2" t="s">
        <v>549</v>
      </c>
      <c r="J344" s="2" t="s">
        <v>550</v>
      </c>
      <c r="K344" s="5">
        <v>51880407</v>
      </c>
      <c r="L344" s="2" t="s">
        <v>551</v>
      </c>
      <c r="M344" s="2" t="s">
        <v>552</v>
      </c>
      <c r="N344" s="6">
        <v>44225.410196759258</v>
      </c>
      <c r="O344" s="4">
        <v>300000</v>
      </c>
      <c r="P344" s="2">
        <v>114499</v>
      </c>
      <c r="Q344" s="2" t="s">
        <v>553</v>
      </c>
      <c r="R344" s="2" t="s">
        <v>554</v>
      </c>
      <c r="S344" s="2" t="s">
        <v>56</v>
      </c>
      <c r="T344" s="2" t="s">
        <v>555</v>
      </c>
      <c r="U344" s="2" t="s">
        <v>95</v>
      </c>
      <c r="W344" s="4">
        <v>380</v>
      </c>
      <c r="X344" s="4">
        <v>456</v>
      </c>
      <c r="Y344" s="4">
        <f t="shared" ref="Y344" si="381">INDEX(InternalRates,MATCH($S344,InternalRates01,FALSE),2)</f>
        <v>278.98333333333335</v>
      </c>
      <c r="Z344" s="3" t="str">
        <f t="shared" si="357"/>
        <v>Nie</v>
      </c>
      <c r="AA344" s="3" t="str">
        <f t="shared" si="358"/>
        <v>SLA</v>
      </c>
      <c r="AB344" s="4">
        <v>500</v>
      </c>
      <c r="AD344" s="3" t="s">
        <v>48</v>
      </c>
      <c r="AE344" s="6">
        <v>44420</v>
      </c>
      <c r="AF344" s="3" t="s">
        <v>59</v>
      </c>
      <c r="AG344" s="3" t="s">
        <v>60</v>
      </c>
      <c r="AH344" s="3">
        <f>YEAR(SrcDB[[#This Row],[Datum_zverejnenia]])</f>
        <v>2021</v>
      </c>
      <c r="AI344" s="3" cm="1">
        <f t="array" ref="AI344">COUNT(_xlfn.UNIQUE(_xlfn._xlws.FILTER(SrcDB[ID],SrcDB[Objednavatel_ICO]=$H344)))</f>
        <v>1</v>
      </c>
      <c r="AJ344" s="3" cm="1">
        <f t="array" ref="AJ344">COUNT(_xlfn.UNIQUE(_xlfn._xlws.FILTER(SrcDB[ID],SrcDB[Dodavatel_ICO]=$K344)))</f>
        <v>1</v>
      </c>
      <c r="AK344" s="3">
        <f t="shared" si="360"/>
        <v>1</v>
      </c>
      <c r="AL344" s="3">
        <f t="shared" si="361"/>
        <v>1</v>
      </c>
      <c r="AM344" s="17" t="str">
        <f>IF(SrcDB[[#This Row],[Pocet zmluv objednavatela]]&gt;3,SrcDB[[#This Row],[Objednavatel]],"Ostatné")</f>
        <v>Ostatné</v>
      </c>
      <c r="AN344" s="17" t="str">
        <f>IF(SrcDB[[#This Row],[Pocet zmluv dodavatela]]&gt;3,SrcDB[[#This Row],[Dodavatel]],"Ostatné")</f>
        <v>Ostatné</v>
      </c>
    </row>
    <row r="345" spans="1:40" x14ac:dyDescent="0.3">
      <c r="A345" s="2" t="s">
        <v>556</v>
      </c>
      <c r="B345" s="2">
        <v>5498421</v>
      </c>
      <c r="C345" s="3" t="str">
        <f t="shared" si="352"/>
        <v>Nejasné</v>
      </c>
      <c r="D345" s="3" t="str">
        <f t="shared" si="353"/>
        <v>Nejasné</v>
      </c>
      <c r="E345" s="3" t="s">
        <v>48</v>
      </c>
      <c r="F345" s="3" t="s">
        <v>49</v>
      </c>
      <c r="G345" s="2" t="str">
        <f t="shared" si="354"/>
        <v>Malé zmluvy</v>
      </c>
      <c r="H345" s="5">
        <v>42499500</v>
      </c>
      <c r="I345" s="2" t="s">
        <v>464</v>
      </c>
      <c r="J345" s="2" t="s">
        <v>465</v>
      </c>
      <c r="K345" s="5">
        <v>35760419</v>
      </c>
      <c r="L345" s="2" t="s">
        <v>85</v>
      </c>
      <c r="M345" s="2" t="s">
        <v>136</v>
      </c>
      <c r="N345" s="6">
        <v>44238</v>
      </c>
      <c r="O345" s="4">
        <v>450635.47</v>
      </c>
      <c r="P345" s="2">
        <v>114725</v>
      </c>
      <c r="Q345" s="2" t="s">
        <v>557</v>
      </c>
      <c r="R345" s="2" t="s">
        <v>558</v>
      </c>
      <c r="S345" s="2" t="s">
        <v>56</v>
      </c>
      <c r="T345" s="2" t="s">
        <v>470</v>
      </c>
      <c r="U345" s="2" t="s">
        <v>460</v>
      </c>
      <c r="W345" s="4">
        <v>642.48</v>
      </c>
      <c r="X345" s="4">
        <v>770.976</v>
      </c>
      <c r="Y345" s="4">
        <f t="shared" ref="Y345" si="382">INDEX(InternalRates,MATCH($S345,InternalRates01,FALSE),2)</f>
        <v>278.98333333333335</v>
      </c>
      <c r="Z345" s="3" t="str">
        <f t="shared" si="357"/>
        <v>Nie</v>
      </c>
      <c r="AA345" s="3" t="str">
        <f t="shared" si="358"/>
        <v>SLA</v>
      </c>
      <c r="AB345" s="4">
        <v>56.25</v>
      </c>
      <c r="AD345" s="3" t="s">
        <v>48</v>
      </c>
      <c r="AE345" s="6">
        <v>44420</v>
      </c>
      <c r="AF345" s="3" t="s">
        <v>59</v>
      </c>
      <c r="AG345" s="3" t="s">
        <v>60</v>
      </c>
      <c r="AH345" s="3">
        <f>YEAR(SrcDB[[#This Row],[Datum_zverejnenia]])</f>
        <v>2021</v>
      </c>
      <c r="AI345" s="3" cm="1">
        <f t="array" ref="AI345">COUNT(_xlfn.UNIQUE(_xlfn._xlws.FILTER(SrcDB[ID],SrcDB[Objednavatel_ICO]=$H345)))</f>
        <v>25</v>
      </c>
      <c r="AJ345" s="3" cm="1">
        <f t="array" ref="AJ345">COUNT(_xlfn.UNIQUE(_xlfn._xlws.FILTER(SrcDB[ID],SrcDB[Dodavatel_ICO]=$K345)))</f>
        <v>34</v>
      </c>
      <c r="AK345" s="3">
        <f t="shared" si="360"/>
        <v>1</v>
      </c>
      <c r="AL345" s="3">
        <f t="shared" si="361"/>
        <v>1</v>
      </c>
      <c r="AM345" s="17" t="str">
        <f>IF(SrcDB[[#This Row],[Pocet zmluv objednavatela]]&gt;3,SrcDB[[#This Row],[Objednavatel]],"Ostatné")</f>
        <v>Finančné riaditeľstvo SR</v>
      </c>
      <c r="AN345" s="17" t="str">
        <f>IF(SrcDB[[#This Row],[Pocet zmluv dodavatela]]&gt;3,SrcDB[[#This Row],[Dodavatel]],"Ostatné")</f>
        <v>Asseco Central Europe, a.s.</v>
      </c>
    </row>
    <row r="346" spans="1:40" x14ac:dyDescent="0.3">
      <c r="A346" s="2" t="s">
        <v>556</v>
      </c>
      <c r="B346" s="2">
        <v>5498421</v>
      </c>
      <c r="C346" s="3" t="str">
        <f t="shared" si="352"/>
        <v>Nejasné</v>
      </c>
      <c r="D346" s="3" t="str">
        <f t="shared" si="353"/>
        <v>Nejasné</v>
      </c>
      <c r="E346" s="3" t="s">
        <v>48</v>
      </c>
      <c r="F346" s="3" t="s">
        <v>49</v>
      </c>
      <c r="G346" s="2" t="str">
        <f t="shared" si="354"/>
        <v>Malé zmluvy</v>
      </c>
      <c r="H346" s="5">
        <v>42499500</v>
      </c>
      <c r="I346" s="2" t="s">
        <v>464</v>
      </c>
      <c r="J346" s="2" t="s">
        <v>465</v>
      </c>
      <c r="K346" s="5">
        <v>35760419</v>
      </c>
      <c r="L346" s="2" t="s">
        <v>85</v>
      </c>
      <c r="M346" s="2" t="s">
        <v>136</v>
      </c>
      <c r="N346" s="6">
        <v>44238</v>
      </c>
      <c r="O346" s="4">
        <v>450635.47</v>
      </c>
      <c r="P346" s="2">
        <v>114725</v>
      </c>
      <c r="Q346" s="2" t="s">
        <v>557</v>
      </c>
      <c r="R346" s="2" t="s">
        <v>558</v>
      </c>
      <c r="S346" s="2" t="s">
        <v>77</v>
      </c>
      <c r="T346" s="2" t="s">
        <v>471</v>
      </c>
      <c r="W346" s="4">
        <v>642.48</v>
      </c>
      <c r="X346" s="4">
        <v>770.976</v>
      </c>
      <c r="Y346" s="4">
        <f t="shared" ref="Y346" si="383">INDEX(InternalRates,MATCH($S346,InternalRates01,FALSE),2)</f>
        <v>278.98333333333335</v>
      </c>
      <c r="Z346" s="3" t="str">
        <f t="shared" si="357"/>
        <v>Nie</v>
      </c>
      <c r="AA346" s="3" t="str">
        <f t="shared" si="358"/>
        <v>SLA</v>
      </c>
      <c r="AB346" s="4">
        <v>191.875</v>
      </c>
      <c r="AD346" s="3" t="s">
        <v>48</v>
      </c>
      <c r="AE346" s="6">
        <v>44420</v>
      </c>
      <c r="AF346" s="3" t="s">
        <v>59</v>
      </c>
      <c r="AG346" s="3" t="s">
        <v>60</v>
      </c>
      <c r="AH346" s="3">
        <f>YEAR(SrcDB[[#This Row],[Datum_zverejnenia]])</f>
        <v>2021</v>
      </c>
      <c r="AI346" s="3" cm="1">
        <f t="array" ref="AI346">COUNT(_xlfn.UNIQUE(_xlfn._xlws.FILTER(SrcDB[ID],SrcDB[Objednavatel_ICO]=$H346)))</f>
        <v>25</v>
      </c>
      <c r="AJ346" s="3" cm="1">
        <f t="array" ref="AJ346">COUNT(_xlfn.UNIQUE(_xlfn._xlws.FILTER(SrcDB[ID],SrcDB[Dodavatel_ICO]=$K346)))</f>
        <v>34</v>
      </c>
      <c r="AK346" s="3">
        <f t="shared" si="360"/>
        <v>0</v>
      </c>
      <c r="AL346" s="3">
        <f t="shared" si="361"/>
        <v>0</v>
      </c>
      <c r="AM346" s="17" t="str">
        <f>IF(SrcDB[[#This Row],[Pocet zmluv objednavatela]]&gt;3,SrcDB[[#This Row],[Objednavatel]],"Ostatné")</f>
        <v>Finančné riaditeľstvo SR</v>
      </c>
      <c r="AN346" s="17" t="str">
        <f>IF(SrcDB[[#This Row],[Pocet zmluv dodavatela]]&gt;3,SrcDB[[#This Row],[Dodavatel]],"Ostatné")</f>
        <v>Asseco Central Europe, a.s.</v>
      </c>
    </row>
    <row r="347" spans="1:40" x14ac:dyDescent="0.3">
      <c r="A347" s="2" t="s">
        <v>556</v>
      </c>
      <c r="B347" s="2">
        <v>5498421</v>
      </c>
      <c r="C347" s="3" t="str">
        <f t="shared" si="352"/>
        <v>Nejasné</v>
      </c>
      <c r="D347" s="3" t="str">
        <f t="shared" si="353"/>
        <v>Nejasné</v>
      </c>
      <c r="E347" s="3" t="s">
        <v>48</v>
      </c>
      <c r="F347" s="3" t="s">
        <v>49</v>
      </c>
      <c r="G347" s="2" t="str">
        <f t="shared" si="354"/>
        <v>Malé zmluvy</v>
      </c>
      <c r="H347" s="5">
        <v>42499500</v>
      </c>
      <c r="I347" s="2" t="s">
        <v>464</v>
      </c>
      <c r="J347" s="2" t="s">
        <v>465</v>
      </c>
      <c r="K347" s="5">
        <v>35760419</v>
      </c>
      <c r="L347" s="2" t="s">
        <v>85</v>
      </c>
      <c r="M347" s="2" t="s">
        <v>136</v>
      </c>
      <c r="N347" s="6">
        <v>44238</v>
      </c>
      <c r="O347" s="4">
        <v>450635.47</v>
      </c>
      <c r="P347" s="2">
        <v>114725</v>
      </c>
      <c r="Q347" s="2" t="s">
        <v>557</v>
      </c>
      <c r="R347" s="2" t="s">
        <v>558</v>
      </c>
      <c r="S347" s="2" t="s">
        <v>79</v>
      </c>
      <c r="T347" s="2" t="s">
        <v>472</v>
      </c>
      <c r="W347" s="4">
        <v>642.48</v>
      </c>
      <c r="X347" s="4">
        <v>770.976</v>
      </c>
      <c r="Y347" s="4">
        <f t="shared" ref="Y347" si="384">INDEX(InternalRates,MATCH($S347,InternalRates01,FALSE),2)</f>
        <v>278.98333333333335</v>
      </c>
      <c r="Z347" s="3" t="str">
        <f t="shared" si="357"/>
        <v>Nie</v>
      </c>
      <c r="AA347" s="3" t="str">
        <f t="shared" si="358"/>
        <v>SLA</v>
      </c>
      <c r="AB347" s="4">
        <v>95</v>
      </c>
      <c r="AD347" s="3" t="s">
        <v>48</v>
      </c>
      <c r="AE347" s="6">
        <v>44420</v>
      </c>
      <c r="AF347" s="3" t="s">
        <v>59</v>
      </c>
      <c r="AG347" s="3" t="s">
        <v>60</v>
      </c>
      <c r="AH347" s="3">
        <f>YEAR(SrcDB[[#This Row],[Datum_zverejnenia]])</f>
        <v>2021</v>
      </c>
      <c r="AI347" s="3" cm="1">
        <f t="array" ref="AI347">COUNT(_xlfn.UNIQUE(_xlfn._xlws.FILTER(SrcDB[ID],SrcDB[Objednavatel_ICO]=$H347)))</f>
        <v>25</v>
      </c>
      <c r="AJ347" s="3" cm="1">
        <f t="array" ref="AJ347">COUNT(_xlfn.UNIQUE(_xlfn._xlws.FILTER(SrcDB[ID],SrcDB[Dodavatel_ICO]=$K347)))</f>
        <v>34</v>
      </c>
      <c r="AK347" s="3">
        <f t="shared" si="360"/>
        <v>0</v>
      </c>
      <c r="AL347" s="3">
        <f t="shared" si="361"/>
        <v>0</v>
      </c>
      <c r="AM347" s="17" t="str">
        <f>IF(SrcDB[[#This Row],[Pocet zmluv objednavatela]]&gt;3,SrcDB[[#This Row],[Objednavatel]],"Ostatné")</f>
        <v>Finančné riaditeľstvo SR</v>
      </c>
      <c r="AN347" s="17" t="str">
        <f>IF(SrcDB[[#This Row],[Pocet zmluv dodavatela]]&gt;3,SrcDB[[#This Row],[Dodavatel]],"Ostatné")</f>
        <v>Asseco Central Europe, a.s.</v>
      </c>
    </row>
    <row r="348" spans="1:40" x14ac:dyDescent="0.3">
      <c r="A348" s="2" t="s">
        <v>556</v>
      </c>
      <c r="B348" s="2">
        <v>5498421</v>
      </c>
      <c r="C348" s="3" t="str">
        <f t="shared" si="352"/>
        <v>Nejasné</v>
      </c>
      <c r="D348" s="3" t="str">
        <f t="shared" si="353"/>
        <v>Nejasné</v>
      </c>
      <c r="E348" s="3" t="s">
        <v>48</v>
      </c>
      <c r="F348" s="3" t="s">
        <v>49</v>
      </c>
      <c r="G348" s="2" t="str">
        <f t="shared" si="354"/>
        <v>Malé zmluvy</v>
      </c>
      <c r="H348" s="5">
        <v>42499500</v>
      </c>
      <c r="I348" s="2" t="s">
        <v>464</v>
      </c>
      <c r="J348" s="2" t="s">
        <v>465</v>
      </c>
      <c r="K348" s="5">
        <v>35760419</v>
      </c>
      <c r="L348" s="2" t="s">
        <v>85</v>
      </c>
      <c r="M348" s="2" t="s">
        <v>136</v>
      </c>
      <c r="N348" s="6">
        <v>44238</v>
      </c>
      <c r="O348" s="4">
        <v>450635.47</v>
      </c>
      <c r="P348" s="2">
        <v>114725</v>
      </c>
      <c r="Q348" s="2" t="s">
        <v>557</v>
      </c>
      <c r="R348" s="2" t="s">
        <v>558</v>
      </c>
      <c r="S348" s="2" t="s">
        <v>160</v>
      </c>
      <c r="T348" s="2" t="s">
        <v>473</v>
      </c>
      <c r="W348" s="4">
        <v>642.48</v>
      </c>
      <c r="X348" s="4">
        <v>770.976</v>
      </c>
      <c r="Y348" s="4">
        <f t="shared" ref="Y348" si="385">INDEX(InternalRates,MATCH($S348,InternalRates01,FALSE),2)</f>
        <v>231.85833333333335</v>
      </c>
      <c r="Z348" s="3" t="str">
        <f t="shared" si="357"/>
        <v>Nie</v>
      </c>
      <c r="AA348" s="3" t="str">
        <f t="shared" si="358"/>
        <v>SLA</v>
      </c>
      <c r="AB348" s="4">
        <v>0</v>
      </c>
      <c r="AD348" s="3" t="s">
        <v>48</v>
      </c>
      <c r="AE348" s="6">
        <v>44420</v>
      </c>
      <c r="AF348" s="3" t="s">
        <v>59</v>
      </c>
      <c r="AG348" s="3" t="s">
        <v>60</v>
      </c>
      <c r="AH348" s="3">
        <f>YEAR(SrcDB[[#This Row],[Datum_zverejnenia]])</f>
        <v>2021</v>
      </c>
      <c r="AI348" s="3" cm="1">
        <f t="array" ref="AI348">COUNT(_xlfn.UNIQUE(_xlfn._xlws.FILTER(SrcDB[ID],SrcDB[Objednavatel_ICO]=$H348)))</f>
        <v>25</v>
      </c>
      <c r="AJ348" s="3" cm="1">
        <f t="array" ref="AJ348">COUNT(_xlfn.UNIQUE(_xlfn._xlws.FILTER(SrcDB[ID],SrcDB[Dodavatel_ICO]=$K348)))</f>
        <v>34</v>
      </c>
      <c r="AK348" s="3">
        <f t="shared" si="360"/>
        <v>0</v>
      </c>
      <c r="AL348" s="3">
        <f t="shared" si="361"/>
        <v>0</v>
      </c>
      <c r="AM348" s="17" t="str">
        <f>IF(SrcDB[[#This Row],[Pocet zmluv objednavatela]]&gt;3,SrcDB[[#This Row],[Objednavatel]],"Ostatné")</f>
        <v>Finančné riaditeľstvo SR</v>
      </c>
      <c r="AN348" s="17" t="str">
        <f>IF(SrcDB[[#This Row],[Pocet zmluv dodavatela]]&gt;3,SrcDB[[#This Row],[Dodavatel]],"Ostatné")</f>
        <v>Asseco Central Europe, a.s.</v>
      </c>
    </row>
    <row r="349" spans="1:40" x14ac:dyDescent="0.3">
      <c r="A349" s="2" t="s">
        <v>556</v>
      </c>
      <c r="B349" s="2">
        <v>5498421</v>
      </c>
      <c r="C349" s="3" t="str">
        <f t="shared" si="352"/>
        <v>Nejasné</v>
      </c>
      <c r="D349" s="3" t="str">
        <f t="shared" si="353"/>
        <v>Nejasné</v>
      </c>
      <c r="E349" s="3" t="s">
        <v>48</v>
      </c>
      <c r="F349" s="3" t="s">
        <v>49</v>
      </c>
      <c r="G349" s="2" t="str">
        <f t="shared" si="354"/>
        <v>Malé zmluvy</v>
      </c>
      <c r="H349" s="5">
        <v>42499500</v>
      </c>
      <c r="I349" s="2" t="s">
        <v>464</v>
      </c>
      <c r="J349" s="2" t="s">
        <v>465</v>
      </c>
      <c r="K349" s="5">
        <v>35760419</v>
      </c>
      <c r="L349" s="2" t="s">
        <v>85</v>
      </c>
      <c r="M349" s="2" t="s">
        <v>136</v>
      </c>
      <c r="N349" s="6">
        <v>44238</v>
      </c>
      <c r="O349" s="4">
        <v>450635.47</v>
      </c>
      <c r="P349" s="2">
        <v>114725</v>
      </c>
      <c r="Q349" s="2" t="s">
        <v>557</v>
      </c>
      <c r="R349" s="2" t="s">
        <v>558</v>
      </c>
      <c r="S349" s="2" t="s">
        <v>100</v>
      </c>
      <c r="T349" s="2" t="s">
        <v>474</v>
      </c>
      <c r="W349" s="4">
        <v>642.48</v>
      </c>
      <c r="X349" s="4">
        <v>770.976</v>
      </c>
      <c r="Y349" s="4">
        <f t="shared" ref="Y349" si="386">INDEX(InternalRates,MATCH($S349,InternalRates01,FALSE),2)</f>
        <v>278.98333333333335</v>
      </c>
      <c r="Z349" s="3" t="str">
        <f t="shared" si="357"/>
        <v>Nie</v>
      </c>
      <c r="AA349" s="3" t="str">
        <f t="shared" si="358"/>
        <v>SLA</v>
      </c>
      <c r="AB349" s="4">
        <v>4.5</v>
      </c>
      <c r="AD349" s="3" t="s">
        <v>48</v>
      </c>
      <c r="AE349" s="6">
        <v>44420</v>
      </c>
      <c r="AF349" s="3" t="s">
        <v>59</v>
      </c>
      <c r="AG349" s="3" t="s">
        <v>60</v>
      </c>
      <c r="AH349" s="3">
        <f>YEAR(SrcDB[[#This Row],[Datum_zverejnenia]])</f>
        <v>2021</v>
      </c>
      <c r="AI349" s="3" cm="1">
        <f t="array" ref="AI349">COUNT(_xlfn.UNIQUE(_xlfn._xlws.FILTER(SrcDB[ID],SrcDB[Objednavatel_ICO]=$H349)))</f>
        <v>25</v>
      </c>
      <c r="AJ349" s="3" cm="1">
        <f t="array" ref="AJ349">COUNT(_xlfn.UNIQUE(_xlfn._xlws.FILTER(SrcDB[ID],SrcDB[Dodavatel_ICO]=$K349)))</f>
        <v>34</v>
      </c>
      <c r="AK349" s="3">
        <f t="shared" si="360"/>
        <v>0</v>
      </c>
      <c r="AL349" s="3">
        <f t="shared" si="361"/>
        <v>0</v>
      </c>
      <c r="AM349" s="17" t="str">
        <f>IF(SrcDB[[#This Row],[Pocet zmluv objednavatela]]&gt;3,SrcDB[[#This Row],[Objednavatel]],"Ostatné")</f>
        <v>Finančné riaditeľstvo SR</v>
      </c>
      <c r="AN349" s="17" t="str">
        <f>IF(SrcDB[[#This Row],[Pocet zmluv dodavatela]]&gt;3,SrcDB[[#This Row],[Dodavatel]],"Ostatné")</f>
        <v>Asseco Central Europe, a.s.</v>
      </c>
    </row>
    <row r="350" spans="1:40" x14ac:dyDescent="0.3">
      <c r="A350" s="2" t="s">
        <v>556</v>
      </c>
      <c r="B350" s="2">
        <v>5498421</v>
      </c>
      <c r="C350" s="3" t="str">
        <f t="shared" si="352"/>
        <v>Nejasné</v>
      </c>
      <c r="D350" s="3" t="str">
        <f t="shared" si="353"/>
        <v>Nejasné</v>
      </c>
      <c r="E350" s="3" t="s">
        <v>48</v>
      </c>
      <c r="F350" s="3" t="s">
        <v>49</v>
      </c>
      <c r="G350" s="2" t="str">
        <f t="shared" si="354"/>
        <v>Malé zmluvy</v>
      </c>
      <c r="H350" s="5">
        <v>42499500</v>
      </c>
      <c r="I350" s="2" t="s">
        <v>464</v>
      </c>
      <c r="J350" s="2" t="s">
        <v>465</v>
      </c>
      <c r="K350" s="5">
        <v>35760419</v>
      </c>
      <c r="L350" s="2" t="s">
        <v>85</v>
      </c>
      <c r="M350" s="2" t="s">
        <v>136</v>
      </c>
      <c r="N350" s="6">
        <v>44238</v>
      </c>
      <c r="O350" s="4">
        <v>450635.47</v>
      </c>
      <c r="P350" s="2">
        <v>114725</v>
      </c>
      <c r="Q350" s="2" t="s">
        <v>557</v>
      </c>
      <c r="R350" s="2" t="s">
        <v>558</v>
      </c>
      <c r="S350" s="2" t="s">
        <v>160</v>
      </c>
      <c r="T350" s="2" t="s">
        <v>475</v>
      </c>
      <c r="W350" s="4">
        <v>642.48</v>
      </c>
      <c r="X350" s="4">
        <v>770.976</v>
      </c>
      <c r="Y350" s="4">
        <f t="shared" ref="Y350" si="387">INDEX(InternalRates,MATCH($S350,InternalRates01,FALSE),2)</f>
        <v>231.85833333333335</v>
      </c>
      <c r="Z350" s="3" t="str">
        <f t="shared" si="357"/>
        <v>Nie</v>
      </c>
      <c r="AA350" s="3" t="str">
        <f t="shared" si="358"/>
        <v>SLA</v>
      </c>
      <c r="AB350" s="4">
        <v>0</v>
      </c>
      <c r="AD350" s="3" t="s">
        <v>48</v>
      </c>
      <c r="AE350" s="6">
        <v>44420</v>
      </c>
      <c r="AF350" s="3" t="s">
        <v>59</v>
      </c>
      <c r="AG350" s="3" t="s">
        <v>60</v>
      </c>
      <c r="AH350" s="3">
        <f>YEAR(SrcDB[[#This Row],[Datum_zverejnenia]])</f>
        <v>2021</v>
      </c>
      <c r="AI350" s="3" cm="1">
        <f t="array" ref="AI350">COUNT(_xlfn.UNIQUE(_xlfn._xlws.FILTER(SrcDB[ID],SrcDB[Objednavatel_ICO]=$H350)))</f>
        <v>25</v>
      </c>
      <c r="AJ350" s="3" cm="1">
        <f t="array" ref="AJ350">COUNT(_xlfn.UNIQUE(_xlfn._xlws.FILTER(SrcDB[ID],SrcDB[Dodavatel_ICO]=$K350)))</f>
        <v>34</v>
      </c>
      <c r="AK350" s="3">
        <f t="shared" si="360"/>
        <v>0</v>
      </c>
      <c r="AL350" s="3">
        <f t="shared" si="361"/>
        <v>0</v>
      </c>
      <c r="AM350" s="17" t="str">
        <f>IF(SrcDB[[#This Row],[Pocet zmluv objednavatela]]&gt;3,SrcDB[[#This Row],[Objednavatel]],"Ostatné")</f>
        <v>Finančné riaditeľstvo SR</v>
      </c>
      <c r="AN350" s="17" t="str">
        <f>IF(SrcDB[[#This Row],[Pocet zmluv dodavatela]]&gt;3,SrcDB[[#This Row],[Dodavatel]],"Ostatné")</f>
        <v>Asseco Central Europe, a.s.</v>
      </c>
    </row>
    <row r="351" spans="1:40" x14ac:dyDescent="0.3">
      <c r="A351" s="2" t="s">
        <v>556</v>
      </c>
      <c r="B351" s="2">
        <v>5498421</v>
      </c>
      <c r="C351" s="3" t="str">
        <f t="shared" si="352"/>
        <v>Nejasné</v>
      </c>
      <c r="D351" s="3" t="str">
        <f t="shared" si="353"/>
        <v>Nejasné</v>
      </c>
      <c r="E351" s="3" t="s">
        <v>48</v>
      </c>
      <c r="F351" s="3" t="s">
        <v>49</v>
      </c>
      <c r="G351" s="2" t="str">
        <f t="shared" si="354"/>
        <v>Malé zmluvy</v>
      </c>
      <c r="H351" s="5">
        <v>42499500</v>
      </c>
      <c r="I351" s="2" t="s">
        <v>464</v>
      </c>
      <c r="J351" s="2" t="s">
        <v>465</v>
      </c>
      <c r="K351" s="5">
        <v>35760419</v>
      </c>
      <c r="L351" s="2" t="s">
        <v>85</v>
      </c>
      <c r="M351" s="2" t="s">
        <v>136</v>
      </c>
      <c r="N351" s="6">
        <v>44238</v>
      </c>
      <c r="O351" s="4">
        <v>450635.47</v>
      </c>
      <c r="P351" s="2">
        <v>114725</v>
      </c>
      <c r="Q351" s="2" t="s">
        <v>557</v>
      </c>
      <c r="R351" s="2" t="s">
        <v>558</v>
      </c>
      <c r="S351" s="2" t="s">
        <v>160</v>
      </c>
      <c r="T351" s="2" t="s">
        <v>476</v>
      </c>
      <c r="W351" s="4">
        <v>642.48</v>
      </c>
      <c r="X351" s="4">
        <v>770.976</v>
      </c>
      <c r="Y351" s="4">
        <f t="shared" ref="Y351" si="388">INDEX(InternalRates,MATCH($S351,InternalRates01,FALSE),2)</f>
        <v>231.85833333333335</v>
      </c>
      <c r="Z351" s="3" t="str">
        <f t="shared" si="357"/>
        <v>Nie</v>
      </c>
      <c r="AA351" s="3" t="str">
        <f t="shared" si="358"/>
        <v>SLA</v>
      </c>
      <c r="AB351" s="4">
        <v>0</v>
      </c>
      <c r="AD351" s="3" t="s">
        <v>48</v>
      </c>
      <c r="AE351" s="6">
        <v>44420</v>
      </c>
      <c r="AF351" s="3" t="s">
        <v>59</v>
      </c>
      <c r="AG351" s="3" t="s">
        <v>60</v>
      </c>
      <c r="AH351" s="3">
        <f>YEAR(SrcDB[[#This Row],[Datum_zverejnenia]])</f>
        <v>2021</v>
      </c>
      <c r="AI351" s="3" cm="1">
        <f t="array" ref="AI351">COUNT(_xlfn.UNIQUE(_xlfn._xlws.FILTER(SrcDB[ID],SrcDB[Objednavatel_ICO]=$H351)))</f>
        <v>25</v>
      </c>
      <c r="AJ351" s="3" cm="1">
        <f t="array" ref="AJ351">COUNT(_xlfn.UNIQUE(_xlfn._xlws.FILTER(SrcDB[ID],SrcDB[Dodavatel_ICO]=$K351)))</f>
        <v>34</v>
      </c>
      <c r="AK351" s="3">
        <f t="shared" si="360"/>
        <v>0</v>
      </c>
      <c r="AL351" s="3">
        <f t="shared" si="361"/>
        <v>0</v>
      </c>
      <c r="AM351" s="17" t="str">
        <f>IF(SrcDB[[#This Row],[Pocet zmluv objednavatela]]&gt;3,SrcDB[[#This Row],[Objednavatel]],"Ostatné")</f>
        <v>Finančné riaditeľstvo SR</v>
      </c>
      <c r="AN351" s="17" t="str">
        <f>IF(SrcDB[[#This Row],[Pocet zmluv dodavatela]]&gt;3,SrcDB[[#This Row],[Dodavatel]],"Ostatné")</f>
        <v>Asseco Central Europe, a.s.</v>
      </c>
    </row>
    <row r="352" spans="1:40" x14ac:dyDescent="0.3">
      <c r="A352" s="2" t="s">
        <v>556</v>
      </c>
      <c r="B352" s="2">
        <v>5498421</v>
      </c>
      <c r="C352" s="3" t="str">
        <f t="shared" si="352"/>
        <v>Nejasné</v>
      </c>
      <c r="D352" s="3" t="str">
        <f t="shared" si="353"/>
        <v>Nejasné</v>
      </c>
      <c r="E352" s="3" t="s">
        <v>48</v>
      </c>
      <c r="F352" s="3" t="s">
        <v>49</v>
      </c>
      <c r="G352" s="2" t="str">
        <f t="shared" si="354"/>
        <v>Malé zmluvy</v>
      </c>
      <c r="H352" s="5">
        <v>42499500</v>
      </c>
      <c r="I352" s="2" t="s">
        <v>464</v>
      </c>
      <c r="J352" s="2" t="s">
        <v>465</v>
      </c>
      <c r="K352" s="5">
        <v>35760419</v>
      </c>
      <c r="L352" s="2" t="s">
        <v>85</v>
      </c>
      <c r="M352" s="2" t="s">
        <v>136</v>
      </c>
      <c r="N352" s="6">
        <v>44238</v>
      </c>
      <c r="O352" s="4">
        <v>450635.47</v>
      </c>
      <c r="P352" s="2">
        <v>114725</v>
      </c>
      <c r="Q352" s="2" t="s">
        <v>557</v>
      </c>
      <c r="R352" s="2" t="s">
        <v>558</v>
      </c>
      <c r="S352" s="2" t="s">
        <v>160</v>
      </c>
      <c r="T352" s="2" t="s">
        <v>477</v>
      </c>
      <c r="W352" s="4">
        <v>642.48</v>
      </c>
      <c r="X352" s="4">
        <v>770.976</v>
      </c>
      <c r="Y352" s="4">
        <f t="shared" ref="Y352" si="389">INDEX(InternalRates,MATCH($S352,InternalRates01,FALSE),2)</f>
        <v>231.85833333333335</v>
      </c>
      <c r="Z352" s="3" t="str">
        <f t="shared" si="357"/>
        <v>Nie</v>
      </c>
      <c r="AA352" s="3" t="str">
        <f t="shared" si="358"/>
        <v>SLA</v>
      </c>
      <c r="AB352" s="4">
        <v>5.375</v>
      </c>
      <c r="AD352" s="3" t="s">
        <v>48</v>
      </c>
      <c r="AE352" s="6">
        <v>44420</v>
      </c>
      <c r="AF352" s="3" t="s">
        <v>59</v>
      </c>
      <c r="AG352" s="3" t="s">
        <v>60</v>
      </c>
      <c r="AH352" s="3">
        <f>YEAR(SrcDB[[#This Row],[Datum_zverejnenia]])</f>
        <v>2021</v>
      </c>
      <c r="AI352" s="3" cm="1">
        <f t="array" ref="AI352">COUNT(_xlfn.UNIQUE(_xlfn._xlws.FILTER(SrcDB[ID],SrcDB[Objednavatel_ICO]=$H352)))</f>
        <v>25</v>
      </c>
      <c r="AJ352" s="3" cm="1">
        <f t="array" ref="AJ352">COUNT(_xlfn.UNIQUE(_xlfn._xlws.FILTER(SrcDB[ID],SrcDB[Dodavatel_ICO]=$K352)))</f>
        <v>34</v>
      </c>
      <c r="AK352" s="3">
        <f t="shared" si="360"/>
        <v>0</v>
      </c>
      <c r="AL352" s="3">
        <f t="shared" si="361"/>
        <v>0</v>
      </c>
      <c r="AM352" s="17" t="str">
        <f>IF(SrcDB[[#This Row],[Pocet zmluv objednavatela]]&gt;3,SrcDB[[#This Row],[Objednavatel]],"Ostatné")</f>
        <v>Finančné riaditeľstvo SR</v>
      </c>
      <c r="AN352" s="17" t="str">
        <f>IF(SrcDB[[#This Row],[Pocet zmluv dodavatela]]&gt;3,SrcDB[[#This Row],[Dodavatel]],"Ostatné")</f>
        <v>Asseco Central Europe, a.s.</v>
      </c>
    </row>
    <row r="353" spans="1:40" x14ac:dyDescent="0.3">
      <c r="A353" s="2" t="s">
        <v>556</v>
      </c>
      <c r="B353" s="2">
        <v>5498421</v>
      </c>
      <c r="C353" s="3" t="str">
        <f t="shared" si="352"/>
        <v>Nejasné</v>
      </c>
      <c r="D353" s="3" t="str">
        <f t="shared" si="353"/>
        <v>Nejasné</v>
      </c>
      <c r="E353" s="3" t="s">
        <v>48</v>
      </c>
      <c r="F353" s="3" t="s">
        <v>49</v>
      </c>
      <c r="G353" s="2" t="str">
        <f t="shared" si="354"/>
        <v>Malé zmluvy</v>
      </c>
      <c r="H353" s="5">
        <v>42499500</v>
      </c>
      <c r="I353" s="2" t="s">
        <v>464</v>
      </c>
      <c r="J353" s="2" t="s">
        <v>465</v>
      </c>
      <c r="K353" s="5">
        <v>35760419</v>
      </c>
      <c r="L353" s="2" t="s">
        <v>85</v>
      </c>
      <c r="M353" s="2" t="s">
        <v>136</v>
      </c>
      <c r="N353" s="6">
        <v>44238.393587962964</v>
      </c>
      <c r="O353" s="4">
        <v>450635.47</v>
      </c>
      <c r="P353" s="2">
        <v>114725</v>
      </c>
      <c r="Q353" s="2" t="s">
        <v>557</v>
      </c>
      <c r="R353" s="2" t="s">
        <v>558</v>
      </c>
      <c r="S353" s="2" t="s">
        <v>69</v>
      </c>
      <c r="T353" s="2" t="s">
        <v>468</v>
      </c>
      <c r="W353" s="4">
        <v>642.48</v>
      </c>
      <c r="X353" s="4">
        <v>770.976</v>
      </c>
      <c r="Y353" s="4">
        <f t="shared" ref="Y353" si="390">INDEX(InternalRates,MATCH($S353,InternalRates01,FALSE),2)</f>
        <v>278.98333333333335</v>
      </c>
      <c r="Z353" s="3" t="str">
        <f t="shared" si="357"/>
        <v>Nie</v>
      </c>
      <c r="AA353" s="3" t="str">
        <f t="shared" si="358"/>
        <v>SLA</v>
      </c>
      <c r="AB353" s="4">
        <v>36.625</v>
      </c>
      <c r="AD353" s="3" t="s">
        <v>48</v>
      </c>
      <c r="AE353" s="6">
        <v>44420</v>
      </c>
      <c r="AF353" s="3" t="s">
        <v>59</v>
      </c>
      <c r="AG353" s="3" t="s">
        <v>60</v>
      </c>
      <c r="AH353" s="3">
        <f>YEAR(SrcDB[[#This Row],[Datum_zverejnenia]])</f>
        <v>2021</v>
      </c>
      <c r="AI353" s="3" cm="1">
        <f t="array" ref="AI353">COUNT(_xlfn.UNIQUE(_xlfn._xlws.FILTER(SrcDB[ID],SrcDB[Objednavatel_ICO]=$H353)))</f>
        <v>25</v>
      </c>
      <c r="AJ353" s="3" cm="1">
        <f t="array" ref="AJ353">COUNT(_xlfn.UNIQUE(_xlfn._xlws.FILTER(SrcDB[ID],SrcDB[Dodavatel_ICO]=$K353)))</f>
        <v>34</v>
      </c>
      <c r="AK353" s="3">
        <f t="shared" si="360"/>
        <v>0</v>
      </c>
      <c r="AL353" s="3">
        <f t="shared" si="361"/>
        <v>0</v>
      </c>
      <c r="AM353" s="17" t="str">
        <f>IF(SrcDB[[#This Row],[Pocet zmluv objednavatela]]&gt;3,SrcDB[[#This Row],[Objednavatel]],"Ostatné")</f>
        <v>Finančné riaditeľstvo SR</v>
      </c>
      <c r="AN353" s="17" t="str">
        <f>IF(SrcDB[[#This Row],[Pocet zmluv dodavatela]]&gt;3,SrcDB[[#This Row],[Dodavatel]],"Ostatné")</f>
        <v>Asseco Central Europe, a.s.</v>
      </c>
    </row>
    <row r="354" spans="1:40" x14ac:dyDescent="0.3">
      <c r="A354" s="2" t="s">
        <v>556</v>
      </c>
      <c r="B354" s="2">
        <v>5498421</v>
      </c>
      <c r="C354" s="3" t="str">
        <f t="shared" si="352"/>
        <v>Nejasné</v>
      </c>
      <c r="D354" s="3" t="str">
        <f t="shared" si="353"/>
        <v>Nejasné</v>
      </c>
      <c r="E354" s="3" t="s">
        <v>48</v>
      </c>
      <c r="F354" s="3" t="s">
        <v>49</v>
      </c>
      <c r="G354" s="2" t="str">
        <f t="shared" si="354"/>
        <v>Malé zmluvy</v>
      </c>
      <c r="H354" s="5">
        <v>42499500</v>
      </c>
      <c r="I354" s="2" t="s">
        <v>464</v>
      </c>
      <c r="J354" s="2" t="s">
        <v>465</v>
      </c>
      <c r="K354" s="5">
        <v>35760419</v>
      </c>
      <c r="L354" s="2" t="s">
        <v>85</v>
      </c>
      <c r="M354" s="2" t="s">
        <v>136</v>
      </c>
      <c r="N354" s="6">
        <v>44238.393587962964</v>
      </c>
      <c r="O354" s="4">
        <v>450635.47</v>
      </c>
      <c r="P354" s="2">
        <v>114725</v>
      </c>
      <c r="Q354" s="2" t="s">
        <v>557</v>
      </c>
      <c r="R354" s="2" t="s">
        <v>558</v>
      </c>
      <c r="S354" s="2" t="s">
        <v>73</v>
      </c>
      <c r="T354" s="2" t="s">
        <v>469</v>
      </c>
      <c r="W354" s="4">
        <v>642.48</v>
      </c>
      <c r="X354" s="4">
        <v>770.976</v>
      </c>
      <c r="Y354" s="4">
        <f t="shared" ref="Y354" si="391">INDEX(InternalRates,MATCH($S354,InternalRates01,FALSE),2)</f>
        <v>278.98333333333335</v>
      </c>
      <c r="Z354" s="3" t="str">
        <f t="shared" si="357"/>
        <v>Nie</v>
      </c>
      <c r="AA354" s="3" t="str">
        <f t="shared" si="358"/>
        <v>SLA</v>
      </c>
      <c r="AB354" s="4">
        <v>194.875</v>
      </c>
      <c r="AD354" s="3" t="s">
        <v>48</v>
      </c>
      <c r="AE354" s="6">
        <v>44420</v>
      </c>
      <c r="AF354" s="3" t="s">
        <v>59</v>
      </c>
      <c r="AG354" s="3" t="s">
        <v>60</v>
      </c>
      <c r="AH354" s="3">
        <f>YEAR(SrcDB[[#This Row],[Datum_zverejnenia]])</f>
        <v>2021</v>
      </c>
      <c r="AI354" s="3" cm="1">
        <f t="array" ref="AI354">COUNT(_xlfn.UNIQUE(_xlfn._xlws.FILTER(SrcDB[ID],SrcDB[Objednavatel_ICO]=$H354)))</f>
        <v>25</v>
      </c>
      <c r="AJ354" s="3" cm="1">
        <f t="array" ref="AJ354">COUNT(_xlfn.UNIQUE(_xlfn._xlws.FILTER(SrcDB[ID],SrcDB[Dodavatel_ICO]=$K354)))</f>
        <v>34</v>
      </c>
      <c r="AK354" s="3">
        <f t="shared" si="360"/>
        <v>0</v>
      </c>
      <c r="AL354" s="3">
        <f t="shared" si="361"/>
        <v>0</v>
      </c>
      <c r="AM354" s="17" t="str">
        <f>IF(SrcDB[[#This Row],[Pocet zmluv objednavatela]]&gt;3,SrcDB[[#This Row],[Objednavatel]],"Ostatné")</f>
        <v>Finančné riaditeľstvo SR</v>
      </c>
      <c r="AN354" s="17" t="str">
        <f>IF(SrcDB[[#This Row],[Pocet zmluv dodavatela]]&gt;3,SrcDB[[#This Row],[Dodavatel]],"Ostatné")</f>
        <v>Asseco Central Europe, a.s.</v>
      </c>
    </row>
    <row r="355" spans="1:40" x14ac:dyDescent="0.3">
      <c r="A355" s="2" t="s">
        <v>559</v>
      </c>
      <c r="B355" s="2">
        <v>5600113</v>
      </c>
      <c r="C355" s="3" t="str">
        <f t="shared" si="352"/>
        <v>Nie</v>
      </c>
      <c r="D355" s="3" t="str">
        <f t="shared" si="353"/>
        <v>Áno</v>
      </c>
      <c r="E355" s="3" t="s">
        <v>48</v>
      </c>
      <c r="F355" s="3" t="s">
        <v>49</v>
      </c>
      <c r="G355" s="2" t="str">
        <f t="shared" si="354"/>
        <v>Stredné zmluvy</v>
      </c>
      <c r="H355" s="5">
        <v>30807484</v>
      </c>
      <c r="I355" s="2" t="s">
        <v>50</v>
      </c>
      <c r="J355" s="2" t="s">
        <v>51</v>
      </c>
      <c r="K355" s="5">
        <v>31367569</v>
      </c>
      <c r="L355" s="2" t="s">
        <v>560</v>
      </c>
      <c r="M355" s="2" t="s">
        <v>561</v>
      </c>
      <c r="N355" s="6">
        <v>44272.645740740743</v>
      </c>
      <c r="O355" s="4">
        <v>5197392.58</v>
      </c>
      <c r="P355" s="2">
        <v>114493</v>
      </c>
      <c r="Q355" s="2" t="s">
        <v>562</v>
      </c>
      <c r="R355" s="2" t="s">
        <v>563</v>
      </c>
      <c r="S355" s="2" t="s">
        <v>183</v>
      </c>
      <c r="T355" s="2" t="s">
        <v>183</v>
      </c>
      <c r="W355" s="4">
        <v>547.4</v>
      </c>
      <c r="X355" s="4">
        <v>656.88</v>
      </c>
      <c r="Y355" s="4">
        <f t="shared" ref="Y355" si="392">INDEX(InternalRates,MATCH($S355,InternalRates01,FALSE),2)</f>
        <v>278.98333333333335</v>
      </c>
      <c r="Z355" s="3" t="str">
        <f t="shared" si="357"/>
        <v>Nie</v>
      </c>
      <c r="AA355" s="3" t="str">
        <f t="shared" si="358"/>
        <v>SLA</v>
      </c>
      <c r="AD355" s="3" t="s">
        <v>48</v>
      </c>
      <c r="AE355" s="6">
        <v>44413</v>
      </c>
      <c r="AF355" s="3" t="s">
        <v>59</v>
      </c>
      <c r="AG355" s="3" t="s">
        <v>48</v>
      </c>
      <c r="AH355" s="3">
        <f>YEAR(SrcDB[[#This Row],[Datum_zverejnenia]])</f>
        <v>2021</v>
      </c>
      <c r="AI355" s="3" cm="1">
        <f t="array" ref="AI355">COUNT(_xlfn.UNIQUE(_xlfn._xlws.FILTER(SrcDB[ID],SrcDB[Objednavatel_ICO]=$H355)))</f>
        <v>14</v>
      </c>
      <c r="AJ355" s="3" cm="1">
        <f t="array" ref="AJ355">COUNT(_xlfn.UNIQUE(_xlfn._xlws.FILTER(SrcDB[ID],SrcDB[Dodavatel_ICO]=$K355)))</f>
        <v>1</v>
      </c>
      <c r="AK355" s="3">
        <f t="shared" si="360"/>
        <v>1</v>
      </c>
      <c r="AL355" s="3">
        <f t="shared" si="361"/>
        <v>1</v>
      </c>
      <c r="AM355" s="17" t="str">
        <f>IF(SrcDB[[#This Row],[Pocet zmluv objednavatela]]&gt;3,SrcDB[[#This Row],[Objednavatel]],"Ostatné")</f>
        <v>Sociálna poisťovňa, ústredie</v>
      </c>
      <c r="AN355" s="17" t="str">
        <f>IF(SrcDB[[#This Row],[Pocet zmluv dodavatela]]&gt;3,SrcDB[[#This Row],[Dodavatel]],"Ostatné")</f>
        <v>Ostatné</v>
      </c>
    </row>
    <row r="356" spans="1:40" x14ac:dyDescent="0.3">
      <c r="A356" s="2" t="s">
        <v>559</v>
      </c>
      <c r="B356" s="2">
        <v>5600113</v>
      </c>
      <c r="C356" s="3" t="str">
        <f t="shared" si="352"/>
        <v>Nie</v>
      </c>
      <c r="D356" s="3" t="str">
        <f t="shared" si="353"/>
        <v>Áno</v>
      </c>
      <c r="E356" s="3" t="s">
        <v>48</v>
      </c>
      <c r="F356" s="3" t="s">
        <v>49</v>
      </c>
      <c r="G356" s="2" t="str">
        <f t="shared" si="354"/>
        <v>Stredné zmluvy</v>
      </c>
      <c r="H356" s="5">
        <v>30807484</v>
      </c>
      <c r="I356" s="2" t="s">
        <v>50</v>
      </c>
      <c r="J356" s="2" t="s">
        <v>51</v>
      </c>
      <c r="K356" s="5">
        <v>31367569</v>
      </c>
      <c r="L356" s="2" t="s">
        <v>560</v>
      </c>
      <c r="M356" s="2" t="s">
        <v>561</v>
      </c>
      <c r="N356" s="6">
        <v>44272.645740740743</v>
      </c>
      <c r="O356" s="4">
        <v>5197392.58</v>
      </c>
      <c r="P356" s="2">
        <v>114493</v>
      </c>
      <c r="Q356" s="2" t="s">
        <v>562</v>
      </c>
      <c r="R356" s="2" t="s">
        <v>563</v>
      </c>
      <c r="S356" s="2" t="s">
        <v>183</v>
      </c>
      <c r="T356" s="2" t="s">
        <v>183</v>
      </c>
      <c r="W356" s="4">
        <v>595</v>
      </c>
      <c r="X356" s="4">
        <v>714</v>
      </c>
      <c r="Y356" s="4">
        <f t="shared" ref="Y356" si="393">INDEX(InternalRates,MATCH($S356,InternalRates01,FALSE),2)</f>
        <v>278.98333333333335</v>
      </c>
      <c r="Z356" s="3" t="str">
        <f t="shared" si="357"/>
        <v>Nie</v>
      </c>
      <c r="AA356" s="3" t="str">
        <f t="shared" si="358"/>
        <v>SLA</v>
      </c>
      <c r="AD356" s="3" t="s">
        <v>48</v>
      </c>
      <c r="AE356" s="6">
        <v>44413</v>
      </c>
      <c r="AF356" s="3" t="s">
        <v>59</v>
      </c>
      <c r="AG356" s="3" t="s">
        <v>48</v>
      </c>
      <c r="AH356" s="3">
        <f>YEAR(SrcDB[[#This Row],[Datum_zverejnenia]])</f>
        <v>2021</v>
      </c>
      <c r="AI356" s="3" cm="1">
        <f t="array" ref="AI356">COUNT(_xlfn.UNIQUE(_xlfn._xlws.FILTER(SrcDB[ID],SrcDB[Objednavatel_ICO]=$H356)))</f>
        <v>14</v>
      </c>
      <c r="AJ356" s="3" cm="1">
        <f t="array" ref="AJ356">COUNT(_xlfn.UNIQUE(_xlfn._xlws.FILTER(SrcDB[ID],SrcDB[Dodavatel_ICO]=$K356)))</f>
        <v>1</v>
      </c>
      <c r="AK356" s="3">
        <f t="shared" si="360"/>
        <v>0</v>
      </c>
      <c r="AL356" s="3">
        <f t="shared" si="361"/>
        <v>0</v>
      </c>
      <c r="AM356" s="17" t="str">
        <f>IF(SrcDB[[#This Row],[Pocet zmluv objednavatela]]&gt;3,SrcDB[[#This Row],[Objednavatel]],"Ostatné")</f>
        <v>Sociálna poisťovňa, ústredie</v>
      </c>
      <c r="AN356" s="17" t="str">
        <f>IF(SrcDB[[#This Row],[Pocet zmluv dodavatela]]&gt;3,SrcDB[[#This Row],[Dodavatel]],"Ostatné")</f>
        <v>Ostatné</v>
      </c>
    </row>
    <row r="357" spans="1:40" x14ac:dyDescent="0.3">
      <c r="A357" s="2" t="s">
        <v>564</v>
      </c>
      <c r="B357" s="2">
        <v>5601020</v>
      </c>
      <c r="C357" s="3" t="str">
        <f t="shared" si="352"/>
        <v>Nejasné</v>
      </c>
      <c r="D357" s="3" t="str">
        <f t="shared" si="353"/>
        <v>Nejasné</v>
      </c>
      <c r="E357" s="3" t="s">
        <v>48</v>
      </c>
      <c r="F357" s="3" t="s">
        <v>49</v>
      </c>
      <c r="G357" s="2" t="str">
        <f t="shared" si="354"/>
        <v>Malé zmluvy</v>
      </c>
      <c r="H357" s="5">
        <v>31364501</v>
      </c>
      <c r="I357" s="2" t="s">
        <v>220</v>
      </c>
      <c r="J357" s="2" t="s">
        <v>221</v>
      </c>
      <c r="K357" s="5">
        <v>43953794</v>
      </c>
      <c r="L357" s="2" t="s">
        <v>499</v>
      </c>
      <c r="M357" s="2" t="s">
        <v>500</v>
      </c>
      <c r="N357" s="6">
        <v>44273.354432870372</v>
      </c>
      <c r="O357" s="4">
        <v>325200</v>
      </c>
      <c r="P357" s="2">
        <v>114573</v>
      </c>
      <c r="Q357" s="2" t="s">
        <v>565</v>
      </c>
      <c r="R357" s="2" t="s">
        <v>566</v>
      </c>
      <c r="S357" s="2" t="s">
        <v>69</v>
      </c>
      <c r="T357" s="2" t="s">
        <v>70</v>
      </c>
      <c r="W357" s="4">
        <v>616</v>
      </c>
      <c r="X357" s="4">
        <v>739.19999999999993</v>
      </c>
      <c r="Y357" s="4">
        <f t="shared" ref="Y357" si="394">INDEX(InternalRates,MATCH($S357,InternalRates01,FALSE),2)</f>
        <v>278.98333333333335</v>
      </c>
      <c r="Z357" s="3" t="str">
        <f t="shared" si="357"/>
        <v>Nie</v>
      </c>
      <c r="AA357" s="3" t="str">
        <f t="shared" si="358"/>
        <v>SLA</v>
      </c>
      <c r="AD357" s="3" t="s">
        <v>48</v>
      </c>
      <c r="AE357" s="6">
        <v>44420</v>
      </c>
      <c r="AF357" s="3" t="s">
        <v>59</v>
      </c>
      <c r="AG357" s="3" t="s">
        <v>60</v>
      </c>
      <c r="AH357" s="3">
        <f>YEAR(SrcDB[[#This Row],[Datum_zverejnenia]])</f>
        <v>2021</v>
      </c>
      <c r="AI357" s="3" cm="1">
        <f t="array" ref="AI357">COUNT(_xlfn.UNIQUE(_xlfn._xlws.FILTER(SrcDB[ID],SrcDB[Objednavatel_ICO]=$H357)))</f>
        <v>24</v>
      </c>
      <c r="AJ357" s="3" cm="1">
        <f t="array" ref="AJ357">COUNT(_xlfn.UNIQUE(_xlfn._xlws.FILTER(SrcDB[ID],SrcDB[Dodavatel_ICO]=$K357)))</f>
        <v>3</v>
      </c>
      <c r="AK357" s="3">
        <f t="shared" si="360"/>
        <v>1</v>
      </c>
      <c r="AL357" s="3">
        <f t="shared" si="361"/>
        <v>1</v>
      </c>
      <c r="AM357" s="17" t="str">
        <f>IF(SrcDB[[#This Row],[Pocet zmluv objednavatela]]&gt;3,SrcDB[[#This Row],[Objednavatel]],"Ostatné")</f>
        <v>Železnice Slovenskej republiky</v>
      </c>
      <c r="AN357" s="17" t="str">
        <f>IF(SrcDB[[#This Row],[Pocet zmluv dodavatela]]&gt;3,SrcDB[[#This Row],[Dodavatel]],"Ostatné")</f>
        <v>Ostatné</v>
      </c>
    </row>
    <row r="358" spans="1:40" x14ac:dyDescent="0.3">
      <c r="A358" s="2" t="s">
        <v>564</v>
      </c>
      <c r="B358" s="2">
        <v>5601020</v>
      </c>
      <c r="C358" s="3" t="str">
        <f t="shared" si="352"/>
        <v>Nejasné</v>
      </c>
      <c r="D358" s="3" t="str">
        <f t="shared" si="353"/>
        <v>Nejasné</v>
      </c>
      <c r="E358" s="3" t="s">
        <v>48</v>
      </c>
      <c r="F358" s="3" t="s">
        <v>49</v>
      </c>
      <c r="G358" s="2" t="str">
        <f t="shared" si="354"/>
        <v>Malé zmluvy</v>
      </c>
      <c r="H358" s="5">
        <v>31364501</v>
      </c>
      <c r="I358" s="2" t="s">
        <v>220</v>
      </c>
      <c r="J358" s="2" t="s">
        <v>221</v>
      </c>
      <c r="K358" s="5">
        <v>43953794</v>
      </c>
      <c r="L358" s="2" t="s">
        <v>499</v>
      </c>
      <c r="M358" s="2" t="s">
        <v>500</v>
      </c>
      <c r="N358" s="6">
        <v>44273.354432870372</v>
      </c>
      <c r="O358" s="4">
        <v>325200</v>
      </c>
      <c r="P358" s="2">
        <v>114573</v>
      </c>
      <c r="Q358" s="2" t="s">
        <v>565</v>
      </c>
      <c r="R358" s="2" t="s">
        <v>566</v>
      </c>
      <c r="S358" s="2" t="s">
        <v>123</v>
      </c>
      <c r="T358" s="2" t="s">
        <v>511</v>
      </c>
      <c r="V358" s="2" t="s">
        <v>58</v>
      </c>
      <c r="W358" s="4">
        <v>360</v>
      </c>
      <c r="X358" s="4">
        <v>432</v>
      </c>
      <c r="Y358" s="4">
        <f t="shared" ref="Y358" si="395">INDEX(InternalRates,MATCH($S358,InternalRates01,FALSE),2)</f>
        <v>231.85833333333335</v>
      </c>
      <c r="Z358" s="3" t="str">
        <f t="shared" si="357"/>
        <v>Nie</v>
      </c>
      <c r="AA358" s="3" t="str">
        <f t="shared" si="358"/>
        <v>SLA</v>
      </c>
      <c r="AD358" s="3" t="s">
        <v>48</v>
      </c>
      <c r="AE358" s="6">
        <v>44420</v>
      </c>
      <c r="AF358" s="3" t="s">
        <v>59</v>
      </c>
      <c r="AG358" s="3" t="s">
        <v>60</v>
      </c>
      <c r="AH358" s="3">
        <f>YEAR(SrcDB[[#This Row],[Datum_zverejnenia]])</f>
        <v>2021</v>
      </c>
      <c r="AI358" s="3" cm="1">
        <f t="array" ref="AI358">COUNT(_xlfn.UNIQUE(_xlfn._xlws.FILTER(SrcDB[ID],SrcDB[Objednavatel_ICO]=$H358)))</f>
        <v>24</v>
      </c>
      <c r="AJ358" s="3" cm="1">
        <f t="array" ref="AJ358">COUNT(_xlfn.UNIQUE(_xlfn._xlws.FILTER(SrcDB[ID],SrcDB[Dodavatel_ICO]=$K358)))</f>
        <v>3</v>
      </c>
      <c r="AK358" s="3">
        <f t="shared" si="360"/>
        <v>0</v>
      </c>
      <c r="AL358" s="3">
        <f t="shared" si="361"/>
        <v>0</v>
      </c>
      <c r="AM358" s="17" t="str">
        <f>IF(SrcDB[[#This Row],[Pocet zmluv objednavatela]]&gt;3,SrcDB[[#This Row],[Objednavatel]],"Ostatné")</f>
        <v>Železnice Slovenskej republiky</v>
      </c>
      <c r="AN358" s="17" t="str">
        <f>IF(SrcDB[[#This Row],[Pocet zmluv dodavatela]]&gt;3,SrcDB[[#This Row],[Dodavatel]],"Ostatné")</f>
        <v>Ostatné</v>
      </c>
    </row>
    <row r="359" spans="1:40" x14ac:dyDescent="0.3">
      <c r="A359" s="2" t="s">
        <v>567</v>
      </c>
      <c r="B359" s="2">
        <v>5653732</v>
      </c>
      <c r="C359" s="3" t="str">
        <f t="shared" si="352"/>
        <v>Nejasné</v>
      </c>
      <c r="D359" s="3" t="str">
        <f t="shared" si="353"/>
        <v>Nejasné</v>
      </c>
      <c r="E359" s="3" t="s">
        <v>48</v>
      </c>
      <c r="F359" s="3" t="s">
        <v>49</v>
      </c>
      <c r="G359" s="2" t="str">
        <f t="shared" si="354"/>
        <v>Malé zmluvy</v>
      </c>
      <c r="H359" s="5">
        <v>42499500</v>
      </c>
      <c r="I359" s="2" t="s">
        <v>464</v>
      </c>
      <c r="J359" s="2" t="s">
        <v>465</v>
      </c>
      <c r="K359" s="5">
        <v>35760419</v>
      </c>
      <c r="L359" s="2" t="s">
        <v>85</v>
      </c>
      <c r="M359" s="2" t="s">
        <v>136</v>
      </c>
      <c r="N359" s="6">
        <v>44287</v>
      </c>
      <c r="O359" s="4">
        <v>505760.26</v>
      </c>
      <c r="P359" s="2">
        <v>114725</v>
      </c>
      <c r="Q359" s="2" t="s">
        <v>568</v>
      </c>
      <c r="R359" s="2" t="s">
        <v>569</v>
      </c>
      <c r="S359" s="2" t="s">
        <v>56</v>
      </c>
      <c r="T359" s="2" t="s">
        <v>470</v>
      </c>
      <c r="U359" s="2" t="s">
        <v>460</v>
      </c>
      <c r="W359" s="4">
        <v>642.48</v>
      </c>
      <c r="X359" s="4">
        <v>770.976</v>
      </c>
      <c r="Y359" s="4">
        <f t="shared" ref="Y359" si="396">INDEX(InternalRates,MATCH($S359,InternalRates01,FALSE),2)</f>
        <v>278.98333333333335</v>
      </c>
      <c r="Z359" s="3" t="str">
        <f t="shared" si="357"/>
        <v>Nie</v>
      </c>
      <c r="AA359" s="3" t="str">
        <f t="shared" si="358"/>
        <v>SLA</v>
      </c>
      <c r="AB359" s="4">
        <v>172.25</v>
      </c>
      <c r="AD359" s="3" t="s">
        <v>48</v>
      </c>
      <c r="AE359" s="6">
        <v>44420</v>
      </c>
      <c r="AF359" s="3" t="s">
        <v>59</v>
      </c>
      <c r="AG359" s="3" t="s">
        <v>60</v>
      </c>
      <c r="AH359" s="3">
        <f>YEAR(SrcDB[[#This Row],[Datum_zverejnenia]])</f>
        <v>2021</v>
      </c>
      <c r="AI359" s="3" cm="1">
        <f t="array" ref="AI359">COUNT(_xlfn.UNIQUE(_xlfn._xlws.FILTER(SrcDB[ID],SrcDB[Objednavatel_ICO]=$H359)))</f>
        <v>25</v>
      </c>
      <c r="AJ359" s="3" cm="1">
        <f t="array" ref="AJ359">COUNT(_xlfn.UNIQUE(_xlfn._xlws.FILTER(SrcDB[ID],SrcDB[Dodavatel_ICO]=$K359)))</f>
        <v>34</v>
      </c>
      <c r="AK359" s="3">
        <f t="shared" si="360"/>
        <v>1</v>
      </c>
      <c r="AL359" s="3">
        <f t="shared" si="361"/>
        <v>1</v>
      </c>
      <c r="AM359" s="17" t="str">
        <f>IF(SrcDB[[#This Row],[Pocet zmluv objednavatela]]&gt;3,SrcDB[[#This Row],[Objednavatel]],"Ostatné")</f>
        <v>Finančné riaditeľstvo SR</v>
      </c>
      <c r="AN359" s="17" t="str">
        <f>IF(SrcDB[[#This Row],[Pocet zmluv dodavatela]]&gt;3,SrcDB[[#This Row],[Dodavatel]],"Ostatné")</f>
        <v>Asseco Central Europe, a.s.</v>
      </c>
    </row>
    <row r="360" spans="1:40" x14ac:dyDescent="0.3">
      <c r="A360" s="2" t="s">
        <v>567</v>
      </c>
      <c r="B360" s="2">
        <v>5653732</v>
      </c>
      <c r="C360" s="3" t="str">
        <f t="shared" si="352"/>
        <v>Nejasné</v>
      </c>
      <c r="D360" s="3" t="str">
        <f t="shared" si="353"/>
        <v>Nejasné</v>
      </c>
      <c r="E360" s="3" t="s">
        <v>48</v>
      </c>
      <c r="F360" s="3" t="s">
        <v>49</v>
      </c>
      <c r="G360" s="2" t="str">
        <f t="shared" si="354"/>
        <v>Malé zmluvy</v>
      </c>
      <c r="H360" s="5">
        <v>42499500</v>
      </c>
      <c r="I360" s="2" t="s">
        <v>464</v>
      </c>
      <c r="J360" s="2" t="s">
        <v>465</v>
      </c>
      <c r="K360" s="5">
        <v>35760419</v>
      </c>
      <c r="L360" s="2" t="s">
        <v>85</v>
      </c>
      <c r="M360" s="2" t="s">
        <v>136</v>
      </c>
      <c r="N360" s="6">
        <v>44287</v>
      </c>
      <c r="O360" s="4">
        <v>505760.26</v>
      </c>
      <c r="P360" s="2">
        <v>114725</v>
      </c>
      <c r="Q360" s="2" t="s">
        <v>568</v>
      </c>
      <c r="R360" s="2" t="s">
        <v>569</v>
      </c>
      <c r="S360" s="2" t="s">
        <v>77</v>
      </c>
      <c r="T360" s="2" t="s">
        <v>471</v>
      </c>
      <c r="W360" s="4">
        <v>642.48</v>
      </c>
      <c r="X360" s="4">
        <v>770.976</v>
      </c>
      <c r="Y360" s="4">
        <f t="shared" ref="Y360" si="397">INDEX(InternalRates,MATCH($S360,InternalRates01,FALSE),2)</f>
        <v>278.98333333333335</v>
      </c>
      <c r="Z360" s="3" t="str">
        <f t="shared" si="357"/>
        <v>Nie</v>
      </c>
      <c r="AA360" s="3" t="str">
        <f t="shared" si="358"/>
        <v>SLA</v>
      </c>
      <c r="AB360" s="4">
        <v>217.375</v>
      </c>
      <c r="AD360" s="3" t="s">
        <v>48</v>
      </c>
      <c r="AE360" s="6">
        <v>44420</v>
      </c>
      <c r="AF360" s="3" t="s">
        <v>59</v>
      </c>
      <c r="AG360" s="3" t="s">
        <v>60</v>
      </c>
      <c r="AH360" s="3">
        <f>YEAR(SrcDB[[#This Row],[Datum_zverejnenia]])</f>
        <v>2021</v>
      </c>
      <c r="AI360" s="3" cm="1">
        <f t="array" ref="AI360">COUNT(_xlfn.UNIQUE(_xlfn._xlws.FILTER(SrcDB[ID],SrcDB[Objednavatel_ICO]=$H360)))</f>
        <v>25</v>
      </c>
      <c r="AJ360" s="3" cm="1">
        <f t="array" ref="AJ360">COUNT(_xlfn.UNIQUE(_xlfn._xlws.FILTER(SrcDB[ID],SrcDB[Dodavatel_ICO]=$K360)))</f>
        <v>34</v>
      </c>
      <c r="AK360" s="3">
        <f t="shared" si="360"/>
        <v>0</v>
      </c>
      <c r="AL360" s="3">
        <f t="shared" si="361"/>
        <v>0</v>
      </c>
      <c r="AM360" s="17" t="str">
        <f>IF(SrcDB[[#This Row],[Pocet zmluv objednavatela]]&gt;3,SrcDB[[#This Row],[Objednavatel]],"Ostatné")</f>
        <v>Finančné riaditeľstvo SR</v>
      </c>
      <c r="AN360" s="17" t="str">
        <f>IF(SrcDB[[#This Row],[Pocet zmluv dodavatela]]&gt;3,SrcDB[[#This Row],[Dodavatel]],"Ostatné")</f>
        <v>Asseco Central Europe, a.s.</v>
      </c>
    </row>
    <row r="361" spans="1:40" x14ac:dyDescent="0.3">
      <c r="A361" s="2" t="s">
        <v>567</v>
      </c>
      <c r="B361" s="2">
        <v>5653732</v>
      </c>
      <c r="C361" s="3" t="str">
        <f t="shared" si="352"/>
        <v>Nejasné</v>
      </c>
      <c r="D361" s="3" t="str">
        <f t="shared" si="353"/>
        <v>Nejasné</v>
      </c>
      <c r="E361" s="3" t="s">
        <v>48</v>
      </c>
      <c r="F361" s="3" t="s">
        <v>49</v>
      </c>
      <c r="G361" s="2" t="str">
        <f t="shared" si="354"/>
        <v>Malé zmluvy</v>
      </c>
      <c r="H361" s="5">
        <v>42499500</v>
      </c>
      <c r="I361" s="2" t="s">
        <v>464</v>
      </c>
      <c r="J361" s="2" t="s">
        <v>465</v>
      </c>
      <c r="K361" s="5">
        <v>35760419</v>
      </c>
      <c r="L361" s="2" t="s">
        <v>85</v>
      </c>
      <c r="M361" s="2" t="s">
        <v>136</v>
      </c>
      <c r="N361" s="6">
        <v>44287</v>
      </c>
      <c r="O361" s="4">
        <v>505760.26</v>
      </c>
      <c r="P361" s="2">
        <v>114725</v>
      </c>
      <c r="Q361" s="2" t="s">
        <v>568</v>
      </c>
      <c r="R361" s="2" t="s">
        <v>569</v>
      </c>
      <c r="S361" s="2" t="s">
        <v>79</v>
      </c>
      <c r="T361" s="2" t="s">
        <v>472</v>
      </c>
      <c r="W361" s="4">
        <v>642.48</v>
      </c>
      <c r="X361" s="4">
        <v>770.976</v>
      </c>
      <c r="Y361" s="4">
        <f t="shared" ref="Y361" si="398">INDEX(InternalRates,MATCH($S361,InternalRates01,FALSE),2)</f>
        <v>278.98333333333335</v>
      </c>
      <c r="Z361" s="3" t="str">
        <f t="shared" si="357"/>
        <v>Nie</v>
      </c>
      <c r="AA361" s="3" t="str">
        <f t="shared" si="358"/>
        <v>SLA</v>
      </c>
      <c r="AB361" s="4">
        <v>63.25</v>
      </c>
      <c r="AD361" s="3" t="s">
        <v>48</v>
      </c>
      <c r="AE361" s="6">
        <v>44420</v>
      </c>
      <c r="AF361" s="3" t="s">
        <v>59</v>
      </c>
      <c r="AG361" s="3" t="s">
        <v>60</v>
      </c>
      <c r="AH361" s="3">
        <f>YEAR(SrcDB[[#This Row],[Datum_zverejnenia]])</f>
        <v>2021</v>
      </c>
      <c r="AI361" s="3" cm="1">
        <f t="array" ref="AI361">COUNT(_xlfn.UNIQUE(_xlfn._xlws.FILTER(SrcDB[ID],SrcDB[Objednavatel_ICO]=$H361)))</f>
        <v>25</v>
      </c>
      <c r="AJ361" s="3" cm="1">
        <f t="array" ref="AJ361">COUNT(_xlfn.UNIQUE(_xlfn._xlws.FILTER(SrcDB[ID],SrcDB[Dodavatel_ICO]=$K361)))</f>
        <v>34</v>
      </c>
      <c r="AK361" s="3">
        <f t="shared" si="360"/>
        <v>0</v>
      </c>
      <c r="AL361" s="3">
        <f t="shared" si="361"/>
        <v>0</v>
      </c>
      <c r="AM361" s="17" t="str">
        <f>IF(SrcDB[[#This Row],[Pocet zmluv objednavatela]]&gt;3,SrcDB[[#This Row],[Objednavatel]],"Ostatné")</f>
        <v>Finančné riaditeľstvo SR</v>
      </c>
      <c r="AN361" s="17" t="str">
        <f>IF(SrcDB[[#This Row],[Pocet zmluv dodavatela]]&gt;3,SrcDB[[#This Row],[Dodavatel]],"Ostatné")</f>
        <v>Asseco Central Europe, a.s.</v>
      </c>
    </row>
    <row r="362" spans="1:40" x14ac:dyDescent="0.3">
      <c r="A362" s="2" t="s">
        <v>567</v>
      </c>
      <c r="B362" s="2">
        <v>5653732</v>
      </c>
      <c r="C362" s="3" t="str">
        <f t="shared" si="352"/>
        <v>Nejasné</v>
      </c>
      <c r="D362" s="3" t="str">
        <f t="shared" si="353"/>
        <v>Nejasné</v>
      </c>
      <c r="E362" s="3" t="s">
        <v>48</v>
      </c>
      <c r="F362" s="3" t="s">
        <v>49</v>
      </c>
      <c r="G362" s="2" t="str">
        <f t="shared" si="354"/>
        <v>Malé zmluvy</v>
      </c>
      <c r="H362" s="5">
        <v>42499500</v>
      </c>
      <c r="I362" s="2" t="s">
        <v>464</v>
      </c>
      <c r="J362" s="2" t="s">
        <v>465</v>
      </c>
      <c r="K362" s="5">
        <v>35760419</v>
      </c>
      <c r="L362" s="2" t="s">
        <v>85</v>
      </c>
      <c r="M362" s="2" t="s">
        <v>136</v>
      </c>
      <c r="N362" s="6">
        <v>44287</v>
      </c>
      <c r="O362" s="4">
        <v>505760.26</v>
      </c>
      <c r="P362" s="2">
        <v>114725</v>
      </c>
      <c r="Q362" s="2" t="s">
        <v>568</v>
      </c>
      <c r="R362" s="2" t="s">
        <v>569</v>
      </c>
      <c r="S362" s="2" t="s">
        <v>160</v>
      </c>
      <c r="T362" s="2" t="s">
        <v>473</v>
      </c>
      <c r="W362" s="4">
        <v>642.48</v>
      </c>
      <c r="X362" s="4">
        <v>770.976</v>
      </c>
      <c r="Y362" s="4">
        <f t="shared" ref="Y362" si="399">INDEX(InternalRates,MATCH($S362,InternalRates01,FALSE),2)</f>
        <v>231.85833333333335</v>
      </c>
      <c r="Z362" s="3" t="str">
        <f t="shared" si="357"/>
        <v>Nie</v>
      </c>
      <c r="AA362" s="3" t="str">
        <f t="shared" si="358"/>
        <v>SLA</v>
      </c>
      <c r="AB362" s="4">
        <v>0</v>
      </c>
      <c r="AD362" s="3" t="s">
        <v>48</v>
      </c>
      <c r="AE362" s="6">
        <v>44420</v>
      </c>
      <c r="AF362" s="3" t="s">
        <v>59</v>
      </c>
      <c r="AG362" s="3" t="s">
        <v>60</v>
      </c>
      <c r="AH362" s="3">
        <f>YEAR(SrcDB[[#This Row],[Datum_zverejnenia]])</f>
        <v>2021</v>
      </c>
      <c r="AI362" s="3" cm="1">
        <f t="array" ref="AI362">COUNT(_xlfn.UNIQUE(_xlfn._xlws.FILTER(SrcDB[ID],SrcDB[Objednavatel_ICO]=$H362)))</f>
        <v>25</v>
      </c>
      <c r="AJ362" s="3" cm="1">
        <f t="array" ref="AJ362">COUNT(_xlfn.UNIQUE(_xlfn._xlws.FILTER(SrcDB[ID],SrcDB[Dodavatel_ICO]=$K362)))</f>
        <v>34</v>
      </c>
      <c r="AK362" s="3">
        <f t="shared" si="360"/>
        <v>0</v>
      </c>
      <c r="AL362" s="3">
        <f t="shared" si="361"/>
        <v>0</v>
      </c>
      <c r="AM362" s="17" t="str">
        <f>IF(SrcDB[[#This Row],[Pocet zmluv objednavatela]]&gt;3,SrcDB[[#This Row],[Objednavatel]],"Ostatné")</f>
        <v>Finančné riaditeľstvo SR</v>
      </c>
      <c r="AN362" s="17" t="str">
        <f>IF(SrcDB[[#This Row],[Pocet zmluv dodavatela]]&gt;3,SrcDB[[#This Row],[Dodavatel]],"Ostatné")</f>
        <v>Asseco Central Europe, a.s.</v>
      </c>
    </row>
    <row r="363" spans="1:40" x14ac:dyDescent="0.3">
      <c r="A363" s="2" t="s">
        <v>567</v>
      </c>
      <c r="B363" s="2">
        <v>5653732</v>
      </c>
      <c r="C363" s="3" t="str">
        <f t="shared" si="352"/>
        <v>Nejasné</v>
      </c>
      <c r="D363" s="3" t="str">
        <f t="shared" si="353"/>
        <v>Nejasné</v>
      </c>
      <c r="E363" s="3" t="s">
        <v>48</v>
      </c>
      <c r="F363" s="3" t="s">
        <v>49</v>
      </c>
      <c r="G363" s="2" t="str">
        <f t="shared" si="354"/>
        <v>Malé zmluvy</v>
      </c>
      <c r="H363" s="5">
        <v>42499500</v>
      </c>
      <c r="I363" s="2" t="s">
        <v>464</v>
      </c>
      <c r="J363" s="2" t="s">
        <v>465</v>
      </c>
      <c r="K363" s="5">
        <v>35760419</v>
      </c>
      <c r="L363" s="2" t="s">
        <v>85</v>
      </c>
      <c r="M363" s="2" t="s">
        <v>136</v>
      </c>
      <c r="N363" s="6">
        <v>44287</v>
      </c>
      <c r="O363" s="4">
        <v>505760.26</v>
      </c>
      <c r="P363" s="2">
        <v>114725</v>
      </c>
      <c r="Q363" s="2" t="s">
        <v>568</v>
      </c>
      <c r="R363" s="2" t="s">
        <v>569</v>
      </c>
      <c r="S363" s="2" t="s">
        <v>100</v>
      </c>
      <c r="T363" s="2" t="s">
        <v>474</v>
      </c>
      <c r="W363" s="4">
        <v>642.48</v>
      </c>
      <c r="X363" s="4">
        <v>770.976</v>
      </c>
      <c r="Y363" s="4">
        <f t="shared" ref="Y363" si="400">INDEX(InternalRates,MATCH($S363,InternalRates01,FALSE),2)</f>
        <v>278.98333333333335</v>
      </c>
      <c r="Z363" s="3" t="str">
        <f t="shared" si="357"/>
        <v>Nie</v>
      </c>
      <c r="AA363" s="3" t="str">
        <f t="shared" si="358"/>
        <v>SLA</v>
      </c>
      <c r="AB363" s="4">
        <v>17</v>
      </c>
      <c r="AD363" s="3" t="s">
        <v>48</v>
      </c>
      <c r="AE363" s="6">
        <v>44420</v>
      </c>
      <c r="AF363" s="3" t="s">
        <v>59</v>
      </c>
      <c r="AG363" s="3" t="s">
        <v>60</v>
      </c>
      <c r="AH363" s="3">
        <f>YEAR(SrcDB[[#This Row],[Datum_zverejnenia]])</f>
        <v>2021</v>
      </c>
      <c r="AI363" s="3" cm="1">
        <f t="array" ref="AI363">COUNT(_xlfn.UNIQUE(_xlfn._xlws.FILTER(SrcDB[ID],SrcDB[Objednavatel_ICO]=$H363)))</f>
        <v>25</v>
      </c>
      <c r="AJ363" s="3" cm="1">
        <f t="array" ref="AJ363">COUNT(_xlfn.UNIQUE(_xlfn._xlws.FILTER(SrcDB[ID],SrcDB[Dodavatel_ICO]=$K363)))</f>
        <v>34</v>
      </c>
      <c r="AK363" s="3">
        <f t="shared" si="360"/>
        <v>0</v>
      </c>
      <c r="AL363" s="3">
        <f t="shared" si="361"/>
        <v>0</v>
      </c>
      <c r="AM363" s="17" t="str">
        <f>IF(SrcDB[[#This Row],[Pocet zmluv objednavatela]]&gt;3,SrcDB[[#This Row],[Objednavatel]],"Ostatné")</f>
        <v>Finančné riaditeľstvo SR</v>
      </c>
      <c r="AN363" s="17" t="str">
        <f>IF(SrcDB[[#This Row],[Pocet zmluv dodavatela]]&gt;3,SrcDB[[#This Row],[Dodavatel]],"Ostatné")</f>
        <v>Asseco Central Europe, a.s.</v>
      </c>
    </row>
    <row r="364" spans="1:40" x14ac:dyDescent="0.3">
      <c r="A364" s="2" t="s">
        <v>567</v>
      </c>
      <c r="B364" s="2">
        <v>5653732</v>
      </c>
      <c r="C364" s="3" t="str">
        <f t="shared" si="352"/>
        <v>Nejasné</v>
      </c>
      <c r="D364" s="3" t="str">
        <f t="shared" si="353"/>
        <v>Nejasné</v>
      </c>
      <c r="E364" s="3" t="s">
        <v>48</v>
      </c>
      <c r="F364" s="3" t="s">
        <v>49</v>
      </c>
      <c r="G364" s="2" t="str">
        <f t="shared" si="354"/>
        <v>Malé zmluvy</v>
      </c>
      <c r="H364" s="5">
        <v>42499500</v>
      </c>
      <c r="I364" s="2" t="s">
        <v>464</v>
      </c>
      <c r="J364" s="2" t="s">
        <v>465</v>
      </c>
      <c r="K364" s="5">
        <v>35760419</v>
      </c>
      <c r="L364" s="2" t="s">
        <v>85</v>
      </c>
      <c r="M364" s="2" t="s">
        <v>136</v>
      </c>
      <c r="N364" s="6">
        <v>44287</v>
      </c>
      <c r="O364" s="4">
        <v>505760.26</v>
      </c>
      <c r="P364" s="2">
        <v>114725</v>
      </c>
      <c r="Q364" s="2" t="s">
        <v>568</v>
      </c>
      <c r="R364" s="2" t="s">
        <v>569</v>
      </c>
      <c r="S364" s="2" t="s">
        <v>160</v>
      </c>
      <c r="T364" s="2" t="s">
        <v>475</v>
      </c>
      <c r="W364" s="4">
        <v>642.48</v>
      </c>
      <c r="X364" s="4">
        <v>770.976</v>
      </c>
      <c r="Y364" s="4">
        <f t="shared" ref="Y364" si="401">INDEX(InternalRates,MATCH($S364,InternalRates01,FALSE),2)</f>
        <v>231.85833333333335</v>
      </c>
      <c r="Z364" s="3" t="str">
        <f t="shared" si="357"/>
        <v>Nie</v>
      </c>
      <c r="AA364" s="3" t="str">
        <f t="shared" si="358"/>
        <v>SLA</v>
      </c>
      <c r="AB364" s="4">
        <v>0</v>
      </c>
      <c r="AD364" s="3" t="s">
        <v>48</v>
      </c>
      <c r="AE364" s="6">
        <v>44420</v>
      </c>
      <c r="AF364" s="3" t="s">
        <v>59</v>
      </c>
      <c r="AG364" s="3" t="s">
        <v>60</v>
      </c>
      <c r="AH364" s="3">
        <f>YEAR(SrcDB[[#This Row],[Datum_zverejnenia]])</f>
        <v>2021</v>
      </c>
      <c r="AI364" s="3" cm="1">
        <f t="array" ref="AI364">COUNT(_xlfn.UNIQUE(_xlfn._xlws.FILTER(SrcDB[ID],SrcDB[Objednavatel_ICO]=$H364)))</f>
        <v>25</v>
      </c>
      <c r="AJ364" s="3" cm="1">
        <f t="array" ref="AJ364">COUNT(_xlfn.UNIQUE(_xlfn._xlws.FILTER(SrcDB[ID],SrcDB[Dodavatel_ICO]=$K364)))</f>
        <v>34</v>
      </c>
      <c r="AK364" s="3">
        <f t="shared" si="360"/>
        <v>0</v>
      </c>
      <c r="AL364" s="3">
        <f t="shared" si="361"/>
        <v>0</v>
      </c>
      <c r="AM364" s="17" t="str">
        <f>IF(SrcDB[[#This Row],[Pocet zmluv objednavatela]]&gt;3,SrcDB[[#This Row],[Objednavatel]],"Ostatné")</f>
        <v>Finančné riaditeľstvo SR</v>
      </c>
      <c r="AN364" s="17" t="str">
        <f>IF(SrcDB[[#This Row],[Pocet zmluv dodavatela]]&gt;3,SrcDB[[#This Row],[Dodavatel]],"Ostatné")</f>
        <v>Asseco Central Europe, a.s.</v>
      </c>
    </row>
    <row r="365" spans="1:40" x14ac:dyDescent="0.3">
      <c r="A365" s="2" t="s">
        <v>567</v>
      </c>
      <c r="B365" s="2">
        <v>5653732</v>
      </c>
      <c r="C365" s="3" t="str">
        <f t="shared" si="352"/>
        <v>Nejasné</v>
      </c>
      <c r="D365" s="3" t="str">
        <f t="shared" si="353"/>
        <v>Nejasné</v>
      </c>
      <c r="E365" s="3" t="s">
        <v>48</v>
      </c>
      <c r="F365" s="3" t="s">
        <v>49</v>
      </c>
      <c r="G365" s="2" t="str">
        <f t="shared" si="354"/>
        <v>Malé zmluvy</v>
      </c>
      <c r="H365" s="5">
        <v>42499500</v>
      </c>
      <c r="I365" s="2" t="s">
        <v>464</v>
      </c>
      <c r="J365" s="2" t="s">
        <v>465</v>
      </c>
      <c r="K365" s="5">
        <v>35760419</v>
      </c>
      <c r="L365" s="2" t="s">
        <v>85</v>
      </c>
      <c r="M365" s="2" t="s">
        <v>136</v>
      </c>
      <c r="N365" s="6">
        <v>44287</v>
      </c>
      <c r="O365" s="4">
        <v>505760.26</v>
      </c>
      <c r="P365" s="2">
        <v>114725</v>
      </c>
      <c r="Q365" s="2" t="s">
        <v>568</v>
      </c>
      <c r="R365" s="2" t="s">
        <v>569</v>
      </c>
      <c r="S365" s="2" t="s">
        <v>160</v>
      </c>
      <c r="T365" s="2" t="s">
        <v>476</v>
      </c>
      <c r="W365" s="4">
        <v>642.48</v>
      </c>
      <c r="X365" s="4">
        <v>770.976</v>
      </c>
      <c r="Y365" s="4">
        <f t="shared" ref="Y365" si="402">INDEX(InternalRates,MATCH($S365,InternalRates01,FALSE),2)</f>
        <v>231.85833333333335</v>
      </c>
      <c r="Z365" s="3" t="str">
        <f t="shared" si="357"/>
        <v>Nie</v>
      </c>
      <c r="AA365" s="3" t="str">
        <f t="shared" si="358"/>
        <v>SLA</v>
      </c>
      <c r="AB365" s="4">
        <v>0</v>
      </c>
      <c r="AD365" s="3" t="s">
        <v>48</v>
      </c>
      <c r="AE365" s="6">
        <v>44420</v>
      </c>
      <c r="AF365" s="3" t="s">
        <v>59</v>
      </c>
      <c r="AG365" s="3" t="s">
        <v>60</v>
      </c>
      <c r="AH365" s="3">
        <f>YEAR(SrcDB[[#This Row],[Datum_zverejnenia]])</f>
        <v>2021</v>
      </c>
      <c r="AI365" s="3" cm="1">
        <f t="array" ref="AI365">COUNT(_xlfn.UNIQUE(_xlfn._xlws.FILTER(SrcDB[ID],SrcDB[Objednavatel_ICO]=$H365)))</f>
        <v>25</v>
      </c>
      <c r="AJ365" s="3" cm="1">
        <f t="array" ref="AJ365">COUNT(_xlfn.UNIQUE(_xlfn._xlws.FILTER(SrcDB[ID],SrcDB[Dodavatel_ICO]=$K365)))</f>
        <v>34</v>
      </c>
      <c r="AK365" s="3">
        <f t="shared" si="360"/>
        <v>0</v>
      </c>
      <c r="AL365" s="3">
        <f t="shared" si="361"/>
        <v>0</v>
      </c>
      <c r="AM365" s="17" t="str">
        <f>IF(SrcDB[[#This Row],[Pocet zmluv objednavatela]]&gt;3,SrcDB[[#This Row],[Objednavatel]],"Ostatné")</f>
        <v>Finančné riaditeľstvo SR</v>
      </c>
      <c r="AN365" s="17" t="str">
        <f>IF(SrcDB[[#This Row],[Pocet zmluv dodavatela]]&gt;3,SrcDB[[#This Row],[Dodavatel]],"Ostatné")</f>
        <v>Asseco Central Europe, a.s.</v>
      </c>
    </row>
    <row r="366" spans="1:40" x14ac:dyDescent="0.3">
      <c r="A366" s="2" t="s">
        <v>567</v>
      </c>
      <c r="B366" s="2">
        <v>5653732</v>
      </c>
      <c r="C366" s="3" t="str">
        <f t="shared" si="352"/>
        <v>Nejasné</v>
      </c>
      <c r="D366" s="3" t="str">
        <f t="shared" si="353"/>
        <v>Nejasné</v>
      </c>
      <c r="E366" s="3" t="s">
        <v>48</v>
      </c>
      <c r="F366" s="3" t="s">
        <v>49</v>
      </c>
      <c r="G366" s="2" t="str">
        <f t="shared" si="354"/>
        <v>Malé zmluvy</v>
      </c>
      <c r="H366" s="5">
        <v>42499500</v>
      </c>
      <c r="I366" s="2" t="s">
        <v>464</v>
      </c>
      <c r="J366" s="2" t="s">
        <v>465</v>
      </c>
      <c r="K366" s="5">
        <v>35760419</v>
      </c>
      <c r="L366" s="2" t="s">
        <v>85</v>
      </c>
      <c r="M366" s="2" t="s">
        <v>136</v>
      </c>
      <c r="N366" s="6">
        <v>44287</v>
      </c>
      <c r="O366" s="4">
        <v>505760.26</v>
      </c>
      <c r="P366" s="2">
        <v>114725</v>
      </c>
      <c r="Q366" s="2" t="s">
        <v>568</v>
      </c>
      <c r="R366" s="2" t="s">
        <v>569</v>
      </c>
      <c r="S366" s="2" t="s">
        <v>160</v>
      </c>
      <c r="T366" s="2" t="s">
        <v>477</v>
      </c>
      <c r="W366" s="4">
        <v>642.48</v>
      </c>
      <c r="X366" s="4">
        <v>770.976</v>
      </c>
      <c r="Y366" s="4">
        <f t="shared" ref="Y366" si="403">INDEX(InternalRates,MATCH($S366,InternalRates01,FALSE),2)</f>
        <v>231.85833333333335</v>
      </c>
      <c r="Z366" s="3" t="str">
        <f t="shared" si="357"/>
        <v>Nie</v>
      </c>
      <c r="AA366" s="3" t="str">
        <f t="shared" si="358"/>
        <v>SLA</v>
      </c>
      <c r="AB366" s="4">
        <v>43.25</v>
      </c>
      <c r="AD366" s="3" t="s">
        <v>48</v>
      </c>
      <c r="AE366" s="6">
        <v>44420</v>
      </c>
      <c r="AF366" s="3" t="s">
        <v>59</v>
      </c>
      <c r="AG366" s="3" t="s">
        <v>60</v>
      </c>
      <c r="AH366" s="3">
        <f>YEAR(SrcDB[[#This Row],[Datum_zverejnenia]])</f>
        <v>2021</v>
      </c>
      <c r="AI366" s="3" cm="1">
        <f t="array" ref="AI366">COUNT(_xlfn.UNIQUE(_xlfn._xlws.FILTER(SrcDB[ID],SrcDB[Objednavatel_ICO]=$H366)))</f>
        <v>25</v>
      </c>
      <c r="AJ366" s="3" cm="1">
        <f t="array" ref="AJ366">COUNT(_xlfn.UNIQUE(_xlfn._xlws.FILTER(SrcDB[ID],SrcDB[Dodavatel_ICO]=$K366)))</f>
        <v>34</v>
      </c>
      <c r="AK366" s="3">
        <f t="shared" si="360"/>
        <v>0</v>
      </c>
      <c r="AL366" s="3">
        <f t="shared" si="361"/>
        <v>0</v>
      </c>
      <c r="AM366" s="17" t="str">
        <f>IF(SrcDB[[#This Row],[Pocet zmluv objednavatela]]&gt;3,SrcDB[[#This Row],[Objednavatel]],"Ostatné")</f>
        <v>Finančné riaditeľstvo SR</v>
      </c>
      <c r="AN366" s="17" t="str">
        <f>IF(SrcDB[[#This Row],[Pocet zmluv dodavatela]]&gt;3,SrcDB[[#This Row],[Dodavatel]],"Ostatné")</f>
        <v>Asseco Central Europe, a.s.</v>
      </c>
    </row>
    <row r="367" spans="1:40" x14ac:dyDescent="0.3">
      <c r="A367" s="2" t="s">
        <v>567</v>
      </c>
      <c r="B367" s="2">
        <v>5653732</v>
      </c>
      <c r="C367" s="3" t="str">
        <f t="shared" si="352"/>
        <v>Nejasné</v>
      </c>
      <c r="D367" s="3" t="str">
        <f t="shared" si="353"/>
        <v>Nejasné</v>
      </c>
      <c r="E367" s="3" t="s">
        <v>48</v>
      </c>
      <c r="F367" s="3" t="s">
        <v>49</v>
      </c>
      <c r="G367" s="2" t="str">
        <f t="shared" si="354"/>
        <v>Malé zmluvy</v>
      </c>
      <c r="H367" s="5">
        <v>42499500</v>
      </c>
      <c r="I367" s="2" t="s">
        <v>464</v>
      </c>
      <c r="J367" s="2" t="s">
        <v>465</v>
      </c>
      <c r="K367" s="5">
        <v>35760419</v>
      </c>
      <c r="L367" s="2" t="s">
        <v>85</v>
      </c>
      <c r="M367" s="2" t="s">
        <v>136</v>
      </c>
      <c r="N367" s="6">
        <v>44287.627789351849</v>
      </c>
      <c r="O367" s="4">
        <v>505760.26</v>
      </c>
      <c r="P367" s="2">
        <v>114725</v>
      </c>
      <c r="Q367" s="2" t="s">
        <v>568</v>
      </c>
      <c r="R367" s="2" t="s">
        <v>569</v>
      </c>
      <c r="S367" s="2" t="s">
        <v>69</v>
      </c>
      <c r="T367" s="2" t="s">
        <v>468</v>
      </c>
      <c r="W367" s="4">
        <v>642.48</v>
      </c>
      <c r="X367" s="4">
        <v>770.976</v>
      </c>
      <c r="Y367" s="4">
        <f t="shared" ref="Y367" si="404">INDEX(InternalRates,MATCH($S367,InternalRates01,FALSE),2)</f>
        <v>278.98333333333335</v>
      </c>
      <c r="Z367" s="3" t="str">
        <f>IF(W367&gt;0,IF(Y367&gt;W367,"Áno","Nie"),"Nie")</f>
        <v>Nie</v>
      </c>
      <c r="AA367" s="3" t="str">
        <f>IF(E367="Nie","SLA",IF(F367="Nie","ZoD","SLA+ZoD"))</f>
        <v>SLA</v>
      </c>
      <c r="AB367" s="4">
        <v>58.25</v>
      </c>
      <c r="AD367" s="3" t="s">
        <v>48</v>
      </c>
      <c r="AE367" s="6">
        <v>44420</v>
      </c>
      <c r="AF367" s="3" t="s">
        <v>59</v>
      </c>
      <c r="AG367" s="3" t="s">
        <v>60</v>
      </c>
      <c r="AH367" s="3">
        <f>YEAR(SrcDB[[#This Row],[Datum_zverejnenia]])</f>
        <v>2021</v>
      </c>
      <c r="AI367" s="3" cm="1">
        <f t="array" ref="AI367">COUNT(_xlfn.UNIQUE(_xlfn._xlws.FILTER(SrcDB[ID],SrcDB[Objednavatel_ICO]=$H367)))</f>
        <v>25</v>
      </c>
      <c r="AJ367" s="3" cm="1">
        <f t="array" ref="AJ367">COUNT(_xlfn.UNIQUE(_xlfn._xlws.FILTER(SrcDB[ID],SrcDB[Dodavatel_ICO]=$K367)))</f>
        <v>34</v>
      </c>
      <c r="AK367" s="3">
        <f t="shared" si="360"/>
        <v>0</v>
      </c>
      <c r="AL367" s="3">
        <f t="shared" si="361"/>
        <v>0</v>
      </c>
      <c r="AM367" s="17" t="str">
        <f>IF(SrcDB[[#This Row],[Pocet zmluv objednavatela]]&gt;3,SrcDB[[#This Row],[Objednavatel]],"Ostatné")</f>
        <v>Finančné riaditeľstvo SR</v>
      </c>
      <c r="AN367" s="17" t="str">
        <f>IF(SrcDB[[#This Row],[Pocet zmluv dodavatela]]&gt;3,SrcDB[[#This Row],[Dodavatel]],"Ostatné")</f>
        <v>Asseco Central Europe, a.s.</v>
      </c>
    </row>
    <row r="368" spans="1:40" x14ac:dyDescent="0.3">
      <c r="A368" s="2" t="s">
        <v>567</v>
      </c>
      <c r="B368" s="2">
        <v>5653732</v>
      </c>
      <c r="C368" s="3" t="str">
        <f t="shared" si="352"/>
        <v>Nejasné</v>
      </c>
      <c r="D368" s="3" t="str">
        <f t="shared" si="353"/>
        <v>Nejasné</v>
      </c>
      <c r="E368" s="3" t="s">
        <v>48</v>
      </c>
      <c r="F368" s="3" t="s">
        <v>49</v>
      </c>
      <c r="G368" s="2" t="str">
        <f t="shared" si="354"/>
        <v>Malé zmluvy</v>
      </c>
      <c r="H368" s="5">
        <v>42499500</v>
      </c>
      <c r="I368" s="2" t="s">
        <v>464</v>
      </c>
      <c r="J368" s="2" t="s">
        <v>465</v>
      </c>
      <c r="K368" s="5">
        <v>35760419</v>
      </c>
      <c r="L368" s="2" t="s">
        <v>85</v>
      </c>
      <c r="M368" s="2" t="s">
        <v>136</v>
      </c>
      <c r="N368" s="6">
        <v>44287.627789351849</v>
      </c>
      <c r="O368" s="4">
        <v>505760.26</v>
      </c>
      <c r="P368" s="2">
        <v>114725</v>
      </c>
      <c r="Q368" s="2" t="s">
        <v>568</v>
      </c>
      <c r="R368" s="2" t="s">
        <v>569</v>
      </c>
      <c r="S368" s="2" t="s">
        <v>73</v>
      </c>
      <c r="T368" s="2" t="s">
        <v>469</v>
      </c>
      <c r="W368" s="4">
        <v>642.48</v>
      </c>
      <c r="X368" s="4">
        <v>770.976</v>
      </c>
      <c r="Y368" s="4">
        <f t="shared" ref="Y368" si="405">INDEX(InternalRates,MATCH($S368,InternalRates01,FALSE),2)</f>
        <v>278.98333333333335</v>
      </c>
      <c r="Z368" s="3" t="str">
        <f>IF(W368&gt;0,IF(Y368&gt;W368,"Áno","Nie"),"Nie")</f>
        <v>Nie</v>
      </c>
      <c r="AA368" s="3" t="str">
        <f>IF(E368="Nie","SLA",IF(F368="Nie","ZoD","SLA+ZoD"))</f>
        <v>SLA</v>
      </c>
      <c r="AB368" s="4">
        <v>84.625</v>
      </c>
      <c r="AD368" s="3" t="s">
        <v>48</v>
      </c>
      <c r="AE368" s="6">
        <v>44420</v>
      </c>
      <c r="AF368" s="3" t="s">
        <v>59</v>
      </c>
      <c r="AG368" s="3" t="s">
        <v>60</v>
      </c>
      <c r="AH368" s="3">
        <f>YEAR(SrcDB[[#This Row],[Datum_zverejnenia]])</f>
        <v>2021</v>
      </c>
      <c r="AI368" s="3" cm="1">
        <f t="array" ref="AI368">COUNT(_xlfn.UNIQUE(_xlfn._xlws.FILTER(SrcDB[ID],SrcDB[Objednavatel_ICO]=$H368)))</f>
        <v>25</v>
      </c>
      <c r="AJ368" s="3" cm="1">
        <f t="array" ref="AJ368">COUNT(_xlfn.UNIQUE(_xlfn._xlws.FILTER(SrcDB[ID],SrcDB[Dodavatel_ICO]=$K368)))</f>
        <v>34</v>
      </c>
      <c r="AK368" s="3">
        <f t="shared" si="360"/>
        <v>0</v>
      </c>
      <c r="AL368" s="3">
        <f t="shared" si="361"/>
        <v>0</v>
      </c>
      <c r="AM368" s="17" t="str">
        <f>IF(SrcDB[[#This Row],[Pocet zmluv objednavatela]]&gt;3,SrcDB[[#This Row],[Objednavatel]],"Ostatné")</f>
        <v>Finančné riaditeľstvo SR</v>
      </c>
      <c r="AN368" s="17" t="str">
        <f>IF(SrcDB[[#This Row],[Pocet zmluv dodavatela]]&gt;3,SrcDB[[#This Row],[Dodavatel]],"Ostatné")</f>
        <v>Asseco Central Europe, a.s.</v>
      </c>
    </row>
    <row r="369" spans="1:40" x14ac:dyDescent="0.3">
      <c r="A369" s="2" t="s">
        <v>570</v>
      </c>
      <c r="B369" s="2">
        <v>5653736</v>
      </c>
      <c r="C369" s="3" t="str">
        <f t="shared" si="352"/>
        <v>Nejasné</v>
      </c>
      <c r="D369" s="3" t="str">
        <f t="shared" si="353"/>
        <v>Nejasné</v>
      </c>
      <c r="E369" s="3" t="s">
        <v>48</v>
      </c>
      <c r="F369" s="3" t="s">
        <v>49</v>
      </c>
      <c r="G369" s="2" t="str">
        <f t="shared" si="354"/>
        <v>Malé zmluvy</v>
      </c>
      <c r="H369" s="5">
        <v>42499500</v>
      </c>
      <c r="I369" s="2" t="s">
        <v>464</v>
      </c>
      <c r="J369" s="2" t="s">
        <v>465</v>
      </c>
      <c r="K369" s="5">
        <v>35760419</v>
      </c>
      <c r="L369" s="2" t="s">
        <v>85</v>
      </c>
      <c r="M369" s="2" t="s">
        <v>136</v>
      </c>
      <c r="N369" s="6">
        <v>44287</v>
      </c>
      <c r="O369" s="4">
        <v>261639.17</v>
      </c>
      <c r="P369" s="2">
        <v>114725</v>
      </c>
      <c r="Q369" s="2" t="s">
        <v>571</v>
      </c>
      <c r="R369" s="2" t="s">
        <v>572</v>
      </c>
      <c r="S369" s="2" t="s">
        <v>56</v>
      </c>
      <c r="T369" s="2" t="s">
        <v>470</v>
      </c>
      <c r="U369" s="2" t="s">
        <v>460</v>
      </c>
      <c r="W369" s="4">
        <v>592.48</v>
      </c>
      <c r="X369" s="4">
        <v>710.976</v>
      </c>
      <c r="Y369" s="4">
        <f t="shared" ref="Y369" si="406">INDEX(InternalRates,MATCH($S369,InternalRates01,FALSE),2)</f>
        <v>278.98333333333335</v>
      </c>
      <c r="Z369" s="3" t="str">
        <f t="shared" ref="Z369:Z432" si="407">IF(W369&gt;0,IF(Y369&gt;W369,"Áno","Nie"),"Nie")</f>
        <v>Nie</v>
      </c>
      <c r="AA369" s="3" t="str">
        <f t="shared" ref="AA369:AA432" si="408">IF(E369="Nie","SLA",IF(F369="Nie","ZoD","SLA+ZoD"))</f>
        <v>SLA</v>
      </c>
      <c r="AB369" s="4">
        <v>10.875</v>
      </c>
      <c r="AD369" s="3" t="s">
        <v>48</v>
      </c>
      <c r="AE369" s="6">
        <v>44420</v>
      </c>
      <c r="AF369" s="3" t="s">
        <v>59</v>
      </c>
      <c r="AG369" s="3" t="s">
        <v>60</v>
      </c>
      <c r="AH369" s="3">
        <f>YEAR(SrcDB[[#This Row],[Datum_zverejnenia]])</f>
        <v>2021</v>
      </c>
      <c r="AI369" s="3" cm="1">
        <f t="array" ref="AI369">COUNT(_xlfn.UNIQUE(_xlfn._xlws.FILTER(SrcDB[ID],SrcDB[Objednavatel_ICO]=$H369)))</f>
        <v>25</v>
      </c>
      <c r="AJ369" s="3" cm="1">
        <f t="array" ref="AJ369">COUNT(_xlfn.UNIQUE(_xlfn._xlws.FILTER(SrcDB[ID],SrcDB[Dodavatel_ICO]=$K369)))</f>
        <v>34</v>
      </c>
      <c r="AK369" s="3">
        <f t="shared" si="360"/>
        <v>1</v>
      </c>
      <c r="AL369" s="3">
        <f t="shared" si="361"/>
        <v>1</v>
      </c>
      <c r="AM369" s="17" t="str">
        <f>IF(SrcDB[[#This Row],[Pocet zmluv objednavatela]]&gt;3,SrcDB[[#This Row],[Objednavatel]],"Ostatné")</f>
        <v>Finančné riaditeľstvo SR</v>
      </c>
      <c r="AN369" s="17" t="str">
        <f>IF(SrcDB[[#This Row],[Pocet zmluv dodavatela]]&gt;3,SrcDB[[#This Row],[Dodavatel]],"Ostatné")</f>
        <v>Asseco Central Europe, a.s.</v>
      </c>
    </row>
    <row r="370" spans="1:40" x14ac:dyDescent="0.3">
      <c r="A370" s="2" t="s">
        <v>570</v>
      </c>
      <c r="B370" s="2">
        <v>5653736</v>
      </c>
      <c r="C370" s="3" t="str">
        <f t="shared" si="352"/>
        <v>Nejasné</v>
      </c>
      <c r="D370" s="3" t="str">
        <f t="shared" si="353"/>
        <v>Nejasné</v>
      </c>
      <c r="E370" s="3" t="s">
        <v>48</v>
      </c>
      <c r="F370" s="3" t="s">
        <v>49</v>
      </c>
      <c r="G370" s="2" t="str">
        <f t="shared" si="354"/>
        <v>Malé zmluvy</v>
      </c>
      <c r="H370" s="5">
        <v>42499500</v>
      </c>
      <c r="I370" s="2" t="s">
        <v>464</v>
      </c>
      <c r="J370" s="2" t="s">
        <v>465</v>
      </c>
      <c r="K370" s="5">
        <v>35760419</v>
      </c>
      <c r="L370" s="2" t="s">
        <v>85</v>
      </c>
      <c r="M370" s="2" t="s">
        <v>136</v>
      </c>
      <c r="N370" s="6">
        <v>44287</v>
      </c>
      <c r="O370" s="4">
        <v>261639.17</v>
      </c>
      <c r="P370" s="2">
        <v>114725</v>
      </c>
      <c r="Q370" s="2" t="s">
        <v>571</v>
      </c>
      <c r="R370" s="2" t="s">
        <v>572</v>
      </c>
      <c r="S370" s="2" t="s">
        <v>77</v>
      </c>
      <c r="T370" s="2" t="s">
        <v>471</v>
      </c>
      <c r="W370" s="4">
        <v>592.48</v>
      </c>
      <c r="X370" s="4">
        <v>710.976</v>
      </c>
      <c r="Y370" s="4">
        <f t="shared" ref="Y370" si="409">INDEX(InternalRates,MATCH($S370,InternalRates01,FALSE),2)</f>
        <v>278.98333333333335</v>
      </c>
      <c r="Z370" s="3" t="str">
        <f t="shared" si="407"/>
        <v>Nie</v>
      </c>
      <c r="AA370" s="3" t="str">
        <f t="shared" si="408"/>
        <v>SLA</v>
      </c>
      <c r="AB370" s="4">
        <v>131.375</v>
      </c>
      <c r="AD370" s="3" t="s">
        <v>48</v>
      </c>
      <c r="AE370" s="6">
        <v>44420</v>
      </c>
      <c r="AF370" s="3" t="s">
        <v>59</v>
      </c>
      <c r="AG370" s="3" t="s">
        <v>60</v>
      </c>
      <c r="AH370" s="3">
        <f>YEAR(SrcDB[[#This Row],[Datum_zverejnenia]])</f>
        <v>2021</v>
      </c>
      <c r="AI370" s="3" cm="1">
        <f t="array" ref="AI370">COUNT(_xlfn.UNIQUE(_xlfn._xlws.FILTER(SrcDB[ID],SrcDB[Objednavatel_ICO]=$H370)))</f>
        <v>25</v>
      </c>
      <c r="AJ370" s="3" cm="1">
        <f t="array" ref="AJ370">COUNT(_xlfn.UNIQUE(_xlfn._xlws.FILTER(SrcDB[ID],SrcDB[Dodavatel_ICO]=$K370)))</f>
        <v>34</v>
      </c>
      <c r="AK370" s="3">
        <f t="shared" si="360"/>
        <v>0</v>
      </c>
      <c r="AL370" s="3">
        <f t="shared" si="361"/>
        <v>0</v>
      </c>
      <c r="AM370" s="17" t="str">
        <f>IF(SrcDB[[#This Row],[Pocet zmluv objednavatela]]&gt;3,SrcDB[[#This Row],[Objednavatel]],"Ostatné")</f>
        <v>Finančné riaditeľstvo SR</v>
      </c>
      <c r="AN370" s="17" t="str">
        <f>IF(SrcDB[[#This Row],[Pocet zmluv dodavatela]]&gt;3,SrcDB[[#This Row],[Dodavatel]],"Ostatné")</f>
        <v>Asseco Central Europe, a.s.</v>
      </c>
    </row>
    <row r="371" spans="1:40" x14ac:dyDescent="0.3">
      <c r="A371" s="2" t="s">
        <v>570</v>
      </c>
      <c r="B371" s="2">
        <v>5653736</v>
      </c>
      <c r="C371" s="3" t="str">
        <f t="shared" si="352"/>
        <v>Nejasné</v>
      </c>
      <c r="D371" s="3" t="str">
        <f t="shared" si="353"/>
        <v>Nejasné</v>
      </c>
      <c r="E371" s="3" t="s">
        <v>48</v>
      </c>
      <c r="F371" s="3" t="s">
        <v>49</v>
      </c>
      <c r="G371" s="2" t="str">
        <f t="shared" si="354"/>
        <v>Malé zmluvy</v>
      </c>
      <c r="H371" s="5">
        <v>42499500</v>
      </c>
      <c r="I371" s="2" t="s">
        <v>464</v>
      </c>
      <c r="J371" s="2" t="s">
        <v>465</v>
      </c>
      <c r="K371" s="5">
        <v>35760419</v>
      </c>
      <c r="L371" s="2" t="s">
        <v>85</v>
      </c>
      <c r="M371" s="2" t="s">
        <v>136</v>
      </c>
      <c r="N371" s="6">
        <v>44287</v>
      </c>
      <c r="O371" s="4">
        <v>261639.17</v>
      </c>
      <c r="P371" s="2">
        <v>114725</v>
      </c>
      <c r="Q371" s="2" t="s">
        <v>571</v>
      </c>
      <c r="R371" s="2" t="s">
        <v>572</v>
      </c>
      <c r="S371" s="2" t="s">
        <v>79</v>
      </c>
      <c r="T371" s="2" t="s">
        <v>472</v>
      </c>
      <c r="W371" s="4">
        <v>592.48</v>
      </c>
      <c r="X371" s="4">
        <v>710.976</v>
      </c>
      <c r="Y371" s="4">
        <f t="shared" ref="Y371" si="410">INDEX(InternalRates,MATCH($S371,InternalRates01,FALSE),2)</f>
        <v>278.98333333333335</v>
      </c>
      <c r="Z371" s="3" t="str">
        <f t="shared" si="407"/>
        <v>Nie</v>
      </c>
      <c r="AA371" s="3" t="str">
        <f t="shared" si="408"/>
        <v>SLA</v>
      </c>
      <c r="AB371" s="4">
        <v>26.125</v>
      </c>
      <c r="AD371" s="3" t="s">
        <v>48</v>
      </c>
      <c r="AE371" s="6">
        <v>44420</v>
      </c>
      <c r="AF371" s="3" t="s">
        <v>59</v>
      </c>
      <c r="AG371" s="3" t="s">
        <v>60</v>
      </c>
      <c r="AH371" s="3">
        <f>YEAR(SrcDB[[#This Row],[Datum_zverejnenia]])</f>
        <v>2021</v>
      </c>
      <c r="AI371" s="3" cm="1">
        <f t="array" ref="AI371">COUNT(_xlfn.UNIQUE(_xlfn._xlws.FILTER(SrcDB[ID],SrcDB[Objednavatel_ICO]=$H371)))</f>
        <v>25</v>
      </c>
      <c r="AJ371" s="3" cm="1">
        <f t="array" ref="AJ371">COUNT(_xlfn.UNIQUE(_xlfn._xlws.FILTER(SrcDB[ID],SrcDB[Dodavatel_ICO]=$K371)))</f>
        <v>34</v>
      </c>
      <c r="AK371" s="3">
        <f t="shared" si="360"/>
        <v>0</v>
      </c>
      <c r="AL371" s="3">
        <f t="shared" si="361"/>
        <v>0</v>
      </c>
      <c r="AM371" s="17" t="str">
        <f>IF(SrcDB[[#This Row],[Pocet zmluv objednavatela]]&gt;3,SrcDB[[#This Row],[Objednavatel]],"Ostatné")</f>
        <v>Finančné riaditeľstvo SR</v>
      </c>
      <c r="AN371" s="17" t="str">
        <f>IF(SrcDB[[#This Row],[Pocet zmluv dodavatela]]&gt;3,SrcDB[[#This Row],[Dodavatel]],"Ostatné")</f>
        <v>Asseco Central Europe, a.s.</v>
      </c>
    </row>
    <row r="372" spans="1:40" x14ac:dyDescent="0.3">
      <c r="A372" s="2" t="s">
        <v>570</v>
      </c>
      <c r="B372" s="2">
        <v>5653736</v>
      </c>
      <c r="C372" s="3" t="str">
        <f t="shared" si="352"/>
        <v>Nejasné</v>
      </c>
      <c r="D372" s="3" t="str">
        <f t="shared" si="353"/>
        <v>Nejasné</v>
      </c>
      <c r="E372" s="3" t="s">
        <v>48</v>
      </c>
      <c r="F372" s="3" t="s">
        <v>49</v>
      </c>
      <c r="G372" s="2" t="str">
        <f t="shared" si="354"/>
        <v>Malé zmluvy</v>
      </c>
      <c r="H372" s="5">
        <v>42499500</v>
      </c>
      <c r="I372" s="2" t="s">
        <v>464</v>
      </c>
      <c r="J372" s="2" t="s">
        <v>465</v>
      </c>
      <c r="K372" s="5">
        <v>35760419</v>
      </c>
      <c r="L372" s="2" t="s">
        <v>85</v>
      </c>
      <c r="M372" s="2" t="s">
        <v>136</v>
      </c>
      <c r="N372" s="6">
        <v>44287</v>
      </c>
      <c r="O372" s="4">
        <v>261639.17</v>
      </c>
      <c r="P372" s="2">
        <v>114725</v>
      </c>
      <c r="Q372" s="2" t="s">
        <v>571</v>
      </c>
      <c r="R372" s="2" t="s">
        <v>572</v>
      </c>
      <c r="S372" s="2" t="s">
        <v>160</v>
      </c>
      <c r="T372" s="2" t="s">
        <v>473</v>
      </c>
      <c r="W372" s="4">
        <v>592.48</v>
      </c>
      <c r="X372" s="4">
        <v>710.976</v>
      </c>
      <c r="Y372" s="4">
        <f t="shared" ref="Y372" si="411">INDEX(InternalRates,MATCH($S372,InternalRates01,FALSE),2)</f>
        <v>231.85833333333335</v>
      </c>
      <c r="Z372" s="3" t="str">
        <f t="shared" si="407"/>
        <v>Nie</v>
      </c>
      <c r="AA372" s="3" t="str">
        <f t="shared" si="408"/>
        <v>SLA</v>
      </c>
      <c r="AB372" s="4">
        <v>7.25</v>
      </c>
      <c r="AD372" s="3" t="s">
        <v>48</v>
      </c>
      <c r="AE372" s="6">
        <v>44420</v>
      </c>
      <c r="AF372" s="3" t="s">
        <v>59</v>
      </c>
      <c r="AG372" s="3" t="s">
        <v>60</v>
      </c>
      <c r="AH372" s="3">
        <f>YEAR(SrcDB[[#This Row],[Datum_zverejnenia]])</f>
        <v>2021</v>
      </c>
      <c r="AI372" s="3" cm="1">
        <f t="array" ref="AI372">COUNT(_xlfn.UNIQUE(_xlfn._xlws.FILTER(SrcDB[ID],SrcDB[Objednavatel_ICO]=$H372)))</f>
        <v>25</v>
      </c>
      <c r="AJ372" s="3" cm="1">
        <f t="array" ref="AJ372">COUNT(_xlfn.UNIQUE(_xlfn._xlws.FILTER(SrcDB[ID],SrcDB[Dodavatel_ICO]=$K372)))</f>
        <v>34</v>
      </c>
      <c r="AK372" s="3">
        <f t="shared" si="360"/>
        <v>0</v>
      </c>
      <c r="AL372" s="3">
        <f t="shared" si="361"/>
        <v>0</v>
      </c>
      <c r="AM372" s="17" t="str">
        <f>IF(SrcDB[[#This Row],[Pocet zmluv objednavatela]]&gt;3,SrcDB[[#This Row],[Objednavatel]],"Ostatné")</f>
        <v>Finančné riaditeľstvo SR</v>
      </c>
      <c r="AN372" s="17" t="str">
        <f>IF(SrcDB[[#This Row],[Pocet zmluv dodavatela]]&gt;3,SrcDB[[#This Row],[Dodavatel]],"Ostatné")</f>
        <v>Asseco Central Europe, a.s.</v>
      </c>
    </row>
    <row r="373" spans="1:40" x14ac:dyDescent="0.3">
      <c r="A373" s="2" t="s">
        <v>570</v>
      </c>
      <c r="B373" s="2">
        <v>5653736</v>
      </c>
      <c r="C373" s="3" t="str">
        <f t="shared" si="352"/>
        <v>Nejasné</v>
      </c>
      <c r="D373" s="3" t="str">
        <f t="shared" si="353"/>
        <v>Nejasné</v>
      </c>
      <c r="E373" s="3" t="s">
        <v>48</v>
      </c>
      <c r="F373" s="3" t="s">
        <v>49</v>
      </c>
      <c r="G373" s="2" t="str">
        <f t="shared" si="354"/>
        <v>Malé zmluvy</v>
      </c>
      <c r="H373" s="5">
        <v>42499500</v>
      </c>
      <c r="I373" s="2" t="s">
        <v>464</v>
      </c>
      <c r="J373" s="2" t="s">
        <v>465</v>
      </c>
      <c r="K373" s="5">
        <v>35760419</v>
      </c>
      <c r="L373" s="2" t="s">
        <v>85</v>
      </c>
      <c r="M373" s="2" t="s">
        <v>136</v>
      </c>
      <c r="N373" s="6">
        <v>44287</v>
      </c>
      <c r="O373" s="4">
        <v>261639.17</v>
      </c>
      <c r="P373" s="2">
        <v>114725</v>
      </c>
      <c r="Q373" s="2" t="s">
        <v>571</v>
      </c>
      <c r="R373" s="2" t="s">
        <v>572</v>
      </c>
      <c r="S373" s="2" t="s">
        <v>100</v>
      </c>
      <c r="T373" s="2" t="s">
        <v>474</v>
      </c>
      <c r="W373" s="4">
        <v>592.48</v>
      </c>
      <c r="X373" s="4">
        <v>710.976</v>
      </c>
      <c r="Y373" s="4">
        <f t="shared" ref="Y373" si="412">INDEX(InternalRates,MATCH($S373,InternalRates01,FALSE),2)</f>
        <v>278.98333333333335</v>
      </c>
      <c r="Z373" s="3" t="str">
        <f t="shared" si="407"/>
        <v>Nie</v>
      </c>
      <c r="AA373" s="3" t="str">
        <f t="shared" si="408"/>
        <v>SLA</v>
      </c>
      <c r="AB373" s="4">
        <v>6.375</v>
      </c>
      <c r="AD373" s="3" t="s">
        <v>48</v>
      </c>
      <c r="AE373" s="6">
        <v>44420</v>
      </c>
      <c r="AF373" s="3" t="s">
        <v>59</v>
      </c>
      <c r="AG373" s="3" t="s">
        <v>60</v>
      </c>
      <c r="AH373" s="3">
        <f>YEAR(SrcDB[[#This Row],[Datum_zverejnenia]])</f>
        <v>2021</v>
      </c>
      <c r="AI373" s="3" cm="1">
        <f t="array" ref="AI373">COUNT(_xlfn.UNIQUE(_xlfn._xlws.FILTER(SrcDB[ID],SrcDB[Objednavatel_ICO]=$H373)))</f>
        <v>25</v>
      </c>
      <c r="AJ373" s="3" cm="1">
        <f t="array" ref="AJ373">COUNT(_xlfn.UNIQUE(_xlfn._xlws.FILTER(SrcDB[ID],SrcDB[Dodavatel_ICO]=$K373)))</f>
        <v>34</v>
      </c>
      <c r="AK373" s="3">
        <f t="shared" si="360"/>
        <v>0</v>
      </c>
      <c r="AL373" s="3">
        <f t="shared" si="361"/>
        <v>0</v>
      </c>
      <c r="AM373" s="17" t="str">
        <f>IF(SrcDB[[#This Row],[Pocet zmluv objednavatela]]&gt;3,SrcDB[[#This Row],[Objednavatel]],"Ostatné")</f>
        <v>Finančné riaditeľstvo SR</v>
      </c>
      <c r="AN373" s="17" t="str">
        <f>IF(SrcDB[[#This Row],[Pocet zmluv dodavatela]]&gt;3,SrcDB[[#This Row],[Dodavatel]],"Ostatné")</f>
        <v>Asseco Central Europe, a.s.</v>
      </c>
    </row>
    <row r="374" spans="1:40" x14ac:dyDescent="0.3">
      <c r="A374" s="2" t="s">
        <v>570</v>
      </c>
      <c r="B374" s="2">
        <v>5653736</v>
      </c>
      <c r="C374" s="3" t="str">
        <f t="shared" si="352"/>
        <v>Nejasné</v>
      </c>
      <c r="D374" s="3" t="str">
        <f t="shared" si="353"/>
        <v>Nejasné</v>
      </c>
      <c r="E374" s="3" t="s">
        <v>48</v>
      </c>
      <c r="F374" s="3" t="s">
        <v>49</v>
      </c>
      <c r="G374" s="2" t="str">
        <f t="shared" si="354"/>
        <v>Malé zmluvy</v>
      </c>
      <c r="H374" s="5">
        <v>42499500</v>
      </c>
      <c r="I374" s="2" t="s">
        <v>464</v>
      </c>
      <c r="J374" s="2" t="s">
        <v>465</v>
      </c>
      <c r="K374" s="5">
        <v>35760419</v>
      </c>
      <c r="L374" s="2" t="s">
        <v>85</v>
      </c>
      <c r="M374" s="2" t="s">
        <v>136</v>
      </c>
      <c r="N374" s="6">
        <v>44287</v>
      </c>
      <c r="O374" s="4">
        <v>261639.17</v>
      </c>
      <c r="P374" s="2">
        <v>114725</v>
      </c>
      <c r="Q374" s="2" t="s">
        <v>571</v>
      </c>
      <c r="R374" s="2" t="s">
        <v>572</v>
      </c>
      <c r="S374" s="2" t="s">
        <v>160</v>
      </c>
      <c r="T374" s="2" t="s">
        <v>475</v>
      </c>
      <c r="W374" s="4">
        <v>592.48</v>
      </c>
      <c r="X374" s="4">
        <v>710.976</v>
      </c>
      <c r="Y374" s="4">
        <f t="shared" ref="Y374" si="413">INDEX(InternalRates,MATCH($S374,InternalRates01,FALSE),2)</f>
        <v>231.85833333333335</v>
      </c>
      <c r="Z374" s="3" t="str">
        <f t="shared" si="407"/>
        <v>Nie</v>
      </c>
      <c r="AA374" s="3" t="str">
        <f t="shared" si="408"/>
        <v>SLA</v>
      </c>
      <c r="AB374" s="4">
        <v>13.25</v>
      </c>
      <c r="AD374" s="3" t="s">
        <v>48</v>
      </c>
      <c r="AE374" s="6">
        <v>44420</v>
      </c>
      <c r="AF374" s="3" t="s">
        <v>59</v>
      </c>
      <c r="AG374" s="3" t="s">
        <v>60</v>
      </c>
      <c r="AH374" s="3">
        <f>YEAR(SrcDB[[#This Row],[Datum_zverejnenia]])</f>
        <v>2021</v>
      </c>
      <c r="AI374" s="3" cm="1">
        <f t="array" ref="AI374">COUNT(_xlfn.UNIQUE(_xlfn._xlws.FILTER(SrcDB[ID],SrcDB[Objednavatel_ICO]=$H374)))</f>
        <v>25</v>
      </c>
      <c r="AJ374" s="3" cm="1">
        <f t="array" ref="AJ374">COUNT(_xlfn.UNIQUE(_xlfn._xlws.FILTER(SrcDB[ID],SrcDB[Dodavatel_ICO]=$K374)))</f>
        <v>34</v>
      </c>
      <c r="AK374" s="3">
        <f t="shared" si="360"/>
        <v>0</v>
      </c>
      <c r="AL374" s="3">
        <f t="shared" si="361"/>
        <v>0</v>
      </c>
      <c r="AM374" s="17" t="str">
        <f>IF(SrcDB[[#This Row],[Pocet zmluv objednavatela]]&gt;3,SrcDB[[#This Row],[Objednavatel]],"Ostatné")</f>
        <v>Finančné riaditeľstvo SR</v>
      </c>
      <c r="AN374" s="17" t="str">
        <f>IF(SrcDB[[#This Row],[Pocet zmluv dodavatela]]&gt;3,SrcDB[[#This Row],[Dodavatel]],"Ostatné")</f>
        <v>Asseco Central Europe, a.s.</v>
      </c>
    </row>
    <row r="375" spans="1:40" x14ac:dyDescent="0.3">
      <c r="A375" s="2" t="s">
        <v>570</v>
      </c>
      <c r="B375" s="2">
        <v>5653736</v>
      </c>
      <c r="C375" s="3" t="str">
        <f t="shared" si="352"/>
        <v>Nejasné</v>
      </c>
      <c r="D375" s="3" t="str">
        <f t="shared" si="353"/>
        <v>Nejasné</v>
      </c>
      <c r="E375" s="3" t="s">
        <v>48</v>
      </c>
      <c r="F375" s="3" t="s">
        <v>49</v>
      </c>
      <c r="G375" s="2" t="str">
        <f t="shared" si="354"/>
        <v>Malé zmluvy</v>
      </c>
      <c r="H375" s="5">
        <v>42499500</v>
      </c>
      <c r="I375" s="2" t="s">
        <v>464</v>
      </c>
      <c r="J375" s="2" t="s">
        <v>465</v>
      </c>
      <c r="K375" s="5">
        <v>35760419</v>
      </c>
      <c r="L375" s="2" t="s">
        <v>85</v>
      </c>
      <c r="M375" s="2" t="s">
        <v>136</v>
      </c>
      <c r="N375" s="6">
        <v>44287</v>
      </c>
      <c r="O375" s="4">
        <v>261639.17</v>
      </c>
      <c r="P375" s="2">
        <v>114725</v>
      </c>
      <c r="Q375" s="2" t="s">
        <v>571</v>
      </c>
      <c r="R375" s="2" t="s">
        <v>572</v>
      </c>
      <c r="S375" s="2" t="s">
        <v>160</v>
      </c>
      <c r="T375" s="2" t="s">
        <v>476</v>
      </c>
      <c r="W375" s="4">
        <v>592.48</v>
      </c>
      <c r="X375" s="4">
        <v>710.976</v>
      </c>
      <c r="Y375" s="4">
        <f t="shared" ref="Y375" si="414">INDEX(InternalRates,MATCH($S375,InternalRates01,FALSE),2)</f>
        <v>231.85833333333335</v>
      </c>
      <c r="Z375" s="3" t="str">
        <f t="shared" si="407"/>
        <v>Nie</v>
      </c>
      <c r="AA375" s="3" t="str">
        <f t="shared" si="408"/>
        <v>SLA</v>
      </c>
      <c r="AB375" s="4">
        <v>13.375</v>
      </c>
      <c r="AD375" s="3" t="s">
        <v>48</v>
      </c>
      <c r="AE375" s="6">
        <v>44420</v>
      </c>
      <c r="AF375" s="3" t="s">
        <v>59</v>
      </c>
      <c r="AG375" s="3" t="s">
        <v>60</v>
      </c>
      <c r="AH375" s="3">
        <f>YEAR(SrcDB[[#This Row],[Datum_zverejnenia]])</f>
        <v>2021</v>
      </c>
      <c r="AI375" s="3" cm="1">
        <f t="array" ref="AI375">COUNT(_xlfn.UNIQUE(_xlfn._xlws.FILTER(SrcDB[ID],SrcDB[Objednavatel_ICO]=$H375)))</f>
        <v>25</v>
      </c>
      <c r="AJ375" s="3" cm="1">
        <f t="array" ref="AJ375">COUNT(_xlfn.UNIQUE(_xlfn._xlws.FILTER(SrcDB[ID],SrcDB[Dodavatel_ICO]=$K375)))</f>
        <v>34</v>
      </c>
      <c r="AK375" s="3">
        <f t="shared" si="360"/>
        <v>0</v>
      </c>
      <c r="AL375" s="3">
        <f t="shared" si="361"/>
        <v>0</v>
      </c>
      <c r="AM375" s="17" t="str">
        <f>IF(SrcDB[[#This Row],[Pocet zmluv objednavatela]]&gt;3,SrcDB[[#This Row],[Objednavatel]],"Ostatné")</f>
        <v>Finančné riaditeľstvo SR</v>
      </c>
      <c r="AN375" s="17" t="str">
        <f>IF(SrcDB[[#This Row],[Pocet zmluv dodavatela]]&gt;3,SrcDB[[#This Row],[Dodavatel]],"Ostatné")</f>
        <v>Asseco Central Europe, a.s.</v>
      </c>
    </row>
    <row r="376" spans="1:40" x14ac:dyDescent="0.3">
      <c r="A376" s="2" t="s">
        <v>570</v>
      </c>
      <c r="B376" s="2">
        <v>5653736</v>
      </c>
      <c r="C376" s="3" t="str">
        <f t="shared" si="352"/>
        <v>Nejasné</v>
      </c>
      <c r="D376" s="3" t="str">
        <f t="shared" si="353"/>
        <v>Nejasné</v>
      </c>
      <c r="E376" s="3" t="s">
        <v>48</v>
      </c>
      <c r="F376" s="3" t="s">
        <v>49</v>
      </c>
      <c r="G376" s="2" t="str">
        <f t="shared" si="354"/>
        <v>Malé zmluvy</v>
      </c>
      <c r="H376" s="5">
        <v>42499500</v>
      </c>
      <c r="I376" s="2" t="s">
        <v>464</v>
      </c>
      <c r="J376" s="2" t="s">
        <v>465</v>
      </c>
      <c r="K376" s="5">
        <v>35760419</v>
      </c>
      <c r="L376" s="2" t="s">
        <v>85</v>
      </c>
      <c r="M376" s="2" t="s">
        <v>136</v>
      </c>
      <c r="N376" s="6">
        <v>44287</v>
      </c>
      <c r="O376" s="4">
        <v>261639.17</v>
      </c>
      <c r="P376" s="2">
        <v>114725</v>
      </c>
      <c r="Q376" s="2" t="s">
        <v>571</v>
      </c>
      <c r="R376" s="2" t="s">
        <v>572</v>
      </c>
      <c r="S376" s="2" t="s">
        <v>160</v>
      </c>
      <c r="T376" s="2" t="s">
        <v>477</v>
      </c>
      <c r="W376" s="4">
        <v>592.48</v>
      </c>
      <c r="X376" s="4">
        <v>710.976</v>
      </c>
      <c r="Y376" s="4">
        <f t="shared" ref="Y376" si="415">INDEX(InternalRates,MATCH($S376,InternalRates01,FALSE),2)</f>
        <v>231.85833333333335</v>
      </c>
      <c r="Z376" s="3" t="str">
        <f t="shared" si="407"/>
        <v>Nie</v>
      </c>
      <c r="AA376" s="3" t="str">
        <f t="shared" si="408"/>
        <v>SLA</v>
      </c>
      <c r="AB376" s="4">
        <v>19.375</v>
      </c>
      <c r="AD376" s="3" t="s">
        <v>48</v>
      </c>
      <c r="AE376" s="6">
        <v>44420</v>
      </c>
      <c r="AF376" s="3" t="s">
        <v>59</v>
      </c>
      <c r="AG376" s="3" t="s">
        <v>60</v>
      </c>
      <c r="AH376" s="3">
        <f>YEAR(SrcDB[[#This Row],[Datum_zverejnenia]])</f>
        <v>2021</v>
      </c>
      <c r="AI376" s="3" cm="1">
        <f t="array" ref="AI376">COUNT(_xlfn.UNIQUE(_xlfn._xlws.FILTER(SrcDB[ID],SrcDB[Objednavatel_ICO]=$H376)))</f>
        <v>25</v>
      </c>
      <c r="AJ376" s="3" cm="1">
        <f t="array" ref="AJ376">COUNT(_xlfn.UNIQUE(_xlfn._xlws.FILTER(SrcDB[ID],SrcDB[Dodavatel_ICO]=$K376)))</f>
        <v>34</v>
      </c>
      <c r="AK376" s="3">
        <f t="shared" si="360"/>
        <v>0</v>
      </c>
      <c r="AL376" s="3">
        <f t="shared" si="361"/>
        <v>0</v>
      </c>
      <c r="AM376" s="17" t="str">
        <f>IF(SrcDB[[#This Row],[Pocet zmluv objednavatela]]&gt;3,SrcDB[[#This Row],[Objednavatel]],"Ostatné")</f>
        <v>Finančné riaditeľstvo SR</v>
      </c>
      <c r="AN376" s="17" t="str">
        <f>IF(SrcDB[[#This Row],[Pocet zmluv dodavatela]]&gt;3,SrcDB[[#This Row],[Dodavatel]],"Ostatné")</f>
        <v>Asseco Central Europe, a.s.</v>
      </c>
    </row>
    <row r="377" spans="1:40" x14ac:dyDescent="0.3">
      <c r="A377" s="2" t="s">
        <v>570</v>
      </c>
      <c r="B377" s="2">
        <v>5653736</v>
      </c>
      <c r="C377" s="3" t="str">
        <f t="shared" si="352"/>
        <v>Nejasné</v>
      </c>
      <c r="D377" s="3" t="str">
        <f t="shared" si="353"/>
        <v>Nejasné</v>
      </c>
      <c r="E377" s="3" t="s">
        <v>48</v>
      </c>
      <c r="F377" s="3" t="s">
        <v>49</v>
      </c>
      <c r="G377" s="2" t="str">
        <f t="shared" si="354"/>
        <v>Malé zmluvy</v>
      </c>
      <c r="H377" s="5">
        <v>42499500</v>
      </c>
      <c r="I377" s="2" t="s">
        <v>464</v>
      </c>
      <c r="J377" s="2" t="s">
        <v>465</v>
      </c>
      <c r="K377" s="5">
        <v>35760419</v>
      </c>
      <c r="L377" s="2" t="s">
        <v>85</v>
      </c>
      <c r="M377" s="2" t="s">
        <v>136</v>
      </c>
      <c r="N377" s="6">
        <v>44287.628865740742</v>
      </c>
      <c r="O377" s="4">
        <v>261639.17</v>
      </c>
      <c r="P377" s="2">
        <v>114725</v>
      </c>
      <c r="Q377" s="2" t="s">
        <v>571</v>
      </c>
      <c r="R377" s="2" t="s">
        <v>572</v>
      </c>
      <c r="S377" s="2" t="s">
        <v>69</v>
      </c>
      <c r="T377" s="2" t="s">
        <v>468</v>
      </c>
      <c r="W377" s="4">
        <v>592.48</v>
      </c>
      <c r="X377" s="4">
        <v>710.976</v>
      </c>
      <c r="Y377" s="4">
        <f t="shared" ref="Y377" si="416">INDEX(InternalRates,MATCH($S377,InternalRates01,FALSE),2)</f>
        <v>278.98333333333335</v>
      </c>
      <c r="Z377" s="3" t="str">
        <f t="shared" si="407"/>
        <v>Nie</v>
      </c>
      <c r="AA377" s="3" t="str">
        <f t="shared" si="408"/>
        <v>SLA</v>
      </c>
      <c r="AB377" s="4">
        <v>24.625</v>
      </c>
      <c r="AD377" s="3" t="s">
        <v>48</v>
      </c>
      <c r="AE377" s="6">
        <v>44420</v>
      </c>
      <c r="AF377" s="3" t="s">
        <v>59</v>
      </c>
      <c r="AG377" s="3" t="s">
        <v>60</v>
      </c>
      <c r="AH377" s="3">
        <f>YEAR(SrcDB[[#This Row],[Datum_zverejnenia]])</f>
        <v>2021</v>
      </c>
      <c r="AI377" s="3" cm="1">
        <f t="array" ref="AI377">COUNT(_xlfn.UNIQUE(_xlfn._xlws.FILTER(SrcDB[ID],SrcDB[Objednavatel_ICO]=$H377)))</f>
        <v>25</v>
      </c>
      <c r="AJ377" s="3" cm="1">
        <f t="array" ref="AJ377">COUNT(_xlfn.UNIQUE(_xlfn._xlws.FILTER(SrcDB[ID],SrcDB[Dodavatel_ICO]=$K377)))</f>
        <v>34</v>
      </c>
      <c r="AK377" s="3">
        <f t="shared" si="360"/>
        <v>0</v>
      </c>
      <c r="AL377" s="3">
        <f t="shared" si="361"/>
        <v>0</v>
      </c>
      <c r="AM377" s="17" t="str">
        <f>IF(SrcDB[[#This Row],[Pocet zmluv objednavatela]]&gt;3,SrcDB[[#This Row],[Objednavatel]],"Ostatné")</f>
        <v>Finančné riaditeľstvo SR</v>
      </c>
      <c r="AN377" s="17" t="str">
        <f>IF(SrcDB[[#This Row],[Pocet zmluv dodavatela]]&gt;3,SrcDB[[#This Row],[Dodavatel]],"Ostatné")</f>
        <v>Asseco Central Europe, a.s.</v>
      </c>
    </row>
    <row r="378" spans="1:40" x14ac:dyDescent="0.3">
      <c r="A378" s="2" t="s">
        <v>570</v>
      </c>
      <c r="B378" s="2">
        <v>5653736</v>
      </c>
      <c r="C378" s="3" t="str">
        <f t="shared" si="352"/>
        <v>Nejasné</v>
      </c>
      <c r="D378" s="3" t="str">
        <f t="shared" si="353"/>
        <v>Nejasné</v>
      </c>
      <c r="E378" s="3" t="s">
        <v>48</v>
      </c>
      <c r="F378" s="3" t="s">
        <v>49</v>
      </c>
      <c r="G378" s="2" t="str">
        <f t="shared" si="354"/>
        <v>Malé zmluvy</v>
      </c>
      <c r="H378" s="5">
        <v>42499500</v>
      </c>
      <c r="I378" s="2" t="s">
        <v>464</v>
      </c>
      <c r="J378" s="2" t="s">
        <v>465</v>
      </c>
      <c r="K378" s="5">
        <v>35760419</v>
      </c>
      <c r="L378" s="2" t="s">
        <v>85</v>
      </c>
      <c r="M378" s="2" t="s">
        <v>136</v>
      </c>
      <c r="N378" s="6">
        <v>44287.628865740742</v>
      </c>
      <c r="O378" s="4">
        <v>261639.17</v>
      </c>
      <c r="P378" s="2">
        <v>114725</v>
      </c>
      <c r="Q378" s="2" t="s">
        <v>571</v>
      </c>
      <c r="R378" s="2" t="s">
        <v>572</v>
      </c>
      <c r="S378" s="2" t="s">
        <v>73</v>
      </c>
      <c r="T378" s="2" t="s">
        <v>469</v>
      </c>
      <c r="W378" s="4">
        <v>592.48</v>
      </c>
      <c r="X378" s="4">
        <v>710.976</v>
      </c>
      <c r="Y378" s="4">
        <f t="shared" ref="Y378" si="417">INDEX(InternalRates,MATCH($S378,InternalRates01,FALSE),2)</f>
        <v>278.98333333333335</v>
      </c>
      <c r="Z378" s="3" t="str">
        <f t="shared" si="407"/>
        <v>Nie</v>
      </c>
      <c r="AA378" s="3" t="str">
        <f t="shared" si="408"/>
        <v>SLA</v>
      </c>
      <c r="AB378" s="4">
        <v>115.375</v>
      </c>
      <c r="AD378" s="3" t="s">
        <v>48</v>
      </c>
      <c r="AE378" s="6">
        <v>44420</v>
      </c>
      <c r="AF378" s="3" t="s">
        <v>59</v>
      </c>
      <c r="AG378" s="3" t="s">
        <v>60</v>
      </c>
      <c r="AH378" s="3">
        <f>YEAR(SrcDB[[#This Row],[Datum_zverejnenia]])</f>
        <v>2021</v>
      </c>
      <c r="AI378" s="3" cm="1">
        <f t="array" ref="AI378">COUNT(_xlfn.UNIQUE(_xlfn._xlws.FILTER(SrcDB[ID],SrcDB[Objednavatel_ICO]=$H378)))</f>
        <v>25</v>
      </c>
      <c r="AJ378" s="3" cm="1">
        <f t="array" ref="AJ378">COUNT(_xlfn.UNIQUE(_xlfn._xlws.FILTER(SrcDB[ID],SrcDB[Dodavatel_ICO]=$K378)))</f>
        <v>34</v>
      </c>
      <c r="AK378" s="3">
        <f t="shared" si="360"/>
        <v>0</v>
      </c>
      <c r="AL378" s="3">
        <f t="shared" si="361"/>
        <v>0</v>
      </c>
      <c r="AM378" s="17" t="str">
        <f>IF(SrcDB[[#This Row],[Pocet zmluv objednavatela]]&gt;3,SrcDB[[#This Row],[Objednavatel]],"Ostatné")</f>
        <v>Finančné riaditeľstvo SR</v>
      </c>
      <c r="AN378" s="17" t="str">
        <f>IF(SrcDB[[#This Row],[Pocet zmluv dodavatela]]&gt;3,SrcDB[[#This Row],[Dodavatel]],"Ostatné")</f>
        <v>Asseco Central Europe, a.s.</v>
      </c>
    </row>
    <row r="379" spans="1:40" x14ac:dyDescent="0.3">
      <c r="A379" s="2" t="s">
        <v>573</v>
      </c>
      <c r="B379" s="2">
        <v>5700048</v>
      </c>
      <c r="C379" s="3" t="str">
        <f t="shared" si="352"/>
        <v>Nejasné</v>
      </c>
      <c r="D379" s="3" t="str">
        <f t="shared" si="353"/>
        <v>Nejasné</v>
      </c>
      <c r="E379" s="3" t="s">
        <v>49</v>
      </c>
      <c r="F379" s="3" t="s">
        <v>49</v>
      </c>
      <c r="G379" s="2" t="str">
        <f t="shared" si="354"/>
        <v>Malé zmluvy</v>
      </c>
      <c r="H379" s="5">
        <v>35815256</v>
      </c>
      <c r="I379" s="2" t="s">
        <v>574</v>
      </c>
      <c r="J379" s="2" t="s">
        <v>575</v>
      </c>
      <c r="K379" s="5">
        <v>31589898</v>
      </c>
      <c r="L379" s="2" t="s">
        <v>576</v>
      </c>
      <c r="M379" s="2" t="s">
        <v>577</v>
      </c>
      <c r="N379" s="6">
        <v>44308</v>
      </c>
      <c r="O379" s="4">
        <v>611770</v>
      </c>
      <c r="P379" s="2">
        <v>114499</v>
      </c>
      <c r="Q379" s="2" t="s">
        <v>578</v>
      </c>
      <c r="R379" s="2" t="s">
        <v>579</v>
      </c>
      <c r="S379" s="2" t="s">
        <v>73</v>
      </c>
      <c r="T379" s="2" t="s">
        <v>469</v>
      </c>
      <c r="W379" s="4">
        <v>580</v>
      </c>
      <c r="X379" s="4">
        <v>696</v>
      </c>
      <c r="Y379" s="4">
        <f t="shared" ref="Y379" si="418">INDEX(InternalRates,MATCH($S379,InternalRates01,FALSE),2)</f>
        <v>278.98333333333335</v>
      </c>
      <c r="Z379" s="3" t="str">
        <f t="shared" si="407"/>
        <v>Nie</v>
      </c>
      <c r="AA379" s="3" t="str">
        <f t="shared" si="408"/>
        <v>SLA+ZoD</v>
      </c>
      <c r="AD379" s="3" t="s">
        <v>48</v>
      </c>
      <c r="AE379" s="6">
        <v>44420</v>
      </c>
      <c r="AF379" s="3" t="s">
        <v>59</v>
      </c>
      <c r="AG379" s="3" t="s">
        <v>60</v>
      </c>
      <c r="AH379" s="3">
        <f>YEAR(SrcDB[[#This Row],[Datum_zverejnenia]])</f>
        <v>2021</v>
      </c>
      <c r="AI379" s="3" cm="1">
        <f t="array" ref="AI379">COUNT(_xlfn.UNIQUE(_xlfn._xlws.FILTER(SrcDB[ID],SrcDB[Objednavatel_ICO]=$H379)))</f>
        <v>6</v>
      </c>
      <c r="AJ379" s="3" cm="1">
        <f t="array" ref="AJ379">COUNT(_xlfn.UNIQUE(_xlfn._xlws.FILTER(SrcDB[ID],SrcDB[Dodavatel_ICO]=$K379)))</f>
        <v>3</v>
      </c>
      <c r="AK379" s="3">
        <f t="shared" si="360"/>
        <v>1</v>
      </c>
      <c r="AL379" s="3">
        <f t="shared" si="361"/>
        <v>1</v>
      </c>
      <c r="AM379" s="17" t="str">
        <f>IF(SrcDB[[#This Row],[Pocet zmluv objednavatela]]&gt;3,SrcDB[[#This Row],[Objednavatel]],"Ostatné")</f>
        <v>Slovenský plynárenský priemysel, a.s.</v>
      </c>
      <c r="AN379" s="17" t="str">
        <f>IF(SrcDB[[#This Row],[Pocet zmluv dodavatela]]&gt;3,SrcDB[[#This Row],[Dodavatel]],"Ostatné")</f>
        <v>Ostatné</v>
      </c>
    </row>
    <row r="380" spans="1:40" x14ac:dyDescent="0.3">
      <c r="A380" s="2" t="s">
        <v>573</v>
      </c>
      <c r="B380" s="2">
        <v>5700048</v>
      </c>
      <c r="C380" s="3" t="str">
        <f t="shared" si="352"/>
        <v>Nejasné</v>
      </c>
      <c r="D380" s="3" t="str">
        <f t="shared" si="353"/>
        <v>Nejasné</v>
      </c>
      <c r="E380" s="3" t="s">
        <v>49</v>
      </c>
      <c r="F380" s="3" t="s">
        <v>49</v>
      </c>
      <c r="G380" s="2" t="str">
        <f t="shared" si="354"/>
        <v>Malé zmluvy</v>
      </c>
      <c r="H380" s="5">
        <v>35815256</v>
      </c>
      <c r="I380" s="2" t="s">
        <v>574</v>
      </c>
      <c r="J380" s="2" t="s">
        <v>575</v>
      </c>
      <c r="K380" s="5">
        <v>31589898</v>
      </c>
      <c r="L380" s="2" t="s">
        <v>576</v>
      </c>
      <c r="M380" s="2" t="s">
        <v>577</v>
      </c>
      <c r="N380" s="6">
        <v>44308</v>
      </c>
      <c r="O380" s="4">
        <v>611770</v>
      </c>
      <c r="P380" s="2">
        <v>114499</v>
      </c>
      <c r="Q380" s="2" t="s">
        <v>578</v>
      </c>
      <c r="R380" s="2" t="s">
        <v>579</v>
      </c>
      <c r="S380" s="2" t="s">
        <v>77</v>
      </c>
      <c r="T380" s="2" t="s">
        <v>471</v>
      </c>
      <c r="W380" s="4">
        <v>500</v>
      </c>
      <c r="X380" s="4">
        <v>600</v>
      </c>
      <c r="Y380" s="4">
        <f t="shared" ref="Y380" si="419">INDEX(InternalRates,MATCH($S380,InternalRates01,FALSE),2)</f>
        <v>278.98333333333335</v>
      </c>
      <c r="Z380" s="3" t="str">
        <f t="shared" si="407"/>
        <v>Nie</v>
      </c>
      <c r="AA380" s="3" t="str">
        <f t="shared" si="408"/>
        <v>SLA+ZoD</v>
      </c>
      <c r="AD380" s="3" t="s">
        <v>48</v>
      </c>
      <c r="AE380" s="6">
        <v>44420</v>
      </c>
      <c r="AF380" s="3" t="s">
        <v>59</v>
      </c>
      <c r="AG380" s="3" t="s">
        <v>60</v>
      </c>
      <c r="AH380" s="3">
        <f>YEAR(SrcDB[[#This Row],[Datum_zverejnenia]])</f>
        <v>2021</v>
      </c>
      <c r="AI380" s="3" cm="1">
        <f t="array" ref="AI380">COUNT(_xlfn.UNIQUE(_xlfn._xlws.FILTER(SrcDB[ID],SrcDB[Objednavatel_ICO]=$H380)))</f>
        <v>6</v>
      </c>
      <c r="AJ380" s="3" cm="1">
        <f t="array" ref="AJ380">COUNT(_xlfn.UNIQUE(_xlfn._xlws.FILTER(SrcDB[ID],SrcDB[Dodavatel_ICO]=$K380)))</f>
        <v>3</v>
      </c>
      <c r="AK380" s="3">
        <f t="shared" si="360"/>
        <v>0</v>
      </c>
      <c r="AL380" s="3">
        <f t="shared" si="361"/>
        <v>0</v>
      </c>
      <c r="AM380" s="17" t="str">
        <f>IF(SrcDB[[#This Row],[Pocet zmluv objednavatela]]&gt;3,SrcDB[[#This Row],[Objednavatel]],"Ostatné")</f>
        <v>Slovenský plynárenský priemysel, a.s.</v>
      </c>
      <c r="AN380" s="17" t="str">
        <f>IF(SrcDB[[#This Row],[Pocet zmluv dodavatela]]&gt;3,SrcDB[[#This Row],[Dodavatel]],"Ostatné")</f>
        <v>Ostatné</v>
      </c>
    </row>
    <row r="381" spans="1:40" x14ac:dyDescent="0.3">
      <c r="A381" s="2" t="s">
        <v>573</v>
      </c>
      <c r="B381" s="2">
        <v>5700048</v>
      </c>
      <c r="C381" s="3" t="str">
        <f t="shared" si="352"/>
        <v>Nejasné</v>
      </c>
      <c r="D381" s="3" t="str">
        <f t="shared" si="353"/>
        <v>Nejasné</v>
      </c>
      <c r="E381" s="3" t="s">
        <v>49</v>
      </c>
      <c r="F381" s="3" t="s">
        <v>49</v>
      </c>
      <c r="G381" s="2" t="str">
        <f t="shared" si="354"/>
        <v>Malé zmluvy</v>
      </c>
      <c r="H381" s="5">
        <v>35815256</v>
      </c>
      <c r="I381" s="2" t="s">
        <v>574</v>
      </c>
      <c r="J381" s="2" t="s">
        <v>575</v>
      </c>
      <c r="K381" s="5">
        <v>31589898</v>
      </c>
      <c r="L381" s="2" t="s">
        <v>576</v>
      </c>
      <c r="M381" s="2" t="s">
        <v>577</v>
      </c>
      <c r="N381" s="6">
        <v>44308</v>
      </c>
      <c r="O381" s="4">
        <v>611770</v>
      </c>
      <c r="P381" s="2">
        <v>114499</v>
      </c>
      <c r="Q381" s="2" t="s">
        <v>578</v>
      </c>
      <c r="R381" s="2" t="s">
        <v>579</v>
      </c>
      <c r="S381" s="2" t="s">
        <v>162</v>
      </c>
      <c r="T381" s="2" t="s">
        <v>580</v>
      </c>
      <c r="W381" s="4">
        <v>440</v>
      </c>
      <c r="X381" s="4">
        <v>528</v>
      </c>
      <c r="Y381" s="4">
        <f t="shared" ref="Y381" si="420">INDEX(InternalRates,MATCH($S381,InternalRates01,FALSE),2)</f>
        <v>231.85833333333335</v>
      </c>
      <c r="Z381" s="3" t="str">
        <f t="shared" si="407"/>
        <v>Nie</v>
      </c>
      <c r="AA381" s="3" t="str">
        <f t="shared" si="408"/>
        <v>SLA+ZoD</v>
      </c>
      <c r="AD381" s="3" t="s">
        <v>48</v>
      </c>
      <c r="AE381" s="6">
        <v>44420</v>
      </c>
      <c r="AF381" s="3" t="s">
        <v>59</v>
      </c>
      <c r="AG381" s="3" t="s">
        <v>60</v>
      </c>
      <c r="AH381" s="3">
        <f>YEAR(SrcDB[[#This Row],[Datum_zverejnenia]])</f>
        <v>2021</v>
      </c>
      <c r="AI381" s="3" cm="1">
        <f t="array" ref="AI381">COUNT(_xlfn.UNIQUE(_xlfn._xlws.FILTER(SrcDB[ID],SrcDB[Objednavatel_ICO]=$H381)))</f>
        <v>6</v>
      </c>
      <c r="AJ381" s="3" cm="1">
        <f t="array" ref="AJ381">COUNT(_xlfn.UNIQUE(_xlfn._xlws.FILTER(SrcDB[ID],SrcDB[Dodavatel_ICO]=$K381)))</f>
        <v>3</v>
      </c>
      <c r="AK381" s="3">
        <f t="shared" si="360"/>
        <v>0</v>
      </c>
      <c r="AL381" s="3">
        <f t="shared" si="361"/>
        <v>0</v>
      </c>
      <c r="AM381" s="17" t="str">
        <f>IF(SrcDB[[#This Row],[Pocet zmluv objednavatela]]&gt;3,SrcDB[[#This Row],[Objednavatel]],"Ostatné")</f>
        <v>Slovenský plynárenský priemysel, a.s.</v>
      </c>
      <c r="AN381" s="17" t="str">
        <f>IF(SrcDB[[#This Row],[Pocet zmluv dodavatela]]&gt;3,SrcDB[[#This Row],[Dodavatel]],"Ostatné")</f>
        <v>Ostatné</v>
      </c>
    </row>
    <row r="382" spans="1:40" x14ac:dyDescent="0.3">
      <c r="A382" s="2" t="s">
        <v>573</v>
      </c>
      <c r="B382" s="2">
        <v>5700048</v>
      </c>
      <c r="C382" s="3" t="str">
        <f t="shared" si="352"/>
        <v>Nejasné</v>
      </c>
      <c r="D382" s="3" t="str">
        <f t="shared" si="353"/>
        <v>Nejasné</v>
      </c>
      <c r="E382" s="3" t="s">
        <v>49</v>
      </c>
      <c r="F382" s="3" t="s">
        <v>49</v>
      </c>
      <c r="G382" s="2" t="str">
        <f t="shared" si="354"/>
        <v>Malé zmluvy</v>
      </c>
      <c r="H382" s="5">
        <v>35815256</v>
      </c>
      <c r="I382" s="2" t="s">
        <v>574</v>
      </c>
      <c r="J382" s="2" t="s">
        <v>575</v>
      </c>
      <c r="K382" s="5">
        <v>31589898</v>
      </c>
      <c r="L382" s="2" t="s">
        <v>576</v>
      </c>
      <c r="M382" s="2" t="s">
        <v>577</v>
      </c>
      <c r="N382" s="6">
        <v>44308</v>
      </c>
      <c r="O382" s="4">
        <v>611770</v>
      </c>
      <c r="P382" s="2">
        <v>114499</v>
      </c>
      <c r="Q382" s="2" t="s">
        <v>578</v>
      </c>
      <c r="R382" s="2" t="s">
        <v>579</v>
      </c>
      <c r="S382" s="2" t="s">
        <v>98</v>
      </c>
      <c r="T382" s="2" t="s">
        <v>581</v>
      </c>
      <c r="W382" s="4">
        <v>580</v>
      </c>
      <c r="X382" s="4">
        <v>696</v>
      </c>
      <c r="Y382" s="4">
        <f t="shared" ref="Y382" si="421">INDEX(InternalRates,MATCH($S382,InternalRates01,FALSE),2)</f>
        <v>278.98333333333335</v>
      </c>
      <c r="Z382" s="3" t="str">
        <f t="shared" si="407"/>
        <v>Nie</v>
      </c>
      <c r="AA382" s="3" t="str">
        <f t="shared" si="408"/>
        <v>SLA+ZoD</v>
      </c>
      <c r="AD382" s="3" t="s">
        <v>48</v>
      </c>
      <c r="AE382" s="6">
        <v>44420</v>
      </c>
      <c r="AF382" s="3" t="s">
        <v>59</v>
      </c>
      <c r="AG382" s="3" t="s">
        <v>60</v>
      </c>
      <c r="AH382" s="3">
        <f>YEAR(SrcDB[[#This Row],[Datum_zverejnenia]])</f>
        <v>2021</v>
      </c>
      <c r="AI382" s="3" cm="1">
        <f t="array" ref="AI382">COUNT(_xlfn.UNIQUE(_xlfn._xlws.FILTER(SrcDB[ID],SrcDB[Objednavatel_ICO]=$H382)))</f>
        <v>6</v>
      </c>
      <c r="AJ382" s="3" cm="1">
        <f t="array" ref="AJ382">COUNT(_xlfn.UNIQUE(_xlfn._xlws.FILTER(SrcDB[ID],SrcDB[Dodavatel_ICO]=$K382)))</f>
        <v>3</v>
      </c>
      <c r="AK382" s="3">
        <f t="shared" si="360"/>
        <v>0</v>
      </c>
      <c r="AL382" s="3">
        <f t="shared" si="361"/>
        <v>0</v>
      </c>
      <c r="AM382" s="17" t="str">
        <f>IF(SrcDB[[#This Row],[Pocet zmluv objednavatela]]&gt;3,SrcDB[[#This Row],[Objednavatel]],"Ostatné")</f>
        <v>Slovenský plynárenský priemysel, a.s.</v>
      </c>
      <c r="AN382" s="17" t="str">
        <f>IF(SrcDB[[#This Row],[Pocet zmluv dodavatela]]&gt;3,SrcDB[[#This Row],[Dodavatel]],"Ostatné")</f>
        <v>Ostatné</v>
      </c>
    </row>
    <row r="383" spans="1:40" x14ac:dyDescent="0.3">
      <c r="A383" s="2" t="s">
        <v>573</v>
      </c>
      <c r="B383" s="2">
        <v>5700048</v>
      </c>
      <c r="C383" s="3" t="str">
        <f t="shared" si="352"/>
        <v>Nejasné</v>
      </c>
      <c r="D383" s="3" t="str">
        <f t="shared" si="353"/>
        <v>Nejasné</v>
      </c>
      <c r="E383" s="3" t="s">
        <v>49</v>
      </c>
      <c r="F383" s="3" t="s">
        <v>49</v>
      </c>
      <c r="G383" s="2" t="str">
        <f t="shared" si="354"/>
        <v>Malé zmluvy</v>
      </c>
      <c r="H383" s="5">
        <v>35815256</v>
      </c>
      <c r="I383" s="2" t="s">
        <v>574</v>
      </c>
      <c r="J383" s="2" t="s">
        <v>575</v>
      </c>
      <c r="K383" s="5">
        <v>31589898</v>
      </c>
      <c r="L383" s="2" t="s">
        <v>576</v>
      </c>
      <c r="M383" s="2" t="s">
        <v>577</v>
      </c>
      <c r="N383" s="6">
        <v>44308</v>
      </c>
      <c r="O383" s="4">
        <v>611770</v>
      </c>
      <c r="P383" s="2">
        <v>114499</v>
      </c>
      <c r="Q383" s="2" t="s">
        <v>578</v>
      </c>
      <c r="R383" s="2" t="s">
        <v>579</v>
      </c>
      <c r="S383" s="2" t="s">
        <v>123</v>
      </c>
      <c r="T383" s="2" t="s">
        <v>582</v>
      </c>
      <c r="V383" s="2" t="s">
        <v>583</v>
      </c>
      <c r="W383" s="4">
        <v>500</v>
      </c>
      <c r="X383" s="4">
        <v>600</v>
      </c>
      <c r="Y383" s="4">
        <f t="shared" ref="Y383" si="422">INDEX(InternalRates,MATCH($S383,InternalRates01,FALSE),2)</f>
        <v>231.85833333333335</v>
      </c>
      <c r="Z383" s="3" t="str">
        <f t="shared" si="407"/>
        <v>Nie</v>
      </c>
      <c r="AA383" s="3" t="str">
        <f t="shared" si="408"/>
        <v>SLA+ZoD</v>
      </c>
      <c r="AD383" s="3" t="s">
        <v>48</v>
      </c>
      <c r="AE383" s="6">
        <v>44420</v>
      </c>
      <c r="AF383" s="3" t="s">
        <v>59</v>
      </c>
      <c r="AG383" s="3" t="s">
        <v>60</v>
      </c>
      <c r="AH383" s="3">
        <f>YEAR(SrcDB[[#This Row],[Datum_zverejnenia]])</f>
        <v>2021</v>
      </c>
      <c r="AI383" s="3" cm="1">
        <f t="array" ref="AI383">COUNT(_xlfn.UNIQUE(_xlfn._xlws.FILTER(SrcDB[ID],SrcDB[Objednavatel_ICO]=$H383)))</f>
        <v>6</v>
      </c>
      <c r="AJ383" s="3" cm="1">
        <f t="array" ref="AJ383">COUNT(_xlfn.UNIQUE(_xlfn._xlws.FILTER(SrcDB[ID],SrcDB[Dodavatel_ICO]=$K383)))</f>
        <v>3</v>
      </c>
      <c r="AK383" s="3">
        <f t="shared" si="360"/>
        <v>0</v>
      </c>
      <c r="AL383" s="3">
        <f t="shared" si="361"/>
        <v>0</v>
      </c>
      <c r="AM383" s="17" t="str">
        <f>IF(SrcDB[[#This Row],[Pocet zmluv objednavatela]]&gt;3,SrcDB[[#This Row],[Objednavatel]],"Ostatné")</f>
        <v>Slovenský plynárenský priemysel, a.s.</v>
      </c>
      <c r="AN383" s="17" t="str">
        <f>IF(SrcDB[[#This Row],[Pocet zmluv dodavatela]]&gt;3,SrcDB[[#This Row],[Dodavatel]],"Ostatné")</f>
        <v>Ostatné</v>
      </c>
    </row>
    <row r="384" spans="1:40" x14ac:dyDescent="0.3">
      <c r="A384" s="2" t="s">
        <v>573</v>
      </c>
      <c r="B384" s="2">
        <v>5700048</v>
      </c>
      <c r="C384" s="3" t="str">
        <f t="shared" si="352"/>
        <v>Nejasné</v>
      </c>
      <c r="D384" s="3" t="str">
        <f t="shared" si="353"/>
        <v>Nejasné</v>
      </c>
      <c r="E384" s="3" t="s">
        <v>49</v>
      </c>
      <c r="F384" s="3" t="s">
        <v>49</v>
      </c>
      <c r="G384" s="2" t="str">
        <f t="shared" si="354"/>
        <v>Malé zmluvy</v>
      </c>
      <c r="H384" s="5">
        <v>35815256</v>
      </c>
      <c r="I384" s="2" t="s">
        <v>574</v>
      </c>
      <c r="J384" s="2" t="s">
        <v>575</v>
      </c>
      <c r="K384" s="5">
        <v>31589898</v>
      </c>
      <c r="L384" s="2" t="s">
        <v>576</v>
      </c>
      <c r="M384" s="2" t="s">
        <v>577</v>
      </c>
      <c r="N384" s="6">
        <v>44308.509432870371</v>
      </c>
      <c r="O384" s="4">
        <v>611770</v>
      </c>
      <c r="P384" s="2">
        <v>114499</v>
      </c>
      <c r="Q384" s="2" t="s">
        <v>578</v>
      </c>
      <c r="R384" s="2" t="s">
        <v>579</v>
      </c>
      <c r="S384" s="2" t="s">
        <v>69</v>
      </c>
      <c r="T384" s="2" t="s">
        <v>584</v>
      </c>
      <c r="W384" s="4">
        <v>650</v>
      </c>
      <c r="X384" s="4">
        <v>780</v>
      </c>
      <c r="Y384" s="4">
        <f t="shared" ref="Y384" si="423">INDEX(InternalRates,MATCH($S384,InternalRates01,FALSE),2)</f>
        <v>278.98333333333335</v>
      </c>
      <c r="Z384" s="3" t="str">
        <f t="shared" si="407"/>
        <v>Nie</v>
      </c>
      <c r="AA384" s="3" t="str">
        <f t="shared" si="408"/>
        <v>SLA+ZoD</v>
      </c>
      <c r="AD384" s="3" t="s">
        <v>48</v>
      </c>
      <c r="AE384" s="6">
        <v>44420</v>
      </c>
      <c r="AF384" s="3" t="s">
        <v>59</v>
      </c>
      <c r="AG384" s="3" t="s">
        <v>60</v>
      </c>
      <c r="AH384" s="3">
        <f>YEAR(SrcDB[[#This Row],[Datum_zverejnenia]])</f>
        <v>2021</v>
      </c>
      <c r="AI384" s="3" cm="1">
        <f t="array" ref="AI384">COUNT(_xlfn.UNIQUE(_xlfn._xlws.FILTER(SrcDB[ID],SrcDB[Objednavatel_ICO]=$H384)))</f>
        <v>6</v>
      </c>
      <c r="AJ384" s="3" cm="1">
        <f t="array" ref="AJ384">COUNT(_xlfn.UNIQUE(_xlfn._xlws.FILTER(SrcDB[ID],SrcDB[Dodavatel_ICO]=$K384)))</f>
        <v>3</v>
      </c>
      <c r="AK384" s="3">
        <f t="shared" si="360"/>
        <v>0</v>
      </c>
      <c r="AL384" s="3">
        <f t="shared" si="361"/>
        <v>0</v>
      </c>
      <c r="AM384" s="17" t="str">
        <f>IF(SrcDB[[#This Row],[Pocet zmluv objednavatela]]&gt;3,SrcDB[[#This Row],[Objednavatel]],"Ostatné")</f>
        <v>Slovenský plynárenský priemysel, a.s.</v>
      </c>
      <c r="AN384" s="17" t="str">
        <f>IF(SrcDB[[#This Row],[Pocet zmluv dodavatela]]&gt;3,SrcDB[[#This Row],[Dodavatel]],"Ostatné")</f>
        <v>Ostatné</v>
      </c>
    </row>
    <row r="385" spans="1:40" x14ac:dyDescent="0.3">
      <c r="A385" s="2" t="s">
        <v>573</v>
      </c>
      <c r="B385" s="2">
        <v>5700048</v>
      </c>
      <c r="C385" s="3" t="str">
        <f t="shared" si="352"/>
        <v>Nejasné</v>
      </c>
      <c r="D385" s="3" t="str">
        <f t="shared" si="353"/>
        <v>Nejasné</v>
      </c>
      <c r="E385" s="3" t="s">
        <v>49</v>
      </c>
      <c r="F385" s="3" t="s">
        <v>49</v>
      </c>
      <c r="G385" s="2" t="str">
        <f t="shared" si="354"/>
        <v>Malé zmluvy</v>
      </c>
      <c r="H385" s="5">
        <v>35815256</v>
      </c>
      <c r="I385" s="2" t="s">
        <v>574</v>
      </c>
      <c r="J385" s="2" t="s">
        <v>575</v>
      </c>
      <c r="K385" s="5">
        <v>31589898</v>
      </c>
      <c r="L385" s="2" t="s">
        <v>576</v>
      </c>
      <c r="M385" s="2" t="s">
        <v>577</v>
      </c>
      <c r="N385" s="6">
        <v>44308.509432870371</v>
      </c>
      <c r="O385" s="4">
        <v>611770</v>
      </c>
      <c r="P385" s="2">
        <v>114499</v>
      </c>
      <c r="Q385" s="2" t="s">
        <v>578</v>
      </c>
      <c r="R385" s="2" t="s">
        <v>579</v>
      </c>
      <c r="S385" s="2" t="s">
        <v>56</v>
      </c>
      <c r="T385" s="2" t="s">
        <v>585</v>
      </c>
      <c r="U385" s="2" t="s">
        <v>129</v>
      </c>
      <c r="W385" s="4">
        <v>580</v>
      </c>
      <c r="X385" s="4">
        <v>696</v>
      </c>
      <c r="Y385" s="4">
        <f t="shared" ref="Y385" si="424">INDEX(InternalRates,MATCH($S385,InternalRates01,FALSE),2)</f>
        <v>278.98333333333335</v>
      </c>
      <c r="Z385" s="3" t="str">
        <f t="shared" si="407"/>
        <v>Nie</v>
      </c>
      <c r="AA385" s="3" t="str">
        <f t="shared" si="408"/>
        <v>SLA+ZoD</v>
      </c>
      <c r="AD385" s="3" t="s">
        <v>48</v>
      </c>
      <c r="AE385" s="6">
        <v>44420</v>
      </c>
      <c r="AF385" s="3" t="s">
        <v>59</v>
      </c>
      <c r="AG385" s="3" t="s">
        <v>60</v>
      </c>
      <c r="AH385" s="3">
        <f>YEAR(SrcDB[[#This Row],[Datum_zverejnenia]])</f>
        <v>2021</v>
      </c>
      <c r="AI385" s="3" cm="1">
        <f t="array" ref="AI385">COUNT(_xlfn.UNIQUE(_xlfn._xlws.FILTER(SrcDB[ID],SrcDB[Objednavatel_ICO]=$H385)))</f>
        <v>6</v>
      </c>
      <c r="AJ385" s="3" cm="1">
        <f t="array" ref="AJ385">COUNT(_xlfn.UNIQUE(_xlfn._xlws.FILTER(SrcDB[ID],SrcDB[Dodavatel_ICO]=$K385)))</f>
        <v>3</v>
      </c>
      <c r="AK385" s="3">
        <f t="shared" si="360"/>
        <v>0</v>
      </c>
      <c r="AL385" s="3">
        <f t="shared" si="361"/>
        <v>0</v>
      </c>
      <c r="AM385" s="17" t="str">
        <f>IF(SrcDB[[#This Row],[Pocet zmluv objednavatela]]&gt;3,SrcDB[[#This Row],[Objednavatel]],"Ostatné")</f>
        <v>Slovenský plynárenský priemysel, a.s.</v>
      </c>
      <c r="AN385" s="17" t="str">
        <f>IF(SrcDB[[#This Row],[Pocet zmluv dodavatela]]&gt;3,SrcDB[[#This Row],[Dodavatel]],"Ostatné")</f>
        <v>Ostatné</v>
      </c>
    </row>
    <row r="386" spans="1:40" x14ac:dyDescent="0.3">
      <c r="A386" s="2" t="s">
        <v>334</v>
      </c>
      <c r="B386" s="2">
        <v>5725550</v>
      </c>
      <c r="C386" s="3" t="str">
        <f t="shared" ref="C386:C449" si="425">IF(OR(NOT(ISERROR(FIND("O DIEL",UPPER($A386)))),NOT(ISERROR(FIND("O IMPLEM",UPPER($A386)))))=TRUE,"Áno",IF(OR(NOT(ISERROR(FIND("PODPOR",UPPER($A386)))),NOT(ISERROR(FIND("SLA",UPPER($A386)))),NOT(ISERROR(FIND("SERVIS",UPPER($A386)))))=TRUE,"Nie","Nejasné"))</f>
        <v>Áno</v>
      </c>
      <c r="D386" s="3" t="str">
        <f t="shared" ref="D386:D449" si="426">IF(OR(NOT(ISERROR(FIND("PODPOR",UPPER($A386)))),NOT(ISERROR(FIND("SLA",UPPER($A386)))),NOT(ISERROR(FIND("SERVIS",UPPER($A386)))))=TRUE,"Áno",IF(OR(NOT(ISERROR(FIND("O DIEL",UPPER($A386)))),NOT(ISERROR(FIND("O IMPLEM",UPPER($A386)))))=TRUE,"Nie","Nejasné"))</f>
        <v>Nie</v>
      </c>
      <c r="E386" s="3" t="s">
        <v>49</v>
      </c>
      <c r="F386" s="3" t="s">
        <v>48</v>
      </c>
      <c r="G386" s="2" t="str">
        <f t="shared" ref="G386:G449" si="427">IF($O386&gt;=8000000,"Veľké zmluvy",IF($O386&gt;=1000000,"Stredné zmluvy","Malé zmluvy"))</f>
        <v>Malé zmluvy</v>
      </c>
      <c r="H386" s="5" t="s">
        <v>335</v>
      </c>
      <c r="I386" s="2" t="s">
        <v>336</v>
      </c>
      <c r="J386" s="2" t="s">
        <v>586</v>
      </c>
      <c r="K386" s="5">
        <v>45390053</v>
      </c>
      <c r="L386" s="2" t="s">
        <v>587</v>
      </c>
      <c r="M386" s="2" t="s">
        <v>588</v>
      </c>
      <c r="N386" s="6">
        <v>44320</v>
      </c>
      <c r="O386" s="4">
        <v>539760</v>
      </c>
      <c r="P386" s="2">
        <v>114497</v>
      </c>
      <c r="Q386" s="2" t="s">
        <v>589</v>
      </c>
      <c r="R386" s="2" t="s">
        <v>590</v>
      </c>
      <c r="S386" s="2" t="s">
        <v>77</v>
      </c>
      <c r="T386" s="2" t="s">
        <v>92</v>
      </c>
      <c r="W386" s="4">
        <v>420</v>
      </c>
      <c r="X386" s="4">
        <v>504</v>
      </c>
      <c r="Y386" s="4">
        <f t="shared" ref="Y386" si="428">INDEX(InternalRates,MATCH($S386,InternalRates01,FALSE),2)</f>
        <v>278.98333333333335</v>
      </c>
      <c r="Z386" s="3" t="str">
        <f t="shared" si="407"/>
        <v>Nie</v>
      </c>
      <c r="AA386" s="3" t="str">
        <f t="shared" si="408"/>
        <v>ZoD</v>
      </c>
      <c r="AB386" s="4">
        <v>180</v>
      </c>
      <c r="AD386" s="3" t="s">
        <v>48</v>
      </c>
      <c r="AE386" s="6">
        <v>44420</v>
      </c>
      <c r="AF386" s="3" t="s">
        <v>59</v>
      </c>
      <c r="AG386" s="3" t="s">
        <v>60</v>
      </c>
      <c r="AH386" s="3">
        <f>YEAR(SrcDB[[#This Row],[Datum_zverejnenia]])</f>
        <v>2021</v>
      </c>
      <c r="AI386" s="3" cm="1">
        <f t="array" ref="AI386">COUNT(_xlfn.UNIQUE(_xlfn._xlws.FILTER(SrcDB[ID],SrcDB[Objednavatel_ICO]=$H386)))</f>
        <v>2</v>
      </c>
      <c r="AJ386" s="3" cm="1">
        <f t="array" ref="AJ386">COUNT(_xlfn.UNIQUE(_xlfn._xlws.FILTER(SrcDB[ID],SrcDB[Dodavatel_ICO]=$K386)))</f>
        <v>1</v>
      </c>
      <c r="AK386" s="3">
        <f t="shared" si="360"/>
        <v>1</v>
      </c>
      <c r="AL386" s="3">
        <f t="shared" si="361"/>
        <v>1</v>
      </c>
      <c r="AM386" s="17" t="str">
        <f>IF(SrcDB[[#This Row],[Pocet zmluv objednavatela]]&gt;3,SrcDB[[#This Row],[Objednavatel]],"Ostatné")</f>
        <v>Ostatné</v>
      </c>
      <c r="AN386" s="17" t="str">
        <f>IF(SrcDB[[#This Row],[Pocet zmluv dodavatela]]&gt;3,SrcDB[[#This Row],[Dodavatel]],"Ostatné")</f>
        <v>Ostatné</v>
      </c>
    </row>
    <row r="387" spans="1:40" x14ac:dyDescent="0.3">
      <c r="A387" s="2" t="s">
        <v>334</v>
      </c>
      <c r="B387" s="2">
        <v>5725550</v>
      </c>
      <c r="C387" s="3" t="str">
        <f t="shared" si="425"/>
        <v>Áno</v>
      </c>
      <c r="D387" s="3" t="str">
        <f t="shared" si="426"/>
        <v>Nie</v>
      </c>
      <c r="E387" s="3" t="s">
        <v>49</v>
      </c>
      <c r="F387" s="3" t="s">
        <v>48</v>
      </c>
      <c r="G387" s="2" t="str">
        <f t="shared" si="427"/>
        <v>Malé zmluvy</v>
      </c>
      <c r="H387" s="5" t="s">
        <v>335</v>
      </c>
      <c r="I387" s="2" t="s">
        <v>336</v>
      </c>
      <c r="J387" s="2" t="s">
        <v>586</v>
      </c>
      <c r="K387" s="5">
        <v>45390053</v>
      </c>
      <c r="L387" s="2" t="s">
        <v>587</v>
      </c>
      <c r="M387" s="2" t="s">
        <v>588</v>
      </c>
      <c r="N387" s="6">
        <v>44320</v>
      </c>
      <c r="O387" s="4">
        <v>539760</v>
      </c>
      <c r="P387" s="2">
        <v>114497</v>
      </c>
      <c r="Q387" s="2" t="s">
        <v>589</v>
      </c>
      <c r="R387" s="2" t="s">
        <v>590</v>
      </c>
      <c r="S387" s="2" t="s">
        <v>79</v>
      </c>
      <c r="T387" s="2" t="s">
        <v>93</v>
      </c>
      <c r="W387" s="4">
        <v>320</v>
      </c>
      <c r="X387" s="4">
        <v>384</v>
      </c>
      <c r="Y387" s="4">
        <f t="shared" ref="Y387" si="429">INDEX(InternalRates,MATCH($S387,InternalRates01,FALSE),2)</f>
        <v>278.98333333333335</v>
      </c>
      <c r="Z387" s="3" t="str">
        <f t="shared" si="407"/>
        <v>Nie</v>
      </c>
      <c r="AA387" s="3" t="str">
        <f t="shared" si="408"/>
        <v>ZoD</v>
      </c>
      <c r="AB387" s="4">
        <v>38</v>
      </c>
      <c r="AD387" s="3" t="s">
        <v>48</v>
      </c>
      <c r="AE387" s="6">
        <v>44420</v>
      </c>
      <c r="AF387" s="3" t="s">
        <v>59</v>
      </c>
      <c r="AG387" s="3" t="s">
        <v>60</v>
      </c>
      <c r="AH387" s="3">
        <f>YEAR(SrcDB[[#This Row],[Datum_zverejnenia]])</f>
        <v>2021</v>
      </c>
      <c r="AI387" s="3" cm="1">
        <f t="array" ref="AI387">COUNT(_xlfn.UNIQUE(_xlfn._xlws.FILTER(SrcDB[ID],SrcDB[Objednavatel_ICO]=$H387)))</f>
        <v>2</v>
      </c>
      <c r="AJ387" s="3" cm="1">
        <f t="array" ref="AJ387">COUNT(_xlfn.UNIQUE(_xlfn._xlws.FILTER(SrcDB[ID],SrcDB[Dodavatel_ICO]=$K387)))</f>
        <v>1</v>
      </c>
      <c r="AK387" s="3">
        <f t="shared" si="360"/>
        <v>0</v>
      </c>
      <c r="AL387" s="3">
        <f t="shared" si="361"/>
        <v>0</v>
      </c>
      <c r="AM387" s="17" t="str">
        <f>IF(SrcDB[[#This Row],[Pocet zmluv objednavatela]]&gt;3,SrcDB[[#This Row],[Objednavatel]],"Ostatné")</f>
        <v>Ostatné</v>
      </c>
      <c r="AN387" s="17" t="str">
        <f>IF(SrcDB[[#This Row],[Pocet zmluv dodavatela]]&gt;3,SrcDB[[#This Row],[Dodavatel]],"Ostatné")</f>
        <v>Ostatné</v>
      </c>
    </row>
    <row r="388" spans="1:40" x14ac:dyDescent="0.3">
      <c r="A388" s="2" t="s">
        <v>334</v>
      </c>
      <c r="B388" s="2">
        <v>5725550</v>
      </c>
      <c r="C388" s="3" t="str">
        <f t="shared" si="425"/>
        <v>Áno</v>
      </c>
      <c r="D388" s="3" t="str">
        <f t="shared" si="426"/>
        <v>Nie</v>
      </c>
      <c r="E388" s="3" t="s">
        <v>49</v>
      </c>
      <c r="F388" s="3" t="s">
        <v>48</v>
      </c>
      <c r="G388" s="2" t="str">
        <f t="shared" si="427"/>
        <v>Malé zmluvy</v>
      </c>
      <c r="H388" s="5" t="s">
        <v>335</v>
      </c>
      <c r="I388" s="2" t="s">
        <v>336</v>
      </c>
      <c r="J388" s="2" t="s">
        <v>586</v>
      </c>
      <c r="K388" s="5">
        <v>45390053</v>
      </c>
      <c r="L388" s="2" t="s">
        <v>587</v>
      </c>
      <c r="M388" s="2" t="s">
        <v>588</v>
      </c>
      <c r="N388" s="6">
        <v>44320</v>
      </c>
      <c r="O388" s="4">
        <v>539760</v>
      </c>
      <c r="P388" s="2">
        <v>114497</v>
      </c>
      <c r="Q388" s="2" t="s">
        <v>589</v>
      </c>
      <c r="R388" s="2" t="s">
        <v>590</v>
      </c>
      <c r="S388" s="2" t="s">
        <v>56</v>
      </c>
      <c r="T388" s="2" t="s">
        <v>591</v>
      </c>
      <c r="U388" s="2" t="s">
        <v>449</v>
      </c>
      <c r="W388" s="4">
        <v>440</v>
      </c>
      <c r="X388" s="4">
        <v>528</v>
      </c>
      <c r="Y388" s="4">
        <f t="shared" ref="Y388" si="430">INDEX(InternalRates,MATCH($S388,InternalRates01,FALSE),2)</f>
        <v>278.98333333333335</v>
      </c>
      <c r="Z388" s="3" t="str">
        <f t="shared" si="407"/>
        <v>Nie</v>
      </c>
      <c r="AA388" s="3" t="str">
        <f t="shared" si="408"/>
        <v>ZoD</v>
      </c>
      <c r="AB388" s="4">
        <v>12</v>
      </c>
      <c r="AD388" s="3" t="s">
        <v>48</v>
      </c>
      <c r="AE388" s="6">
        <v>44420</v>
      </c>
      <c r="AF388" s="3" t="s">
        <v>59</v>
      </c>
      <c r="AG388" s="3" t="s">
        <v>60</v>
      </c>
      <c r="AH388" s="3">
        <f>YEAR(SrcDB[[#This Row],[Datum_zverejnenia]])</f>
        <v>2021</v>
      </c>
      <c r="AI388" s="3" cm="1">
        <f t="array" ref="AI388">COUNT(_xlfn.UNIQUE(_xlfn._xlws.FILTER(SrcDB[ID],SrcDB[Objednavatel_ICO]=$H388)))</f>
        <v>2</v>
      </c>
      <c r="AJ388" s="3" cm="1">
        <f t="array" ref="AJ388">COUNT(_xlfn.UNIQUE(_xlfn._xlws.FILTER(SrcDB[ID],SrcDB[Dodavatel_ICO]=$K388)))</f>
        <v>1</v>
      </c>
      <c r="AK388" s="3">
        <f t="shared" ref="AK388:AK451" si="431">IF($H387&lt;&gt;$H388,1,IF($B387&lt;&gt;$B388,1,0))</f>
        <v>0</v>
      </c>
      <c r="AL388" s="3">
        <f t="shared" ref="AL388:AL451" si="432">IF($K387&lt;&gt;$K388,1,IF($B387&lt;&gt;$B388,1,0))</f>
        <v>0</v>
      </c>
      <c r="AM388" s="17" t="str">
        <f>IF(SrcDB[[#This Row],[Pocet zmluv objednavatela]]&gt;3,SrcDB[[#This Row],[Objednavatel]],"Ostatné")</f>
        <v>Ostatné</v>
      </c>
      <c r="AN388" s="17" t="str">
        <f>IF(SrcDB[[#This Row],[Pocet zmluv dodavatela]]&gt;3,SrcDB[[#This Row],[Dodavatel]],"Ostatné")</f>
        <v>Ostatné</v>
      </c>
    </row>
    <row r="389" spans="1:40" x14ac:dyDescent="0.3">
      <c r="A389" s="2" t="s">
        <v>334</v>
      </c>
      <c r="B389" s="2">
        <v>5725550</v>
      </c>
      <c r="C389" s="3" t="str">
        <f t="shared" si="425"/>
        <v>Áno</v>
      </c>
      <c r="D389" s="3" t="str">
        <f t="shared" si="426"/>
        <v>Nie</v>
      </c>
      <c r="E389" s="3" t="s">
        <v>49</v>
      </c>
      <c r="F389" s="3" t="s">
        <v>48</v>
      </c>
      <c r="G389" s="2" t="str">
        <f t="shared" si="427"/>
        <v>Malé zmluvy</v>
      </c>
      <c r="H389" s="5" t="s">
        <v>335</v>
      </c>
      <c r="I389" s="2" t="s">
        <v>336</v>
      </c>
      <c r="J389" s="2" t="s">
        <v>586</v>
      </c>
      <c r="K389" s="5">
        <v>45390053</v>
      </c>
      <c r="L389" s="2" t="s">
        <v>587</v>
      </c>
      <c r="M389" s="2" t="s">
        <v>588</v>
      </c>
      <c r="N389" s="6">
        <v>44320</v>
      </c>
      <c r="O389" s="4">
        <v>539760</v>
      </c>
      <c r="P389" s="2">
        <v>114497</v>
      </c>
      <c r="Q389" s="2" t="s">
        <v>589</v>
      </c>
      <c r="R389" s="2" t="s">
        <v>590</v>
      </c>
      <c r="S389" s="2" t="s">
        <v>56</v>
      </c>
      <c r="T389" s="2" t="s">
        <v>94</v>
      </c>
      <c r="U389" s="2" t="s">
        <v>95</v>
      </c>
      <c r="W389" s="4">
        <v>440</v>
      </c>
      <c r="X389" s="4">
        <v>528</v>
      </c>
      <c r="Y389" s="4">
        <f t="shared" ref="Y389" si="433">INDEX(InternalRates,MATCH($S389,InternalRates01,FALSE),2)</f>
        <v>278.98333333333335</v>
      </c>
      <c r="Z389" s="3" t="str">
        <f t="shared" si="407"/>
        <v>Nie</v>
      </c>
      <c r="AA389" s="3" t="str">
        <f t="shared" si="408"/>
        <v>ZoD</v>
      </c>
      <c r="AB389" s="4">
        <v>20</v>
      </c>
      <c r="AD389" s="3" t="s">
        <v>48</v>
      </c>
      <c r="AE389" s="6">
        <v>44420</v>
      </c>
      <c r="AF389" s="3" t="s">
        <v>59</v>
      </c>
      <c r="AG389" s="3" t="s">
        <v>60</v>
      </c>
      <c r="AH389" s="3">
        <f>YEAR(SrcDB[[#This Row],[Datum_zverejnenia]])</f>
        <v>2021</v>
      </c>
      <c r="AI389" s="3" cm="1">
        <f t="array" ref="AI389">COUNT(_xlfn.UNIQUE(_xlfn._xlws.FILTER(SrcDB[ID],SrcDB[Objednavatel_ICO]=$H389)))</f>
        <v>2</v>
      </c>
      <c r="AJ389" s="3" cm="1">
        <f t="array" ref="AJ389">COUNT(_xlfn.UNIQUE(_xlfn._xlws.FILTER(SrcDB[ID],SrcDB[Dodavatel_ICO]=$K389)))</f>
        <v>1</v>
      </c>
      <c r="AK389" s="3">
        <f t="shared" si="431"/>
        <v>0</v>
      </c>
      <c r="AL389" s="3">
        <f t="shared" si="432"/>
        <v>0</v>
      </c>
      <c r="AM389" s="17" t="str">
        <f>IF(SrcDB[[#This Row],[Pocet zmluv objednavatela]]&gt;3,SrcDB[[#This Row],[Objednavatel]],"Ostatné")</f>
        <v>Ostatné</v>
      </c>
      <c r="AN389" s="17" t="str">
        <f>IF(SrcDB[[#This Row],[Pocet zmluv dodavatela]]&gt;3,SrcDB[[#This Row],[Dodavatel]],"Ostatné")</f>
        <v>Ostatné</v>
      </c>
    </row>
    <row r="390" spans="1:40" x14ac:dyDescent="0.3">
      <c r="A390" s="2" t="s">
        <v>334</v>
      </c>
      <c r="B390" s="2">
        <v>5725550</v>
      </c>
      <c r="C390" s="3" t="str">
        <f t="shared" si="425"/>
        <v>Áno</v>
      </c>
      <c r="D390" s="3" t="str">
        <f t="shared" si="426"/>
        <v>Nie</v>
      </c>
      <c r="E390" s="3" t="s">
        <v>49</v>
      </c>
      <c r="F390" s="3" t="s">
        <v>48</v>
      </c>
      <c r="G390" s="2" t="str">
        <f t="shared" si="427"/>
        <v>Malé zmluvy</v>
      </c>
      <c r="H390" s="5" t="s">
        <v>335</v>
      </c>
      <c r="I390" s="2" t="s">
        <v>336</v>
      </c>
      <c r="J390" s="2" t="s">
        <v>586</v>
      </c>
      <c r="K390" s="5">
        <v>45390053</v>
      </c>
      <c r="L390" s="2" t="s">
        <v>587</v>
      </c>
      <c r="M390" s="2" t="s">
        <v>588</v>
      </c>
      <c r="N390" s="6">
        <v>44320</v>
      </c>
      <c r="O390" s="4">
        <v>539760</v>
      </c>
      <c r="P390" s="2">
        <v>114497</v>
      </c>
      <c r="Q390" s="2" t="s">
        <v>589</v>
      </c>
      <c r="R390" s="2" t="s">
        <v>590</v>
      </c>
      <c r="S390" s="2" t="s">
        <v>56</v>
      </c>
      <c r="T390" s="2" t="s">
        <v>592</v>
      </c>
      <c r="U390" s="2" t="s">
        <v>97</v>
      </c>
      <c r="W390" s="4">
        <v>400</v>
      </c>
      <c r="X390" s="4">
        <v>480</v>
      </c>
      <c r="Y390" s="4">
        <f t="shared" ref="Y390" si="434">INDEX(InternalRates,MATCH($S390,InternalRates01,FALSE),2)</f>
        <v>278.98333333333335</v>
      </c>
      <c r="Z390" s="3" t="str">
        <f t="shared" si="407"/>
        <v>Nie</v>
      </c>
      <c r="AA390" s="3" t="str">
        <f t="shared" si="408"/>
        <v>ZoD</v>
      </c>
      <c r="AB390" s="4">
        <v>2</v>
      </c>
      <c r="AD390" s="3" t="s">
        <v>48</v>
      </c>
      <c r="AE390" s="6">
        <v>44420</v>
      </c>
      <c r="AF390" s="3" t="s">
        <v>59</v>
      </c>
      <c r="AG390" s="3" t="s">
        <v>60</v>
      </c>
      <c r="AH390" s="3">
        <f>YEAR(SrcDB[[#This Row],[Datum_zverejnenia]])</f>
        <v>2021</v>
      </c>
      <c r="AI390" s="3" cm="1">
        <f t="array" ref="AI390">COUNT(_xlfn.UNIQUE(_xlfn._xlws.FILTER(SrcDB[ID],SrcDB[Objednavatel_ICO]=$H390)))</f>
        <v>2</v>
      </c>
      <c r="AJ390" s="3" cm="1">
        <f t="array" ref="AJ390">COUNT(_xlfn.UNIQUE(_xlfn._xlws.FILTER(SrcDB[ID],SrcDB[Dodavatel_ICO]=$K390)))</f>
        <v>1</v>
      </c>
      <c r="AK390" s="3">
        <f t="shared" si="431"/>
        <v>0</v>
      </c>
      <c r="AL390" s="3">
        <f t="shared" si="432"/>
        <v>0</v>
      </c>
      <c r="AM390" s="17" t="str">
        <f>IF(SrcDB[[#This Row],[Pocet zmluv objednavatela]]&gt;3,SrcDB[[#This Row],[Objednavatel]],"Ostatné")</f>
        <v>Ostatné</v>
      </c>
      <c r="AN390" s="17" t="str">
        <f>IF(SrcDB[[#This Row],[Pocet zmluv dodavatela]]&gt;3,SrcDB[[#This Row],[Dodavatel]],"Ostatné")</f>
        <v>Ostatné</v>
      </c>
    </row>
    <row r="391" spans="1:40" x14ac:dyDescent="0.3">
      <c r="A391" s="2" t="s">
        <v>334</v>
      </c>
      <c r="B391" s="2">
        <v>5725550</v>
      </c>
      <c r="C391" s="3" t="str">
        <f t="shared" si="425"/>
        <v>Áno</v>
      </c>
      <c r="D391" s="3" t="str">
        <f t="shared" si="426"/>
        <v>Nie</v>
      </c>
      <c r="E391" s="3" t="s">
        <v>49</v>
      </c>
      <c r="F391" s="3" t="s">
        <v>48</v>
      </c>
      <c r="G391" s="2" t="str">
        <f t="shared" si="427"/>
        <v>Malé zmluvy</v>
      </c>
      <c r="H391" s="5" t="s">
        <v>335</v>
      </c>
      <c r="I391" s="2" t="s">
        <v>336</v>
      </c>
      <c r="J391" s="2" t="s">
        <v>586</v>
      </c>
      <c r="K391" s="5">
        <v>45390053</v>
      </c>
      <c r="L391" s="2" t="s">
        <v>587</v>
      </c>
      <c r="M391" s="2" t="s">
        <v>588</v>
      </c>
      <c r="N391" s="6">
        <v>44320</v>
      </c>
      <c r="O391" s="4">
        <v>539760</v>
      </c>
      <c r="P391" s="2">
        <v>114497</v>
      </c>
      <c r="Q391" s="2" t="s">
        <v>589</v>
      </c>
      <c r="R391" s="2" t="s">
        <v>590</v>
      </c>
      <c r="S391" s="2" t="s">
        <v>56</v>
      </c>
      <c r="T391" s="2" t="s">
        <v>593</v>
      </c>
      <c r="U391" s="2" t="s">
        <v>289</v>
      </c>
      <c r="W391" s="4">
        <v>440</v>
      </c>
      <c r="X391" s="4">
        <v>528</v>
      </c>
      <c r="Y391" s="4">
        <f t="shared" ref="Y391" si="435">INDEX(InternalRates,MATCH($S391,InternalRates01,FALSE),2)</f>
        <v>278.98333333333335</v>
      </c>
      <c r="Z391" s="3" t="str">
        <f t="shared" si="407"/>
        <v>Nie</v>
      </c>
      <c r="AA391" s="3" t="str">
        <f t="shared" si="408"/>
        <v>ZoD</v>
      </c>
      <c r="AB391" s="4">
        <v>50</v>
      </c>
      <c r="AD391" s="3" t="s">
        <v>48</v>
      </c>
      <c r="AE391" s="6">
        <v>44420</v>
      </c>
      <c r="AF391" s="3" t="s">
        <v>59</v>
      </c>
      <c r="AG391" s="3" t="s">
        <v>60</v>
      </c>
      <c r="AH391" s="3">
        <f>YEAR(SrcDB[[#This Row],[Datum_zverejnenia]])</f>
        <v>2021</v>
      </c>
      <c r="AI391" s="3" cm="1">
        <f t="array" ref="AI391">COUNT(_xlfn.UNIQUE(_xlfn._xlws.FILTER(SrcDB[ID],SrcDB[Objednavatel_ICO]=$H391)))</f>
        <v>2</v>
      </c>
      <c r="AJ391" s="3" cm="1">
        <f t="array" ref="AJ391">COUNT(_xlfn.UNIQUE(_xlfn._xlws.FILTER(SrcDB[ID],SrcDB[Dodavatel_ICO]=$K391)))</f>
        <v>1</v>
      </c>
      <c r="AK391" s="3">
        <f t="shared" si="431"/>
        <v>0</v>
      </c>
      <c r="AL391" s="3">
        <f t="shared" si="432"/>
        <v>0</v>
      </c>
      <c r="AM391" s="17" t="str">
        <f>IF(SrcDB[[#This Row],[Pocet zmluv objednavatela]]&gt;3,SrcDB[[#This Row],[Objednavatel]],"Ostatné")</f>
        <v>Ostatné</v>
      </c>
      <c r="AN391" s="17" t="str">
        <f>IF(SrcDB[[#This Row],[Pocet zmluv dodavatela]]&gt;3,SrcDB[[#This Row],[Dodavatel]],"Ostatné")</f>
        <v>Ostatné</v>
      </c>
    </row>
    <row r="392" spans="1:40" x14ac:dyDescent="0.3">
      <c r="A392" s="2" t="s">
        <v>334</v>
      </c>
      <c r="B392" s="2">
        <v>5725550</v>
      </c>
      <c r="C392" s="3" t="str">
        <f t="shared" si="425"/>
        <v>Áno</v>
      </c>
      <c r="D392" s="3" t="str">
        <f t="shared" si="426"/>
        <v>Nie</v>
      </c>
      <c r="E392" s="3" t="s">
        <v>49</v>
      </c>
      <c r="F392" s="3" t="s">
        <v>48</v>
      </c>
      <c r="G392" s="2" t="str">
        <f t="shared" si="427"/>
        <v>Malé zmluvy</v>
      </c>
      <c r="H392" s="5" t="s">
        <v>335</v>
      </c>
      <c r="I392" s="2" t="s">
        <v>336</v>
      </c>
      <c r="J392" s="2" t="s">
        <v>586</v>
      </c>
      <c r="K392" s="5">
        <v>45390053</v>
      </c>
      <c r="L392" s="2" t="s">
        <v>587</v>
      </c>
      <c r="M392" s="2" t="s">
        <v>588</v>
      </c>
      <c r="N392" s="6">
        <v>44320.786238425928</v>
      </c>
      <c r="O392" s="4">
        <v>539760</v>
      </c>
      <c r="P392" s="2">
        <v>114497</v>
      </c>
      <c r="Q392" s="2" t="s">
        <v>589</v>
      </c>
      <c r="R392" s="2" t="s">
        <v>590</v>
      </c>
      <c r="S392" s="2" t="s">
        <v>73</v>
      </c>
      <c r="T392" s="2" t="s">
        <v>90</v>
      </c>
      <c r="W392" s="4">
        <v>440</v>
      </c>
      <c r="X392" s="4">
        <v>528</v>
      </c>
      <c r="Y392" s="4">
        <f t="shared" ref="Y392" si="436">INDEX(InternalRates,MATCH($S392,InternalRates01,FALSE),2)</f>
        <v>278.98333333333335</v>
      </c>
      <c r="Z392" s="3" t="str">
        <f t="shared" si="407"/>
        <v>Nie</v>
      </c>
      <c r="AA392" s="3" t="str">
        <f t="shared" si="408"/>
        <v>ZoD</v>
      </c>
      <c r="AB392" s="4">
        <v>90</v>
      </c>
      <c r="AD392" s="3" t="s">
        <v>48</v>
      </c>
      <c r="AE392" s="6">
        <v>44420</v>
      </c>
      <c r="AF392" s="3" t="s">
        <v>59</v>
      </c>
      <c r="AG392" s="3" t="s">
        <v>60</v>
      </c>
      <c r="AH392" s="3">
        <f>YEAR(SrcDB[[#This Row],[Datum_zverejnenia]])</f>
        <v>2021</v>
      </c>
      <c r="AI392" s="3" cm="1">
        <f t="array" ref="AI392">COUNT(_xlfn.UNIQUE(_xlfn._xlws.FILTER(SrcDB[ID],SrcDB[Objednavatel_ICO]=$H392)))</f>
        <v>2</v>
      </c>
      <c r="AJ392" s="3" cm="1">
        <f t="array" ref="AJ392">COUNT(_xlfn.UNIQUE(_xlfn._xlws.FILTER(SrcDB[ID],SrcDB[Dodavatel_ICO]=$K392)))</f>
        <v>1</v>
      </c>
      <c r="AK392" s="3">
        <f t="shared" si="431"/>
        <v>0</v>
      </c>
      <c r="AL392" s="3">
        <f t="shared" si="432"/>
        <v>0</v>
      </c>
      <c r="AM392" s="17" t="str">
        <f>IF(SrcDB[[#This Row],[Pocet zmluv objednavatela]]&gt;3,SrcDB[[#This Row],[Objednavatel]],"Ostatné")</f>
        <v>Ostatné</v>
      </c>
      <c r="AN392" s="17" t="str">
        <f>IF(SrcDB[[#This Row],[Pocet zmluv dodavatela]]&gt;3,SrcDB[[#This Row],[Dodavatel]],"Ostatné")</f>
        <v>Ostatné</v>
      </c>
    </row>
    <row r="393" spans="1:40" x14ac:dyDescent="0.3">
      <c r="A393" s="2" t="s">
        <v>334</v>
      </c>
      <c r="B393" s="2">
        <v>5725550</v>
      </c>
      <c r="C393" s="3" t="str">
        <f t="shared" si="425"/>
        <v>Áno</v>
      </c>
      <c r="D393" s="3" t="str">
        <f t="shared" si="426"/>
        <v>Nie</v>
      </c>
      <c r="E393" s="3" t="s">
        <v>49</v>
      </c>
      <c r="F393" s="3" t="s">
        <v>48</v>
      </c>
      <c r="G393" s="2" t="str">
        <f t="shared" si="427"/>
        <v>Malé zmluvy</v>
      </c>
      <c r="H393" s="5" t="s">
        <v>335</v>
      </c>
      <c r="I393" s="2" t="s">
        <v>336</v>
      </c>
      <c r="J393" s="2" t="s">
        <v>586</v>
      </c>
      <c r="K393" s="5">
        <v>45390053</v>
      </c>
      <c r="L393" s="2" t="s">
        <v>587</v>
      </c>
      <c r="M393" s="2" t="s">
        <v>588</v>
      </c>
      <c r="N393" s="6">
        <v>44320.786238425928</v>
      </c>
      <c r="O393" s="4">
        <v>539760</v>
      </c>
      <c r="P393" s="2">
        <v>114497</v>
      </c>
      <c r="Q393" s="2" t="s">
        <v>589</v>
      </c>
      <c r="R393" s="2" t="s">
        <v>590</v>
      </c>
      <c r="S393" s="2" t="s">
        <v>71</v>
      </c>
      <c r="T393" s="2" t="s">
        <v>196</v>
      </c>
      <c r="W393" s="4">
        <v>440</v>
      </c>
      <c r="X393" s="4">
        <v>528</v>
      </c>
      <c r="Y393" s="4">
        <f t="shared" ref="Y393" si="437">INDEX(InternalRates,MATCH($S393,InternalRates01,FALSE),2)</f>
        <v>354.0333333333333</v>
      </c>
      <c r="Z393" s="3" t="str">
        <f t="shared" si="407"/>
        <v>Nie</v>
      </c>
      <c r="AA393" s="3" t="str">
        <f t="shared" si="408"/>
        <v>ZoD</v>
      </c>
      <c r="AB393" s="4">
        <v>32</v>
      </c>
      <c r="AD393" s="3" t="s">
        <v>48</v>
      </c>
      <c r="AE393" s="6">
        <v>44420</v>
      </c>
      <c r="AF393" s="3" t="s">
        <v>59</v>
      </c>
      <c r="AG393" s="3" t="s">
        <v>60</v>
      </c>
      <c r="AH393" s="3">
        <f>YEAR(SrcDB[[#This Row],[Datum_zverejnenia]])</f>
        <v>2021</v>
      </c>
      <c r="AI393" s="3" cm="1">
        <f t="array" ref="AI393">COUNT(_xlfn.UNIQUE(_xlfn._xlws.FILTER(SrcDB[ID],SrcDB[Objednavatel_ICO]=$H393)))</f>
        <v>2</v>
      </c>
      <c r="AJ393" s="3" cm="1">
        <f t="array" ref="AJ393">COUNT(_xlfn.UNIQUE(_xlfn._xlws.FILTER(SrcDB[ID],SrcDB[Dodavatel_ICO]=$K393)))</f>
        <v>1</v>
      </c>
      <c r="AK393" s="3">
        <f t="shared" si="431"/>
        <v>0</v>
      </c>
      <c r="AL393" s="3">
        <f t="shared" si="432"/>
        <v>0</v>
      </c>
      <c r="AM393" s="17" t="str">
        <f>IF(SrcDB[[#This Row],[Pocet zmluv objednavatela]]&gt;3,SrcDB[[#This Row],[Objednavatel]],"Ostatné")</f>
        <v>Ostatné</v>
      </c>
      <c r="AN393" s="17" t="str">
        <f>IF(SrcDB[[#This Row],[Pocet zmluv dodavatela]]&gt;3,SrcDB[[#This Row],[Dodavatel]],"Ostatné")</f>
        <v>Ostatné</v>
      </c>
    </row>
    <row r="394" spans="1:40" x14ac:dyDescent="0.3">
      <c r="A394" s="2" t="s">
        <v>594</v>
      </c>
      <c r="B394" s="2">
        <v>5733583</v>
      </c>
      <c r="C394" s="3" t="str">
        <f t="shared" si="425"/>
        <v>Áno</v>
      </c>
      <c r="D394" s="3" t="str">
        <f t="shared" si="426"/>
        <v>Nie</v>
      </c>
      <c r="E394" s="3" t="s">
        <v>49</v>
      </c>
      <c r="F394" s="3" t="s">
        <v>48</v>
      </c>
      <c r="G394" s="2" t="str">
        <f t="shared" si="427"/>
        <v>Stredné zmluvy</v>
      </c>
      <c r="H394" s="5">
        <v>30807484</v>
      </c>
      <c r="I394" s="2" t="s">
        <v>50</v>
      </c>
      <c r="J394" s="2" t="s">
        <v>51</v>
      </c>
      <c r="K394" s="5">
        <v>35743468</v>
      </c>
      <c r="L394" s="2" t="s">
        <v>356</v>
      </c>
      <c r="M394" s="2" t="s">
        <v>595</v>
      </c>
      <c r="N394" s="6">
        <v>44326.38386574074</v>
      </c>
      <c r="O394" s="4">
        <v>1587960</v>
      </c>
      <c r="P394" s="2">
        <v>114493</v>
      </c>
      <c r="Q394" s="2" t="s">
        <v>596</v>
      </c>
      <c r="R394" s="2" t="s">
        <v>597</v>
      </c>
      <c r="S394" s="2" t="s">
        <v>183</v>
      </c>
      <c r="T394" s="2" t="s">
        <v>598</v>
      </c>
      <c r="W394" s="4">
        <v>500</v>
      </c>
      <c r="X394" s="4">
        <v>600</v>
      </c>
      <c r="Y394" s="4">
        <f t="shared" ref="Y394" si="438">INDEX(InternalRates,MATCH($S394,InternalRates01,FALSE),2)</f>
        <v>278.98333333333335</v>
      </c>
      <c r="Z394" s="3" t="str">
        <f t="shared" si="407"/>
        <v>Nie</v>
      </c>
      <c r="AA394" s="3" t="str">
        <f t="shared" si="408"/>
        <v>ZoD</v>
      </c>
      <c r="AB394" s="4">
        <v>400</v>
      </c>
      <c r="AD394" s="3" t="s">
        <v>48</v>
      </c>
      <c r="AE394" s="6">
        <v>44413</v>
      </c>
      <c r="AF394" s="3" t="s">
        <v>59</v>
      </c>
      <c r="AG394" s="3" t="s">
        <v>60</v>
      </c>
      <c r="AH394" s="3">
        <f>YEAR(SrcDB[[#This Row],[Datum_zverejnenia]])</f>
        <v>2021</v>
      </c>
      <c r="AI394" s="3" cm="1">
        <f t="array" ref="AI394">COUNT(_xlfn.UNIQUE(_xlfn._xlws.FILTER(SrcDB[ID],SrcDB[Objednavatel_ICO]=$H394)))</f>
        <v>14</v>
      </c>
      <c r="AJ394" s="3" cm="1">
        <f t="array" ref="AJ394">COUNT(_xlfn.UNIQUE(_xlfn._xlws.FILTER(SrcDB[ID],SrcDB[Dodavatel_ICO]=$K394)))</f>
        <v>6</v>
      </c>
      <c r="AK394" s="3">
        <f t="shared" si="431"/>
        <v>1</v>
      </c>
      <c r="AL394" s="3">
        <f t="shared" si="432"/>
        <v>1</v>
      </c>
      <c r="AM394" s="17" t="str">
        <f>IF(SrcDB[[#This Row],[Pocet zmluv objednavatela]]&gt;3,SrcDB[[#This Row],[Objednavatel]],"Ostatné")</f>
        <v>Sociálna poisťovňa, ústredie</v>
      </c>
      <c r="AN394" s="17" t="str">
        <f>IF(SrcDB[[#This Row],[Pocet zmluv dodavatela]]&gt;3,SrcDB[[#This Row],[Dodavatel]],"Ostatné")</f>
        <v>Gratex International, a.s.</v>
      </c>
    </row>
    <row r="395" spans="1:40" x14ac:dyDescent="0.3">
      <c r="A395" s="2" t="s">
        <v>594</v>
      </c>
      <c r="B395" s="2">
        <v>5733583</v>
      </c>
      <c r="C395" s="3" t="str">
        <f t="shared" si="425"/>
        <v>Áno</v>
      </c>
      <c r="D395" s="3" t="str">
        <f t="shared" si="426"/>
        <v>Nie</v>
      </c>
      <c r="E395" s="3" t="s">
        <v>49</v>
      </c>
      <c r="F395" s="3" t="s">
        <v>48</v>
      </c>
      <c r="G395" s="2" t="str">
        <f t="shared" si="427"/>
        <v>Stredné zmluvy</v>
      </c>
      <c r="H395" s="5">
        <v>30807484</v>
      </c>
      <c r="I395" s="2" t="s">
        <v>50</v>
      </c>
      <c r="J395" s="2" t="s">
        <v>51</v>
      </c>
      <c r="K395" s="5">
        <v>35743468</v>
      </c>
      <c r="L395" s="2" t="s">
        <v>356</v>
      </c>
      <c r="M395" s="2" t="s">
        <v>595</v>
      </c>
      <c r="N395" s="6">
        <v>44326.38386574074</v>
      </c>
      <c r="O395" s="4">
        <v>1587960</v>
      </c>
      <c r="P395" s="2">
        <v>114493</v>
      </c>
      <c r="Q395" s="2" t="s">
        <v>596</v>
      </c>
      <c r="R395" s="2" t="s">
        <v>597</v>
      </c>
      <c r="S395" s="2" t="s">
        <v>183</v>
      </c>
      <c r="T395" s="2" t="s">
        <v>599</v>
      </c>
      <c r="W395" s="4">
        <v>475</v>
      </c>
      <c r="X395" s="4">
        <v>570</v>
      </c>
      <c r="Y395" s="4">
        <f t="shared" ref="Y395" si="439">INDEX(InternalRates,MATCH($S395,InternalRates01,FALSE),2)</f>
        <v>278.98333333333335</v>
      </c>
      <c r="Z395" s="3" t="str">
        <f t="shared" si="407"/>
        <v>Nie</v>
      </c>
      <c r="AA395" s="3" t="str">
        <f t="shared" si="408"/>
        <v>ZoD</v>
      </c>
      <c r="AB395" s="4">
        <v>256</v>
      </c>
      <c r="AD395" s="3" t="s">
        <v>48</v>
      </c>
      <c r="AE395" s="6">
        <v>44413</v>
      </c>
      <c r="AF395" s="3" t="s">
        <v>59</v>
      </c>
      <c r="AG395" s="3" t="s">
        <v>60</v>
      </c>
      <c r="AH395" s="3">
        <f>YEAR(SrcDB[[#This Row],[Datum_zverejnenia]])</f>
        <v>2021</v>
      </c>
      <c r="AI395" s="3" cm="1">
        <f t="array" ref="AI395">COUNT(_xlfn.UNIQUE(_xlfn._xlws.FILTER(SrcDB[ID],SrcDB[Objednavatel_ICO]=$H395)))</f>
        <v>14</v>
      </c>
      <c r="AJ395" s="3" cm="1">
        <f t="array" ref="AJ395">COUNT(_xlfn.UNIQUE(_xlfn._xlws.FILTER(SrcDB[ID],SrcDB[Dodavatel_ICO]=$K395)))</f>
        <v>6</v>
      </c>
      <c r="AK395" s="3">
        <f t="shared" si="431"/>
        <v>0</v>
      </c>
      <c r="AL395" s="3">
        <f t="shared" si="432"/>
        <v>0</v>
      </c>
      <c r="AM395" s="17" t="str">
        <f>IF(SrcDB[[#This Row],[Pocet zmluv objednavatela]]&gt;3,SrcDB[[#This Row],[Objednavatel]],"Ostatné")</f>
        <v>Sociálna poisťovňa, ústredie</v>
      </c>
      <c r="AN395" s="17" t="str">
        <f>IF(SrcDB[[#This Row],[Pocet zmluv dodavatela]]&gt;3,SrcDB[[#This Row],[Dodavatel]],"Ostatné")</f>
        <v>Gratex International, a.s.</v>
      </c>
    </row>
    <row r="396" spans="1:40" x14ac:dyDescent="0.3">
      <c r="A396" s="2" t="s">
        <v>594</v>
      </c>
      <c r="B396" s="2">
        <v>5733583</v>
      </c>
      <c r="C396" s="3" t="str">
        <f t="shared" si="425"/>
        <v>Áno</v>
      </c>
      <c r="D396" s="3" t="str">
        <f t="shared" si="426"/>
        <v>Nie</v>
      </c>
      <c r="E396" s="3" t="s">
        <v>49</v>
      </c>
      <c r="F396" s="3" t="s">
        <v>48</v>
      </c>
      <c r="G396" s="2" t="str">
        <f t="shared" si="427"/>
        <v>Stredné zmluvy</v>
      </c>
      <c r="H396" s="5">
        <v>30807484</v>
      </c>
      <c r="I396" s="2" t="s">
        <v>50</v>
      </c>
      <c r="J396" s="2" t="s">
        <v>51</v>
      </c>
      <c r="K396" s="5">
        <v>35743468</v>
      </c>
      <c r="L396" s="2" t="s">
        <v>356</v>
      </c>
      <c r="M396" s="2" t="s">
        <v>595</v>
      </c>
      <c r="N396" s="6">
        <v>44326.38386574074</v>
      </c>
      <c r="O396" s="4">
        <v>1587960</v>
      </c>
      <c r="P396" s="2">
        <v>114493</v>
      </c>
      <c r="Q396" s="2" t="s">
        <v>596</v>
      </c>
      <c r="R396" s="2" t="s">
        <v>597</v>
      </c>
      <c r="S396" s="2" t="s">
        <v>183</v>
      </c>
      <c r="T396" s="2" t="s">
        <v>600</v>
      </c>
      <c r="W396" s="4">
        <v>475</v>
      </c>
      <c r="X396" s="4">
        <v>570</v>
      </c>
      <c r="Y396" s="4">
        <f t="shared" ref="Y396" si="440">INDEX(InternalRates,MATCH($S396,InternalRates01,FALSE),2)</f>
        <v>278.98333333333335</v>
      </c>
      <c r="Z396" s="3" t="str">
        <f t="shared" si="407"/>
        <v>Nie</v>
      </c>
      <c r="AA396" s="3" t="str">
        <f t="shared" si="408"/>
        <v>ZoD</v>
      </c>
      <c r="AB396" s="4">
        <v>398</v>
      </c>
      <c r="AD396" s="3" t="s">
        <v>48</v>
      </c>
      <c r="AE396" s="6">
        <v>44413</v>
      </c>
      <c r="AF396" s="3" t="s">
        <v>59</v>
      </c>
      <c r="AG396" s="3" t="s">
        <v>60</v>
      </c>
      <c r="AH396" s="3">
        <f>YEAR(SrcDB[[#This Row],[Datum_zverejnenia]])</f>
        <v>2021</v>
      </c>
      <c r="AI396" s="3" cm="1">
        <f t="array" ref="AI396">COUNT(_xlfn.UNIQUE(_xlfn._xlws.FILTER(SrcDB[ID],SrcDB[Objednavatel_ICO]=$H396)))</f>
        <v>14</v>
      </c>
      <c r="AJ396" s="3" cm="1">
        <f t="array" ref="AJ396">COUNT(_xlfn.UNIQUE(_xlfn._xlws.FILTER(SrcDB[ID],SrcDB[Dodavatel_ICO]=$K396)))</f>
        <v>6</v>
      </c>
      <c r="AK396" s="3">
        <f t="shared" si="431"/>
        <v>0</v>
      </c>
      <c r="AL396" s="3">
        <f t="shared" si="432"/>
        <v>0</v>
      </c>
      <c r="AM396" s="17" t="str">
        <f>IF(SrcDB[[#This Row],[Pocet zmluv objednavatela]]&gt;3,SrcDB[[#This Row],[Objednavatel]],"Ostatné")</f>
        <v>Sociálna poisťovňa, ústredie</v>
      </c>
      <c r="AN396" s="17" t="str">
        <f>IF(SrcDB[[#This Row],[Pocet zmluv dodavatela]]&gt;3,SrcDB[[#This Row],[Dodavatel]],"Ostatné")</f>
        <v>Gratex International, a.s.</v>
      </c>
    </row>
    <row r="397" spans="1:40" x14ac:dyDescent="0.3">
      <c r="A397" s="2" t="s">
        <v>594</v>
      </c>
      <c r="B397" s="2">
        <v>5733583</v>
      </c>
      <c r="C397" s="3" t="str">
        <f t="shared" si="425"/>
        <v>Áno</v>
      </c>
      <c r="D397" s="3" t="str">
        <f t="shared" si="426"/>
        <v>Nie</v>
      </c>
      <c r="E397" s="3" t="s">
        <v>49</v>
      </c>
      <c r="F397" s="3" t="s">
        <v>48</v>
      </c>
      <c r="G397" s="2" t="str">
        <f t="shared" si="427"/>
        <v>Stredné zmluvy</v>
      </c>
      <c r="H397" s="5">
        <v>30807484</v>
      </c>
      <c r="I397" s="2" t="s">
        <v>50</v>
      </c>
      <c r="J397" s="2" t="s">
        <v>51</v>
      </c>
      <c r="K397" s="5">
        <v>35743468</v>
      </c>
      <c r="L397" s="2" t="s">
        <v>356</v>
      </c>
      <c r="M397" s="2" t="s">
        <v>595</v>
      </c>
      <c r="N397" s="6">
        <v>44326.38386574074</v>
      </c>
      <c r="O397" s="4">
        <v>1587960</v>
      </c>
      <c r="P397" s="2">
        <v>114493</v>
      </c>
      <c r="Q397" s="2" t="s">
        <v>596</v>
      </c>
      <c r="R397" s="2" t="s">
        <v>597</v>
      </c>
      <c r="S397" s="2" t="s">
        <v>183</v>
      </c>
      <c r="T397" s="2" t="s">
        <v>601</v>
      </c>
      <c r="W397" s="4">
        <v>475</v>
      </c>
      <c r="X397" s="4">
        <v>570</v>
      </c>
      <c r="Y397" s="4">
        <f t="shared" ref="Y397" si="441">INDEX(InternalRates,MATCH($S397,InternalRates01,FALSE),2)</f>
        <v>278.98333333333335</v>
      </c>
      <c r="Z397" s="3" t="str">
        <f t="shared" si="407"/>
        <v>Nie</v>
      </c>
      <c r="AA397" s="3" t="str">
        <f t="shared" si="408"/>
        <v>ZoD</v>
      </c>
      <c r="AB397" s="4">
        <v>274</v>
      </c>
      <c r="AD397" s="3" t="s">
        <v>48</v>
      </c>
      <c r="AE397" s="6">
        <v>44413</v>
      </c>
      <c r="AF397" s="3" t="s">
        <v>59</v>
      </c>
      <c r="AG397" s="3" t="s">
        <v>60</v>
      </c>
      <c r="AH397" s="3">
        <f>YEAR(SrcDB[[#This Row],[Datum_zverejnenia]])</f>
        <v>2021</v>
      </c>
      <c r="AI397" s="3" cm="1">
        <f t="array" ref="AI397">COUNT(_xlfn.UNIQUE(_xlfn._xlws.FILTER(SrcDB[ID],SrcDB[Objednavatel_ICO]=$H397)))</f>
        <v>14</v>
      </c>
      <c r="AJ397" s="3" cm="1">
        <f t="array" ref="AJ397">COUNT(_xlfn.UNIQUE(_xlfn._xlws.FILTER(SrcDB[ID],SrcDB[Dodavatel_ICO]=$K397)))</f>
        <v>6</v>
      </c>
      <c r="AK397" s="3">
        <f t="shared" si="431"/>
        <v>0</v>
      </c>
      <c r="AL397" s="3">
        <f t="shared" si="432"/>
        <v>0</v>
      </c>
      <c r="AM397" s="17" t="str">
        <f>IF(SrcDB[[#This Row],[Pocet zmluv objednavatela]]&gt;3,SrcDB[[#This Row],[Objednavatel]],"Ostatné")</f>
        <v>Sociálna poisťovňa, ústredie</v>
      </c>
      <c r="AN397" s="17" t="str">
        <f>IF(SrcDB[[#This Row],[Pocet zmluv dodavatela]]&gt;3,SrcDB[[#This Row],[Dodavatel]],"Ostatné")</f>
        <v>Gratex International, a.s.</v>
      </c>
    </row>
    <row r="398" spans="1:40" x14ac:dyDescent="0.3">
      <c r="A398" s="2" t="s">
        <v>602</v>
      </c>
      <c r="B398" s="2">
        <v>5733991</v>
      </c>
      <c r="C398" s="3" t="str">
        <f t="shared" si="425"/>
        <v>Áno</v>
      </c>
      <c r="D398" s="3" t="str">
        <f t="shared" si="426"/>
        <v>Nie</v>
      </c>
      <c r="E398" s="3" t="s">
        <v>49</v>
      </c>
      <c r="F398" s="3" t="s">
        <v>48</v>
      </c>
      <c r="G398" s="2" t="str">
        <f t="shared" si="427"/>
        <v>Stredné zmluvy</v>
      </c>
      <c r="H398" s="5">
        <v>50349287</v>
      </c>
      <c r="I398" s="2" t="s">
        <v>200</v>
      </c>
      <c r="J398" s="2" t="s">
        <v>603</v>
      </c>
      <c r="K398" s="5">
        <v>35785306</v>
      </c>
      <c r="L398" s="2" t="s">
        <v>118</v>
      </c>
      <c r="M398" s="2" t="s">
        <v>604</v>
      </c>
      <c r="N398" s="6">
        <v>44326.550185185188</v>
      </c>
      <c r="O398" s="4">
        <v>7965530</v>
      </c>
      <c r="P398" s="2">
        <v>2473554</v>
      </c>
      <c r="Q398" s="2" t="s">
        <v>605</v>
      </c>
      <c r="R398" s="2" t="s">
        <v>606</v>
      </c>
      <c r="S398" s="2" t="s">
        <v>71</v>
      </c>
      <c r="T398" s="2" t="s">
        <v>196</v>
      </c>
      <c r="W398" s="4">
        <v>910</v>
      </c>
      <c r="X398" s="4">
        <v>1092</v>
      </c>
      <c r="Y398" s="4">
        <f t="shared" ref="Y398" si="442">INDEX(InternalRates,MATCH($S398,InternalRates01,FALSE),2)</f>
        <v>354.0333333333333</v>
      </c>
      <c r="Z398" s="3" t="str">
        <f t="shared" si="407"/>
        <v>Nie</v>
      </c>
      <c r="AA398" s="3" t="str">
        <f t="shared" si="408"/>
        <v>ZoD</v>
      </c>
      <c r="AD398" s="3" t="s">
        <v>607</v>
      </c>
      <c r="AE398" s="6">
        <v>44413</v>
      </c>
      <c r="AF398" s="3" t="s">
        <v>59</v>
      </c>
      <c r="AG398" s="3" t="s">
        <v>49</v>
      </c>
      <c r="AH398" s="3">
        <f>YEAR(SrcDB[[#This Row],[Datum_zverejnenia]])</f>
        <v>2021</v>
      </c>
      <c r="AI398" s="3" cm="1">
        <f t="array" ref="AI398">COUNT(_xlfn.UNIQUE(_xlfn._xlws.FILTER(SrcDB[ID],SrcDB[Objednavatel_ICO]=$H398)))</f>
        <v>7</v>
      </c>
      <c r="AJ398" s="3" cm="1">
        <f t="array" ref="AJ398">COUNT(_xlfn.UNIQUE(_xlfn._xlws.FILTER(SrcDB[ID],SrcDB[Dodavatel_ICO]=$K398)))</f>
        <v>9</v>
      </c>
      <c r="AK398" s="3">
        <f t="shared" si="431"/>
        <v>1</v>
      </c>
      <c r="AL398" s="3">
        <f t="shared" si="432"/>
        <v>1</v>
      </c>
      <c r="AM398" s="17" t="str">
        <f>IF(SrcDB[[#This Row],[Pocet zmluv objednavatela]]&gt;3,SrcDB[[#This Row],[Objednavatel]],"Ostatné")</f>
        <v>Ministerstvo investícií, regionálneho rozvoja a informatizácie Slovenskej republiky</v>
      </c>
      <c r="AN398" s="17" t="str">
        <f>IF(SrcDB[[#This Row],[Pocet zmluv dodavatela]]&gt;3,SrcDB[[#This Row],[Dodavatel]],"Ostatné")</f>
        <v>DXC Technology Slovakia s.r.o.</v>
      </c>
    </row>
    <row r="399" spans="1:40" x14ac:dyDescent="0.3">
      <c r="A399" s="2" t="s">
        <v>602</v>
      </c>
      <c r="B399" s="2">
        <v>5733991</v>
      </c>
      <c r="C399" s="3" t="str">
        <f t="shared" si="425"/>
        <v>Áno</v>
      </c>
      <c r="D399" s="3" t="str">
        <f t="shared" si="426"/>
        <v>Nie</v>
      </c>
      <c r="E399" s="3" t="s">
        <v>49</v>
      </c>
      <c r="F399" s="3" t="s">
        <v>48</v>
      </c>
      <c r="G399" s="2" t="str">
        <f t="shared" si="427"/>
        <v>Stredné zmluvy</v>
      </c>
      <c r="H399" s="5">
        <v>50349287</v>
      </c>
      <c r="I399" s="2" t="s">
        <v>200</v>
      </c>
      <c r="J399" s="2" t="s">
        <v>603</v>
      </c>
      <c r="K399" s="5">
        <v>35785306</v>
      </c>
      <c r="L399" s="2" t="s">
        <v>118</v>
      </c>
      <c r="M399" s="2" t="s">
        <v>604</v>
      </c>
      <c r="N399" s="6">
        <v>44326.550185185188</v>
      </c>
      <c r="O399" s="4">
        <v>7965530</v>
      </c>
      <c r="P399" s="2">
        <v>2473554</v>
      </c>
      <c r="Q399" s="2" t="s">
        <v>605</v>
      </c>
      <c r="R399" s="2" t="s">
        <v>606</v>
      </c>
      <c r="S399" s="2" t="s">
        <v>79</v>
      </c>
      <c r="T399" s="2" t="s">
        <v>93</v>
      </c>
      <c r="W399" s="4">
        <v>570</v>
      </c>
      <c r="X399" s="4">
        <v>684</v>
      </c>
      <c r="Y399" s="4">
        <f t="shared" ref="Y399" si="443">INDEX(InternalRates,MATCH($S399,InternalRates01,FALSE),2)</f>
        <v>278.98333333333335</v>
      </c>
      <c r="Z399" s="3" t="str">
        <f t="shared" si="407"/>
        <v>Nie</v>
      </c>
      <c r="AA399" s="3" t="str">
        <f t="shared" si="408"/>
        <v>ZoD</v>
      </c>
      <c r="AD399" s="3" t="s">
        <v>607</v>
      </c>
      <c r="AE399" s="6">
        <v>44413</v>
      </c>
      <c r="AF399" s="3" t="s">
        <v>59</v>
      </c>
      <c r="AG399" s="3" t="s">
        <v>49</v>
      </c>
      <c r="AH399" s="3">
        <f>YEAR(SrcDB[[#This Row],[Datum_zverejnenia]])</f>
        <v>2021</v>
      </c>
      <c r="AI399" s="3" cm="1">
        <f t="array" ref="AI399">COUNT(_xlfn.UNIQUE(_xlfn._xlws.FILTER(SrcDB[ID],SrcDB[Objednavatel_ICO]=$H399)))</f>
        <v>7</v>
      </c>
      <c r="AJ399" s="3" cm="1">
        <f t="array" ref="AJ399">COUNT(_xlfn.UNIQUE(_xlfn._xlws.FILTER(SrcDB[ID],SrcDB[Dodavatel_ICO]=$K399)))</f>
        <v>9</v>
      </c>
      <c r="AK399" s="3">
        <f t="shared" si="431"/>
        <v>0</v>
      </c>
      <c r="AL399" s="3">
        <f t="shared" si="432"/>
        <v>0</v>
      </c>
      <c r="AM399" s="17" t="str">
        <f>IF(SrcDB[[#This Row],[Pocet zmluv objednavatela]]&gt;3,SrcDB[[#This Row],[Objednavatel]],"Ostatné")</f>
        <v>Ministerstvo investícií, regionálneho rozvoja a informatizácie Slovenskej republiky</v>
      </c>
      <c r="AN399" s="17" t="str">
        <f>IF(SrcDB[[#This Row],[Pocet zmluv dodavatela]]&gt;3,SrcDB[[#This Row],[Dodavatel]],"Ostatné")</f>
        <v>DXC Technology Slovakia s.r.o.</v>
      </c>
    </row>
    <row r="400" spans="1:40" x14ac:dyDescent="0.3">
      <c r="A400" s="2" t="s">
        <v>602</v>
      </c>
      <c r="B400" s="2">
        <v>5733991</v>
      </c>
      <c r="C400" s="3" t="str">
        <f t="shared" si="425"/>
        <v>Áno</v>
      </c>
      <c r="D400" s="3" t="str">
        <f t="shared" si="426"/>
        <v>Nie</v>
      </c>
      <c r="E400" s="3" t="s">
        <v>49</v>
      </c>
      <c r="F400" s="3" t="s">
        <v>48</v>
      </c>
      <c r="G400" s="2" t="str">
        <f t="shared" si="427"/>
        <v>Stredné zmluvy</v>
      </c>
      <c r="H400" s="5">
        <v>50349287</v>
      </c>
      <c r="I400" s="2" t="s">
        <v>200</v>
      </c>
      <c r="J400" s="2" t="s">
        <v>603</v>
      </c>
      <c r="K400" s="5">
        <v>35785306</v>
      </c>
      <c r="L400" s="2" t="s">
        <v>118</v>
      </c>
      <c r="M400" s="2" t="s">
        <v>604</v>
      </c>
      <c r="N400" s="6">
        <v>44326.550185185188</v>
      </c>
      <c r="O400" s="4">
        <v>7965530</v>
      </c>
      <c r="P400" s="2">
        <v>2473554</v>
      </c>
      <c r="Q400" s="2" t="s">
        <v>605</v>
      </c>
      <c r="R400" s="2" t="s">
        <v>606</v>
      </c>
      <c r="S400" s="2" t="s">
        <v>77</v>
      </c>
      <c r="T400" s="2" t="s">
        <v>92</v>
      </c>
      <c r="W400" s="4">
        <v>650</v>
      </c>
      <c r="X400" s="4">
        <v>780</v>
      </c>
      <c r="Y400" s="4">
        <f t="shared" ref="Y400" si="444">INDEX(InternalRates,MATCH($S400,InternalRates01,FALSE),2)</f>
        <v>278.98333333333335</v>
      </c>
      <c r="Z400" s="3" t="str">
        <f t="shared" si="407"/>
        <v>Nie</v>
      </c>
      <c r="AA400" s="3" t="str">
        <f t="shared" si="408"/>
        <v>ZoD</v>
      </c>
      <c r="AD400" s="3" t="s">
        <v>607</v>
      </c>
      <c r="AE400" s="6">
        <v>44413</v>
      </c>
      <c r="AF400" s="3" t="s">
        <v>59</v>
      </c>
      <c r="AG400" s="3" t="s">
        <v>49</v>
      </c>
      <c r="AH400" s="3">
        <f>YEAR(SrcDB[[#This Row],[Datum_zverejnenia]])</f>
        <v>2021</v>
      </c>
      <c r="AI400" s="3" cm="1">
        <f t="array" ref="AI400">COUNT(_xlfn.UNIQUE(_xlfn._xlws.FILTER(SrcDB[ID],SrcDB[Objednavatel_ICO]=$H400)))</f>
        <v>7</v>
      </c>
      <c r="AJ400" s="3" cm="1">
        <f t="array" ref="AJ400">COUNT(_xlfn.UNIQUE(_xlfn._xlws.FILTER(SrcDB[ID],SrcDB[Dodavatel_ICO]=$K400)))</f>
        <v>9</v>
      </c>
      <c r="AK400" s="3">
        <f t="shared" si="431"/>
        <v>0</v>
      </c>
      <c r="AL400" s="3">
        <f t="shared" si="432"/>
        <v>0</v>
      </c>
      <c r="AM400" s="17" t="str">
        <f>IF(SrcDB[[#This Row],[Pocet zmluv objednavatela]]&gt;3,SrcDB[[#This Row],[Objednavatel]],"Ostatné")</f>
        <v>Ministerstvo investícií, regionálneho rozvoja a informatizácie Slovenskej republiky</v>
      </c>
      <c r="AN400" s="17" t="str">
        <f>IF(SrcDB[[#This Row],[Pocet zmluv dodavatela]]&gt;3,SrcDB[[#This Row],[Dodavatel]],"Ostatné")</f>
        <v>DXC Technology Slovakia s.r.o.</v>
      </c>
    </row>
    <row r="401" spans="1:40" x14ac:dyDescent="0.3">
      <c r="A401" s="2" t="s">
        <v>602</v>
      </c>
      <c r="B401" s="2">
        <v>5733991</v>
      </c>
      <c r="C401" s="3" t="str">
        <f t="shared" si="425"/>
        <v>Áno</v>
      </c>
      <c r="D401" s="3" t="str">
        <f t="shared" si="426"/>
        <v>Nie</v>
      </c>
      <c r="E401" s="3" t="s">
        <v>49</v>
      </c>
      <c r="F401" s="3" t="s">
        <v>48</v>
      </c>
      <c r="G401" s="2" t="str">
        <f t="shared" si="427"/>
        <v>Stredné zmluvy</v>
      </c>
      <c r="H401" s="5">
        <v>50349287</v>
      </c>
      <c r="I401" s="2" t="s">
        <v>200</v>
      </c>
      <c r="J401" s="2" t="s">
        <v>603</v>
      </c>
      <c r="K401" s="5">
        <v>35785306</v>
      </c>
      <c r="L401" s="2" t="s">
        <v>118</v>
      </c>
      <c r="M401" s="2" t="s">
        <v>604</v>
      </c>
      <c r="N401" s="6">
        <v>44326.550185185188</v>
      </c>
      <c r="O401" s="4">
        <v>7965530</v>
      </c>
      <c r="P401" s="2">
        <v>2473554</v>
      </c>
      <c r="Q401" s="2" t="s">
        <v>605</v>
      </c>
      <c r="R401" s="2" t="s">
        <v>606</v>
      </c>
      <c r="S401" s="2" t="s">
        <v>69</v>
      </c>
      <c r="T401" s="2" t="s">
        <v>285</v>
      </c>
      <c r="W401" s="4">
        <v>890</v>
      </c>
      <c r="X401" s="4">
        <v>1068</v>
      </c>
      <c r="Y401" s="4">
        <f t="shared" ref="Y401" si="445">INDEX(InternalRates,MATCH($S401,InternalRates01,FALSE),2)</f>
        <v>278.98333333333335</v>
      </c>
      <c r="Z401" s="3" t="str">
        <f t="shared" si="407"/>
        <v>Nie</v>
      </c>
      <c r="AA401" s="3" t="str">
        <f t="shared" si="408"/>
        <v>ZoD</v>
      </c>
      <c r="AD401" s="3" t="s">
        <v>607</v>
      </c>
      <c r="AE401" s="6">
        <v>44413</v>
      </c>
      <c r="AF401" s="3" t="s">
        <v>59</v>
      </c>
      <c r="AG401" s="3" t="s">
        <v>49</v>
      </c>
      <c r="AH401" s="3">
        <f>YEAR(SrcDB[[#This Row],[Datum_zverejnenia]])</f>
        <v>2021</v>
      </c>
      <c r="AI401" s="3" cm="1">
        <f t="array" ref="AI401">COUNT(_xlfn.UNIQUE(_xlfn._xlws.FILTER(SrcDB[ID],SrcDB[Objednavatel_ICO]=$H401)))</f>
        <v>7</v>
      </c>
      <c r="AJ401" s="3" cm="1">
        <f t="array" ref="AJ401">COUNT(_xlfn.UNIQUE(_xlfn._xlws.FILTER(SrcDB[ID],SrcDB[Dodavatel_ICO]=$K401)))</f>
        <v>9</v>
      </c>
      <c r="AK401" s="3">
        <f t="shared" si="431"/>
        <v>0</v>
      </c>
      <c r="AL401" s="3">
        <f t="shared" si="432"/>
        <v>0</v>
      </c>
      <c r="AM401" s="17" t="str">
        <f>IF(SrcDB[[#This Row],[Pocet zmluv objednavatela]]&gt;3,SrcDB[[#This Row],[Objednavatel]],"Ostatné")</f>
        <v>Ministerstvo investícií, regionálneho rozvoja a informatizácie Slovenskej republiky</v>
      </c>
      <c r="AN401" s="17" t="str">
        <f>IF(SrcDB[[#This Row],[Pocet zmluv dodavatela]]&gt;3,SrcDB[[#This Row],[Dodavatel]],"Ostatné")</f>
        <v>DXC Technology Slovakia s.r.o.</v>
      </c>
    </row>
    <row r="402" spans="1:40" x14ac:dyDescent="0.3">
      <c r="A402" s="2" t="s">
        <v>602</v>
      </c>
      <c r="B402" s="2">
        <v>5733991</v>
      </c>
      <c r="C402" s="3" t="str">
        <f t="shared" si="425"/>
        <v>Áno</v>
      </c>
      <c r="D402" s="3" t="str">
        <f t="shared" si="426"/>
        <v>Nie</v>
      </c>
      <c r="E402" s="3" t="s">
        <v>49</v>
      </c>
      <c r="F402" s="3" t="s">
        <v>48</v>
      </c>
      <c r="G402" s="2" t="str">
        <f t="shared" si="427"/>
        <v>Stredné zmluvy</v>
      </c>
      <c r="H402" s="5">
        <v>50349287</v>
      </c>
      <c r="I402" s="2" t="s">
        <v>200</v>
      </c>
      <c r="J402" s="2" t="s">
        <v>603</v>
      </c>
      <c r="K402" s="5">
        <v>35785306</v>
      </c>
      <c r="L402" s="2" t="s">
        <v>118</v>
      </c>
      <c r="M402" s="2" t="s">
        <v>604</v>
      </c>
      <c r="N402" s="6">
        <v>44326.550185185188</v>
      </c>
      <c r="O402" s="4">
        <v>7965530</v>
      </c>
      <c r="P402" s="2">
        <v>2473554</v>
      </c>
      <c r="Q402" s="2" t="s">
        <v>605</v>
      </c>
      <c r="R402" s="2" t="s">
        <v>606</v>
      </c>
      <c r="S402" s="2" t="s">
        <v>73</v>
      </c>
      <c r="T402" s="2" t="s">
        <v>90</v>
      </c>
      <c r="W402" s="4">
        <v>740</v>
      </c>
      <c r="X402" s="4">
        <v>888</v>
      </c>
      <c r="Y402" s="4">
        <f t="shared" ref="Y402" si="446">INDEX(InternalRates,MATCH($S402,InternalRates01,FALSE),2)</f>
        <v>278.98333333333335</v>
      </c>
      <c r="Z402" s="3" t="str">
        <f t="shared" si="407"/>
        <v>Nie</v>
      </c>
      <c r="AA402" s="3" t="str">
        <f t="shared" si="408"/>
        <v>ZoD</v>
      </c>
      <c r="AD402" s="3" t="s">
        <v>607</v>
      </c>
      <c r="AE402" s="6">
        <v>44413</v>
      </c>
      <c r="AF402" s="3" t="s">
        <v>59</v>
      </c>
      <c r="AG402" s="3" t="s">
        <v>49</v>
      </c>
      <c r="AH402" s="3">
        <f>YEAR(SrcDB[[#This Row],[Datum_zverejnenia]])</f>
        <v>2021</v>
      </c>
      <c r="AI402" s="3" cm="1">
        <f t="array" ref="AI402">COUNT(_xlfn.UNIQUE(_xlfn._xlws.FILTER(SrcDB[ID],SrcDB[Objednavatel_ICO]=$H402)))</f>
        <v>7</v>
      </c>
      <c r="AJ402" s="3" cm="1">
        <f t="array" ref="AJ402">COUNT(_xlfn.UNIQUE(_xlfn._xlws.FILTER(SrcDB[ID],SrcDB[Dodavatel_ICO]=$K402)))</f>
        <v>9</v>
      </c>
      <c r="AK402" s="3">
        <f t="shared" si="431"/>
        <v>0</v>
      </c>
      <c r="AL402" s="3">
        <f t="shared" si="432"/>
        <v>0</v>
      </c>
      <c r="AM402" s="17" t="str">
        <f>IF(SrcDB[[#This Row],[Pocet zmluv objednavatela]]&gt;3,SrcDB[[#This Row],[Objednavatel]],"Ostatné")</f>
        <v>Ministerstvo investícií, regionálneho rozvoja a informatizácie Slovenskej republiky</v>
      </c>
      <c r="AN402" s="17" t="str">
        <f>IF(SrcDB[[#This Row],[Pocet zmluv dodavatela]]&gt;3,SrcDB[[#This Row],[Dodavatel]],"Ostatné")</f>
        <v>DXC Technology Slovakia s.r.o.</v>
      </c>
    </row>
    <row r="403" spans="1:40" x14ac:dyDescent="0.3">
      <c r="A403" s="2" t="s">
        <v>602</v>
      </c>
      <c r="B403" s="2">
        <v>5733991</v>
      </c>
      <c r="C403" s="3" t="str">
        <f t="shared" si="425"/>
        <v>Áno</v>
      </c>
      <c r="D403" s="3" t="str">
        <f t="shared" si="426"/>
        <v>Nie</v>
      </c>
      <c r="E403" s="3" t="s">
        <v>49</v>
      </c>
      <c r="F403" s="3" t="s">
        <v>48</v>
      </c>
      <c r="G403" s="2" t="str">
        <f t="shared" si="427"/>
        <v>Stredné zmluvy</v>
      </c>
      <c r="H403" s="5">
        <v>50349287</v>
      </c>
      <c r="I403" s="2" t="s">
        <v>200</v>
      </c>
      <c r="J403" s="2" t="s">
        <v>603</v>
      </c>
      <c r="K403" s="5">
        <v>35785306</v>
      </c>
      <c r="L403" s="2" t="s">
        <v>118</v>
      </c>
      <c r="M403" s="2" t="s">
        <v>604</v>
      </c>
      <c r="N403" s="6">
        <v>44326.550185185188</v>
      </c>
      <c r="O403" s="4">
        <v>7965530</v>
      </c>
      <c r="P403" s="2">
        <v>2473554</v>
      </c>
      <c r="Q403" s="2" t="s">
        <v>605</v>
      </c>
      <c r="R403" s="2" t="s">
        <v>606</v>
      </c>
      <c r="S403" s="2" t="s">
        <v>56</v>
      </c>
      <c r="T403" s="2" t="s">
        <v>448</v>
      </c>
      <c r="U403" s="2" t="s">
        <v>449</v>
      </c>
      <c r="W403" s="4">
        <v>890</v>
      </c>
      <c r="X403" s="4">
        <v>1068</v>
      </c>
      <c r="Y403" s="4">
        <f t="shared" ref="Y403" si="447">INDEX(InternalRates,MATCH($S403,InternalRates01,FALSE),2)</f>
        <v>278.98333333333335</v>
      </c>
      <c r="Z403" s="3" t="str">
        <f t="shared" si="407"/>
        <v>Nie</v>
      </c>
      <c r="AA403" s="3" t="str">
        <f t="shared" si="408"/>
        <v>ZoD</v>
      </c>
      <c r="AD403" s="3" t="s">
        <v>607</v>
      </c>
      <c r="AE403" s="6">
        <v>44413</v>
      </c>
      <c r="AF403" s="3" t="s">
        <v>59</v>
      </c>
      <c r="AG403" s="3" t="s">
        <v>49</v>
      </c>
      <c r="AH403" s="3">
        <f>YEAR(SrcDB[[#This Row],[Datum_zverejnenia]])</f>
        <v>2021</v>
      </c>
      <c r="AI403" s="3" cm="1">
        <f t="array" ref="AI403">COUNT(_xlfn.UNIQUE(_xlfn._xlws.FILTER(SrcDB[ID],SrcDB[Objednavatel_ICO]=$H403)))</f>
        <v>7</v>
      </c>
      <c r="AJ403" s="3" cm="1">
        <f t="array" ref="AJ403">COUNT(_xlfn.UNIQUE(_xlfn._xlws.FILTER(SrcDB[ID],SrcDB[Dodavatel_ICO]=$K403)))</f>
        <v>9</v>
      </c>
      <c r="AK403" s="3">
        <f t="shared" si="431"/>
        <v>0</v>
      </c>
      <c r="AL403" s="3">
        <f t="shared" si="432"/>
        <v>0</v>
      </c>
      <c r="AM403" s="17" t="str">
        <f>IF(SrcDB[[#This Row],[Pocet zmluv objednavatela]]&gt;3,SrcDB[[#This Row],[Objednavatel]],"Ostatné")</f>
        <v>Ministerstvo investícií, regionálneho rozvoja a informatizácie Slovenskej republiky</v>
      </c>
      <c r="AN403" s="17" t="str">
        <f>IF(SrcDB[[#This Row],[Pocet zmluv dodavatela]]&gt;3,SrcDB[[#This Row],[Dodavatel]],"Ostatné")</f>
        <v>DXC Technology Slovakia s.r.o.</v>
      </c>
    </row>
    <row r="404" spans="1:40" x14ac:dyDescent="0.3">
      <c r="A404" s="2" t="s">
        <v>602</v>
      </c>
      <c r="B404" s="2">
        <v>5733991</v>
      </c>
      <c r="C404" s="3" t="str">
        <f t="shared" si="425"/>
        <v>Áno</v>
      </c>
      <c r="D404" s="3" t="str">
        <f t="shared" si="426"/>
        <v>Nie</v>
      </c>
      <c r="E404" s="3" t="s">
        <v>49</v>
      </c>
      <c r="F404" s="3" t="s">
        <v>48</v>
      </c>
      <c r="G404" s="2" t="str">
        <f t="shared" si="427"/>
        <v>Stredné zmluvy</v>
      </c>
      <c r="H404" s="5">
        <v>50349287</v>
      </c>
      <c r="I404" s="2" t="s">
        <v>200</v>
      </c>
      <c r="J404" s="2" t="s">
        <v>603</v>
      </c>
      <c r="K404" s="5">
        <v>35785306</v>
      </c>
      <c r="L404" s="2" t="s">
        <v>118</v>
      </c>
      <c r="M404" s="2" t="s">
        <v>604</v>
      </c>
      <c r="N404" s="6">
        <v>44326.550185185188</v>
      </c>
      <c r="O404" s="4">
        <v>7965530</v>
      </c>
      <c r="P404" s="2">
        <v>2473554</v>
      </c>
      <c r="Q404" s="2" t="s">
        <v>605</v>
      </c>
      <c r="R404" s="2" t="s">
        <v>606</v>
      </c>
      <c r="S404" s="2" t="s">
        <v>56</v>
      </c>
      <c r="T404" s="2" t="s">
        <v>94</v>
      </c>
      <c r="U404" s="2" t="s">
        <v>95</v>
      </c>
      <c r="W404" s="4">
        <v>1200</v>
      </c>
      <c r="X404" s="4">
        <v>1440</v>
      </c>
      <c r="Y404" s="4">
        <f t="shared" ref="Y404" si="448">INDEX(InternalRates,MATCH($S404,InternalRates01,FALSE),2)</f>
        <v>278.98333333333335</v>
      </c>
      <c r="Z404" s="3" t="str">
        <f t="shared" si="407"/>
        <v>Nie</v>
      </c>
      <c r="AA404" s="3" t="str">
        <f t="shared" si="408"/>
        <v>ZoD</v>
      </c>
      <c r="AD404" s="3" t="s">
        <v>607</v>
      </c>
      <c r="AE404" s="6">
        <v>44413</v>
      </c>
      <c r="AF404" s="3" t="s">
        <v>59</v>
      </c>
      <c r="AG404" s="3" t="s">
        <v>49</v>
      </c>
      <c r="AH404" s="3">
        <f>YEAR(SrcDB[[#This Row],[Datum_zverejnenia]])</f>
        <v>2021</v>
      </c>
      <c r="AI404" s="3" cm="1">
        <f t="array" ref="AI404">COUNT(_xlfn.UNIQUE(_xlfn._xlws.FILTER(SrcDB[ID],SrcDB[Objednavatel_ICO]=$H404)))</f>
        <v>7</v>
      </c>
      <c r="AJ404" s="3" cm="1">
        <f t="array" ref="AJ404">COUNT(_xlfn.UNIQUE(_xlfn._xlws.FILTER(SrcDB[ID],SrcDB[Dodavatel_ICO]=$K404)))</f>
        <v>9</v>
      </c>
      <c r="AK404" s="3">
        <f t="shared" si="431"/>
        <v>0</v>
      </c>
      <c r="AL404" s="3">
        <f t="shared" si="432"/>
        <v>0</v>
      </c>
      <c r="AM404" s="17" t="str">
        <f>IF(SrcDB[[#This Row],[Pocet zmluv objednavatela]]&gt;3,SrcDB[[#This Row],[Objednavatel]],"Ostatné")</f>
        <v>Ministerstvo investícií, regionálneho rozvoja a informatizácie Slovenskej republiky</v>
      </c>
      <c r="AN404" s="17" t="str">
        <f>IF(SrcDB[[#This Row],[Pocet zmluv dodavatela]]&gt;3,SrcDB[[#This Row],[Dodavatel]],"Ostatné")</f>
        <v>DXC Technology Slovakia s.r.o.</v>
      </c>
    </row>
    <row r="405" spans="1:40" x14ac:dyDescent="0.3">
      <c r="A405" s="2" t="s">
        <v>602</v>
      </c>
      <c r="B405" s="2">
        <v>5733991</v>
      </c>
      <c r="C405" s="3" t="str">
        <f t="shared" si="425"/>
        <v>Áno</v>
      </c>
      <c r="D405" s="3" t="str">
        <f t="shared" si="426"/>
        <v>Nie</v>
      </c>
      <c r="E405" s="3" t="s">
        <v>49</v>
      </c>
      <c r="F405" s="3" t="s">
        <v>48</v>
      </c>
      <c r="G405" s="2" t="str">
        <f t="shared" si="427"/>
        <v>Stredné zmluvy</v>
      </c>
      <c r="H405" s="5">
        <v>50349287</v>
      </c>
      <c r="I405" s="2" t="s">
        <v>200</v>
      </c>
      <c r="J405" s="2" t="s">
        <v>603</v>
      </c>
      <c r="K405" s="5">
        <v>35785306</v>
      </c>
      <c r="L405" s="2" t="s">
        <v>118</v>
      </c>
      <c r="M405" s="2" t="s">
        <v>604</v>
      </c>
      <c r="N405" s="6">
        <v>44326.550185185188</v>
      </c>
      <c r="O405" s="4">
        <v>7965530</v>
      </c>
      <c r="P405" s="2">
        <v>2473554</v>
      </c>
      <c r="Q405" s="2" t="s">
        <v>605</v>
      </c>
      <c r="R405" s="2" t="s">
        <v>606</v>
      </c>
      <c r="S405" s="2" t="s">
        <v>56</v>
      </c>
      <c r="T405" s="2" t="s">
        <v>96</v>
      </c>
      <c r="U405" s="2" t="s">
        <v>97</v>
      </c>
      <c r="W405" s="4">
        <v>790</v>
      </c>
      <c r="X405" s="4">
        <v>948</v>
      </c>
      <c r="Y405" s="4">
        <f t="shared" ref="Y405" si="449">INDEX(InternalRates,MATCH($S405,InternalRates01,FALSE),2)</f>
        <v>278.98333333333335</v>
      </c>
      <c r="Z405" s="3" t="str">
        <f t="shared" si="407"/>
        <v>Nie</v>
      </c>
      <c r="AA405" s="3" t="str">
        <f t="shared" si="408"/>
        <v>ZoD</v>
      </c>
      <c r="AD405" s="3" t="s">
        <v>607</v>
      </c>
      <c r="AE405" s="6">
        <v>44413</v>
      </c>
      <c r="AF405" s="3" t="s">
        <v>59</v>
      </c>
      <c r="AG405" s="3" t="s">
        <v>49</v>
      </c>
      <c r="AH405" s="3">
        <f>YEAR(SrcDB[[#This Row],[Datum_zverejnenia]])</f>
        <v>2021</v>
      </c>
      <c r="AI405" s="3" cm="1">
        <f t="array" ref="AI405">COUNT(_xlfn.UNIQUE(_xlfn._xlws.FILTER(SrcDB[ID],SrcDB[Objednavatel_ICO]=$H405)))</f>
        <v>7</v>
      </c>
      <c r="AJ405" s="3" cm="1">
        <f t="array" ref="AJ405">COUNT(_xlfn.UNIQUE(_xlfn._xlws.FILTER(SrcDB[ID],SrcDB[Dodavatel_ICO]=$K405)))</f>
        <v>9</v>
      </c>
      <c r="AK405" s="3">
        <f t="shared" si="431"/>
        <v>0</v>
      </c>
      <c r="AL405" s="3">
        <f t="shared" si="432"/>
        <v>0</v>
      </c>
      <c r="AM405" s="17" t="str">
        <f>IF(SrcDB[[#This Row],[Pocet zmluv objednavatela]]&gt;3,SrcDB[[#This Row],[Objednavatel]],"Ostatné")</f>
        <v>Ministerstvo investícií, regionálneho rozvoja a informatizácie Slovenskej republiky</v>
      </c>
      <c r="AN405" s="17" t="str">
        <f>IF(SrcDB[[#This Row],[Pocet zmluv dodavatela]]&gt;3,SrcDB[[#This Row],[Dodavatel]],"Ostatné")</f>
        <v>DXC Technology Slovakia s.r.o.</v>
      </c>
    </row>
    <row r="406" spans="1:40" x14ac:dyDescent="0.3">
      <c r="A406" s="2" t="s">
        <v>602</v>
      </c>
      <c r="B406" s="2">
        <v>5733991</v>
      </c>
      <c r="C406" s="3" t="str">
        <f t="shared" si="425"/>
        <v>Áno</v>
      </c>
      <c r="D406" s="3" t="str">
        <f t="shared" si="426"/>
        <v>Nie</v>
      </c>
      <c r="E406" s="3" t="s">
        <v>49</v>
      </c>
      <c r="F406" s="3" t="s">
        <v>48</v>
      </c>
      <c r="G406" s="2" t="str">
        <f t="shared" si="427"/>
        <v>Stredné zmluvy</v>
      </c>
      <c r="H406" s="5">
        <v>50349287</v>
      </c>
      <c r="I406" s="2" t="s">
        <v>200</v>
      </c>
      <c r="J406" s="2" t="s">
        <v>603</v>
      </c>
      <c r="K406" s="5">
        <v>35785306</v>
      </c>
      <c r="L406" s="2" t="s">
        <v>118</v>
      </c>
      <c r="M406" s="2" t="s">
        <v>604</v>
      </c>
      <c r="N406" s="6">
        <v>44326.550185185188</v>
      </c>
      <c r="O406" s="4">
        <v>7965530</v>
      </c>
      <c r="P406" s="2">
        <v>2473554</v>
      </c>
      <c r="Q406" s="2" t="s">
        <v>605</v>
      </c>
      <c r="R406" s="2" t="s">
        <v>606</v>
      </c>
      <c r="S406" s="2" t="s">
        <v>56</v>
      </c>
      <c r="T406" s="2" t="s">
        <v>593</v>
      </c>
      <c r="U406" s="2" t="s">
        <v>289</v>
      </c>
      <c r="W406" s="4">
        <v>600</v>
      </c>
      <c r="X406" s="4">
        <v>720</v>
      </c>
      <c r="Y406" s="4">
        <f t="shared" ref="Y406" si="450">INDEX(InternalRates,MATCH($S406,InternalRates01,FALSE),2)</f>
        <v>278.98333333333335</v>
      </c>
      <c r="Z406" s="3" t="str">
        <f t="shared" si="407"/>
        <v>Nie</v>
      </c>
      <c r="AA406" s="3" t="str">
        <f t="shared" si="408"/>
        <v>ZoD</v>
      </c>
      <c r="AD406" s="3" t="s">
        <v>607</v>
      </c>
      <c r="AE406" s="6">
        <v>44413</v>
      </c>
      <c r="AF406" s="3" t="s">
        <v>59</v>
      </c>
      <c r="AG406" s="3" t="s">
        <v>49</v>
      </c>
      <c r="AH406" s="3">
        <f>YEAR(SrcDB[[#This Row],[Datum_zverejnenia]])</f>
        <v>2021</v>
      </c>
      <c r="AI406" s="3" cm="1">
        <f t="array" ref="AI406">COUNT(_xlfn.UNIQUE(_xlfn._xlws.FILTER(SrcDB[ID],SrcDB[Objednavatel_ICO]=$H406)))</f>
        <v>7</v>
      </c>
      <c r="AJ406" s="3" cm="1">
        <f t="array" ref="AJ406">COUNT(_xlfn.UNIQUE(_xlfn._xlws.FILTER(SrcDB[ID],SrcDB[Dodavatel_ICO]=$K406)))</f>
        <v>9</v>
      </c>
      <c r="AK406" s="3">
        <f t="shared" si="431"/>
        <v>0</v>
      </c>
      <c r="AL406" s="3">
        <f t="shared" si="432"/>
        <v>0</v>
      </c>
      <c r="AM406" s="17" t="str">
        <f>IF(SrcDB[[#This Row],[Pocet zmluv objednavatela]]&gt;3,SrcDB[[#This Row],[Objednavatel]],"Ostatné")</f>
        <v>Ministerstvo investícií, regionálneho rozvoja a informatizácie Slovenskej republiky</v>
      </c>
      <c r="AN406" s="17" t="str">
        <f>IF(SrcDB[[#This Row],[Pocet zmluv dodavatela]]&gt;3,SrcDB[[#This Row],[Dodavatel]],"Ostatné")</f>
        <v>DXC Technology Slovakia s.r.o.</v>
      </c>
    </row>
    <row r="407" spans="1:40" x14ac:dyDescent="0.3">
      <c r="A407" s="2" t="s">
        <v>602</v>
      </c>
      <c r="B407" s="2">
        <v>5733991</v>
      </c>
      <c r="C407" s="3" t="str">
        <f t="shared" si="425"/>
        <v>Áno</v>
      </c>
      <c r="D407" s="3" t="str">
        <f t="shared" si="426"/>
        <v>Nie</v>
      </c>
      <c r="E407" s="3" t="s">
        <v>49</v>
      </c>
      <c r="F407" s="3" t="s">
        <v>48</v>
      </c>
      <c r="G407" s="2" t="str">
        <f t="shared" si="427"/>
        <v>Stredné zmluvy</v>
      </c>
      <c r="H407" s="5">
        <v>50349287</v>
      </c>
      <c r="I407" s="2" t="s">
        <v>200</v>
      </c>
      <c r="J407" s="2" t="s">
        <v>603</v>
      </c>
      <c r="K407" s="5">
        <v>35785306</v>
      </c>
      <c r="L407" s="2" t="s">
        <v>118</v>
      </c>
      <c r="M407" s="2" t="s">
        <v>604</v>
      </c>
      <c r="N407" s="6">
        <v>44326.550185185188</v>
      </c>
      <c r="O407" s="4">
        <v>7965530</v>
      </c>
      <c r="P407" s="2">
        <v>2473554</v>
      </c>
      <c r="Q407" s="2" t="s">
        <v>605</v>
      </c>
      <c r="R407" s="2" t="s">
        <v>606</v>
      </c>
      <c r="S407" s="2" t="s">
        <v>98</v>
      </c>
      <c r="T407" s="2" t="s">
        <v>287</v>
      </c>
      <c r="W407" s="4">
        <v>710</v>
      </c>
      <c r="X407" s="4">
        <v>852</v>
      </c>
      <c r="Y407" s="4">
        <f t="shared" ref="Y407" si="451">INDEX(InternalRates,MATCH($S407,InternalRates01,FALSE),2)</f>
        <v>278.98333333333335</v>
      </c>
      <c r="Z407" s="3" t="str">
        <f t="shared" si="407"/>
        <v>Nie</v>
      </c>
      <c r="AA407" s="3" t="str">
        <f t="shared" si="408"/>
        <v>ZoD</v>
      </c>
      <c r="AD407" s="3" t="s">
        <v>607</v>
      </c>
      <c r="AE407" s="6">
        <v>44413</v>
      </c>
      <c r="AF407" s="3" t="s">
        <v>59</v>
      </c>
      <c r="AG407" s="3" t="s">
        <v>49</v>
      </c>
      <c r="AH407" s="3">
        <f>YEAR(SrcDB[[#This Row],[Datum_zverejnenia]])</f>
        <v>2021</v>
      </c>
      <c r="AI407" s="3" cm="1">
        <f t="array" ref="AI407">COUNT(_xlfn.UNIQUE(_xlfn._xlws.FILTER(SrcDB[ID],SrcDB[Objednavatel_ICO]=$H407)))</f>
        <v>7</v>
      </c>
      <c r="AJ407" s="3" cm="1">
        <f t="array" ref="AJ407">COUNT(_xlfn.UNIQUE(_xlfn._xlws.FILTER(SrcDB[ID],SrcDB[Dodavatel_ICO]=$K407)))</f>
        <v>9</v>
      </c>
      <c r="AK407" s="3">
        <f t="shared" si="431"/>
        <v>0</v>
      </c>
      <c r="AL407" s="3">
        <f t="shared" si="432"/>
        <v>0</v>
      </c>
      <c r="AM407" s="17" t="str">
        <f>IF(SrcDB[[#This Row],[Pocet zmluv objednavatela]]&gt;3,SrcDB[[#This Row],[Objednavatel]],"Ostatné")</f>
        <v>Ministerstvo investícií, regionálneho rozvoja a informatizácie Slovenskej republiky</v>
      </c>
      <c r="AN407" s="17" t="str">
        <f>IF(SrcDB[[#This Row],[Pocet zmluv dodavatela]]&gt;3,SrcDB[[#This Row],[Dodavatel]],"Ostatné")</f>
        <v>DXC Technology Slovakia s.r.o.</v>
      </c>
    </row>
    <row r="408" spans="1:40" x14ac:dyDescent="0.3">
      <c r="A408" s="2" t="s">
        <v>602</v>
      </c>
      <c r="B408" s="2">
        <v>5733991</v>
      </c>
      <c r="C408" s="3" t="str">
        <f t="shared" si="425"/>
        <v>Áno</v>
      </c>
      <c r="D408" s="3" t="str">
        <f t="shared" si="426"/>
        <v>Nie</v>
      </c>
      <c r="E408" s="3" t="s">
        <v>49</v>
      </c>
      <c r="F408" s="3" t="s">
        <v>48</v>
      </c>
      <c r="G408" s="2" t="str">
        <f t="shared" si="427"/>
        <v>Stredné zmluvy</v>
      </c>
      <c r="H408" s="5">
        <v>50349287</v>
      </c>
      <c r="I408" s="2" t="s">
        <v>200</v>
      </c>
      <c r="J408" s="2" t="s">
        <v>603</v>
      </c>
      <c r="K408" s="5">
        <v>35785306</v>
      </c>
      <c r="L408" s="2" t="s">
        <v>118</v>
      </c>
      <c r="M408" s="2" t="s">
        <v>604</v>
      </c>
      <c r="N408" s="6">
        <v>44326.550185185188</v>
      </c>
      <c r="O408" s="4">
        <v>7965530</v>
      </c>
      <c r="P408" s="2">
        <v>2473554</v>
      </c>
      <c r="Q408" s="2" t="s">
        <v>605</v>
      </c>
      <c r="R408" s="2" t="s">
        <v>606</v>
      </c>
      <c r="S408" s="2" t="s">
        <v>56</v>
      </c>
      <c r="T408" s="2" t="s">
        <v>608</v>
      </c>
      <c r="U408" s="2" t="s">
        <v>129</v>
      </c>
      <c r="W408" s="4">
        <v>900</v>
      </c>
      <c r="X408" s="4">
        <v>1080</v>
      </c>
      <c r="Y408" s="4">
        <f t="shared" ref="Y408" si="452">INDEX(InternalRates,MATCH($S408,InternalRates01,FALSE),2)</f>
        <v>278.98333333333335</v>
      </c>
      <c r="Z408" s="3" t="str">
        <f t="shared" si="407"/>
        <v>Nie</v>
      </c>
      <c r="AA408" s="3" t="str">
        <f t="shared" si="408"/>
        <v>ZoD</v>
      </c>
      <c r="AD408" s="3" t="s">
        <v>607</v>
      </c>
      <c r="AE408" s="6">
        <v>44413</v>
      </c>
      <c r="AF408" s="3" t="s">
        <v>59</v>
      </c>
      <c r="AG408" s="3" t="s">
        <v>49</v>
      </c>
      <c r="AH408" s="3">
        <f>YEAR(SrcDB[[#This Row],[Datum_zverejnenia]])</f>
        <v>2021</v>
      </c>
      <c r="AI408" s="3" cm="1">
        <f t="array" ref="AI408">COUNT(_xlfn.UNIQUE(_xlfn._xlws.FILTER(SrcDB[ID],SrcDB[Objednavatel_ICO]=$H408)))</f>
        <v>7</v>
      </c>
      <c r="AJ408" s="3" cm="1">
        <f t="array" ref="AJ408">COUNT(_xlfn.UNIQUE(_xlfn._xlws.FILTER(SrcDB[ID],SrcDB[Dodavatel_ICO]=$K408)))</f>
        <v>9</v>
      </c>
      <c r="AK408" s="3">
        <f t="shared" si="431"/>
        <v>0</v>
      </c>
      <c r="AL408" s="3">
        <f t="shared" si="432"/>
        <v>0</v>
      </c>
      <c r="AM408" s="17" t="str">
        <f>IF(SrcDB[[#This Row],[Pocet zmluv objednavatela]]&gt;3,SrcDB[[#This Row],[Objednavatel]],"Ostatné")</f>
        <v>Ministerstvo investícií, regionálneho rozvoja a informatizácie Slovenskej republiky</v>
      </c>
      <c r="AN408" s="17" t="str">
        <f>IF(SrcDB[[#This Row],[Pocet zmluv dodavatela]]&gt;3,SrcDB[[#This Row],[Dodavatel]],"Ostatné")</f>
        <v>DXC Technology Slovakia s.r.o.</v>
      </c>
    </row>
    <row r="409" spans="1:40" x14ac:dyDescent="0.3">
      <c r="A409" s="2" t="s">
        <v>602</v>
      </c>
      <c r="B409" s="2">
        <v>5733991</v>
      </c>
      <c r="C409" s="3" t="str">
        <f t="shared" si="425"/>
        <v>Áno</v>
      </c>
      <c r="D409" s="3" t="str">
        <f t="shared" si="426"/>
        <v>Nie</v>
      </c>
      <c r="E409" s="3" t="s">
        <v>49</v>
      </c>
      <c r="F409" s="3" t="s">
        <v>48</v>
      </c>
      <c r="G409" s="2" t="str">
        <f t="shared" si="427"/>
        <v>Stredné zmluvy</v>
      </c>
      <c r="H409" s="5">
        <v>50349287</v>
      </c>
      <c r="I409" s="2" t="s">
        <v>200</v>
      </c>
      <c r="J409" s="2" t="s">
        <v>603</v>
      </c>
      <c r="K409" s="5">
        <v>35785306</v>
      </c>
      <c r="L409" s="2" t="s">
        <v>118</v>
      </c>
      <c r="M409" s="2" t="s">
        <v>604</v>
      </c>
      <c r="N409" s="6">
        <v>44326.550185185188</v>
      </c>
      <c r="O409" s="4">
        <v>7965530</v>
      </c>
      <c r="P409" s="2">
        <v>2473554</v>
      </c>
      <c r="Q409" s="2" t="s">
        <v>605</v>
      </c>
      <c r="R409" s="2" t="s">
        <v>606</v>
      </c>
      <c r="S409" s="2" t="s">
        <v>102</v>
      </c>
      <c r="T409" s="2" t="s">
        <v>609</v>
      </c>
      <c r="W409" s="4">
        <v>570</v>
      </c>
      <c r="X409" s="4">
        <v>684</v>
      </c>
      <c r="Y409" s="4">
        <f t="shared" ref="Y409" si="453">INDEX(InternalRates,MATCH($S409,InternalRates01,FALSE),2)</f>
        <v>278.98333333333335</v>
      </c>
      <c r="Z409" s="3" t="str">
        <f t="shared" si="407"/>
        <v>Nie</v>
      </c>
      <c r="AA409" s="3" t="str">
        <f t="shared" si="408"/>
        <v>ZoD</v>
      </c>
      <c r="AD409" s="3" t="s">
        <v>607</v>
      </c>
      <c r="AE409" s="6">
        <v>44413</v>
      </c>
      <c r="AF409" s="3" t="s">
        <v>59</v>
      </c>
      <c r="AG409" s="3" t="s">
        <v>49</v>
      </c>
      <c r="AH409" s="3">
        <f>YEAR(SrcDB[[#This Row],[Datum_zverejnenia]])</f>
        <v>2021</v>
      </c>
      <c r="AI409" s="3" cm="1">
        <f t="array" ref="AI409">COUNT(_xlfn.UNIQUE(_xlfn._xlws.FILTER(SrcDB[ID],SrcDB[Objednavatel_ICO]=$H409)))</f>
        <v>7</v>
      </c>
      <c r="AJ409" s="3" cm="1">
        <f t="array" ref="AJ409">COUNT(_xlfn.UNIQUE(_xlfn._xlws.FILTER(SrcDB[ID],SrcDB[Dodavatel_ICO]=$K409)))</f>
        <v>9</v>
      </c>
      <c r="AK409" s="3">
        <f t="shared" si="431"/>
        <v>0</v>
      </c>
      <c r="AL409" s="3">
        <f t="shared" si="432"/>
        <v>0</v>
      </c>
      <c r="AM409" s="17" t="str">
        <f>IF(SrcDB[[#This Row],[Pocet zmluv objednavatela]]&gt;3,SrcDB[[#This Row],[Objednavatel]],"Ostatné")</f>
        <v>Ministerstvo investícií, regionálneho rozvoja a informatizácie Slovenskej republiky</v>
      </c>
      <c r="AN409" s="17" t="str">
        <f>IF(SrcDB[[#This Row],[Pocet zmluv dodavatela]]&gt;3,SrcDB[[#This Row],[Dodavatel]],"Ostatné")</f>
        <v>DXC Technology Slovakia s.r.o.</v>
      </c>
    </row>
    <row r="410" spans="1:40" x14ac:dyDescent="0.3">
      <c r="A410" s="2" t="s">
        <v>610</v>
      </c>
      <c r="B410" s="2">
        <v>5734901</v>
      </c>
      <c r="C410" s="3" t="str">
        <f t="shared" si="425"/>
        <v>Áno</v>
      </c>
      <c r="D410" s="3" t="str">
        <f t="shared" si="426"/>
        <v>Nie</v>
      </c>
      <c r="E410" s="3" t="s">
        <v>49</v>
      </c>
      <c r="F410" s="3" t="s">
        <v>48</v>
      </c>
      <c r="G410" s="2" t="str">
        <f t="shared" si="427"/>
        <v>Stredné zmluvy</v>
      </c>
      <c r="H410" s="5">
        <v>50349287</v>
      </c>
      <c r="I410" s="2" t="s">
        <v>200</v>
      </c>
      <c r="J410" s="2" t="s">
        <v>603</v>
      </c>
      <c r="K410" s="5">
        <v>35785306</v>
      </c>
      <c r="L410" s="2" t="s">
        <v>118</v>
      </c>
      <c r="M410" s="2" t="s">
        <v>604</v>
      </c>
      <c r="N410" s="6">
        <v>44326.552453703705</v>
      </c>
      <c r="O410" s="4">
        <v>7194683</v>
      </c>
      <c r="P410" s="2">
        <v>2473554</v>
      </c>
      <c r="Q410" s="2" t="s">
        <v>611</v>
      </c>
      <c r="R410" s="2" t="s">
        <v>612</v>
      </c>
      <c r="S410" s="2" t="s">
        <v>71</v>
      </c>
      <c r="T410" s="2" t="s">
        <v>196</v>
      </c>
      <c r="W410" s="4">
        <v>910</v>
      </c>
      <c r="X410" s="4">
        <v>1092</v>
      </c>
      <c r="Y410" s="4">
        <f t="shared" ref="Y410" si="454">INDEX(InternalRates,MATCH($S410,InternalRates01,FALSE),2)</f>
        <v>354.0333333333333</v>
      </c>
      <c r="Z410" s="3" t="str">
        <f t="shared" si="407"/>
        <v>Nie</v>
      </c>
      <c r="AA410" s="3" t="str">
        <f t="shared" si="408"/>
        <v>ZoD</v>
      </c>
      <c r="AD410" s="3" t="s">
        <v>607</v>
      </c>
      <c r="AE410" s="6">
        <v>44413</v>
      </c>
      <c r="AF410" s="3" t="s">
        <v>59</v>
      </c>
      <c r="AG410" s="3" t="s">
        <v>49</v>
      </c>
      <c r="AH410" s="3">
        <f>YEAR(SrcDB[[#This Row],[Datum_zverejnenia]])</f>
        <v>2021</v>
      </c>
      <c r="AI410" s="3" cm="1">
        <f t="array" ref="AI410">COUNT(_xlfn.UNIQUE(_xlfn._xlws.FILTER(SrcDB[ID],SrcDB[Objednavatel_ICO]=$H410)))</f>
        <v>7</v>
      </c>
      <c r="AJ410" s="3" cm="1">
        <f t="array" ref="AJ410">COUNT(_xlfn.UNIQUE(_xlfn._xlws.FILTER(SrcDB[ID],SrcDB[Dodavatel_ICO]=$K410)))</f>
        <v>9</v>
      </c>
      <c r="AK410" s="3">
        <f t="shared" si="431"/>
        <v>1</v>
      </c>
      <c r="AL410" s="3">
        <f t="shared" si="432"/>
        <v>1</v>
      </c>
      <c r="AM410" s="17" t="str">
        <f>IF(SrcDB[[#This Row],[Pocet zmluv objednavatela]]&gt;3,SrcDB[[#This Row],[Objednavatel]],"Ostatné")</f>
        <v>Ministerstvo investícií, regionálneho rozvoja a informatizácie Slovenskej republiky</v>
      </c>
      <c r="AN410" s="17" t="str">
        <f>IF(SrcDB[[#This Row],[Pocet zmluv dodavatela]]&gt;3,SrcDB[[#This Row],[Dodavatel]],"Ostatné")</f>
        <v>DXC Technology Slovakia s.r.o.</v>
      </c>
    </row>
    <row r="411" spans="1:40" x14ac:dyDescent="0.3">
      <c r="A411" s="2" t="s">
        <v>610</v>
      </c>
      <c r="B411" s="2">
        <v>5734901</v>
      </c>
      <c r="C411" s="3" t="str">
        <f t="shared" si="425"/>
        <v>Áno</v>
      </c>
      <c r="D411" s="3" t="str">
        <f t="shared" si="426"/>
        <v>Nie</v>
      </c>
      <c r="E411" s="3" t="s">
        <v>49</v>
      </c>
      <c r="F411" s="3" t="s">
        <v>48</v>
      </c>
      <c r="G411" s="2" t="str">
        <f t="shared" si="427"/>
        <v>Stredné zmluvy</v>
      </c>
      <c r="H411" s="5">
        <v>50349287</v>
      </c>
      <c r="I411" s="2" t="s">
        <v>200</v>
      </c>
      <c r="J411" s="2" t="s">
        <v>603</v>
      </c>
      <c r="K411" s="5">
        <v>35785306</v>
      </c>
      <c r="L411" s="2" t="s">
        <v>118</v>
      </c>
      <c r="M411" s="2" t="s">
        <v>604</v>
      </c>
      <c r="N411" s="6">
        <v>44326.552453703705</v>
      </c>
      <c r="O411" s="4">
        <v>7194683</v>
      </c>
      <c r="P411" s="2">
        <v>2473554</v>
      </c>
      <c r="Q411" s="2" t="s">
        <v>611</v>
      </c>
      <c r="R411" s="2" t="s">
        <v>612</v>
      </c>
      <c r="S411" s="2" t="s">
        <v>79</v>
      </c>
      <c r="T411" s="2" t="s">
        <v>93</v>
      </c>
      <c r="W411" s="4">
        <v>570</v>
      </c>
      <c r="X411" s="4">
        <v>684</v>
      </c>
      <c r="Y411" s="4">
        <f t="shared" ref="Y411" si="455">INDEX(InternalRates,MATCH($S411,InternalRates01,FALSE),2)</f>
        <v>278.98333333333335</v>
      </c>
      <c r="Z411" s="3" t="str">
        <f t="shared" si="407"/>
        <v>Nie</v>
      </c>
      <c r="AA411" s="3" t="str">
        <f t="shared" si="408"/>
        <v>ZoD</v>
      </c>
      <c r="AD411" s="3" t="s">
        <v>607</v>
      </c>
      <c r="AE411" s="6">
        <v>44413</v>
      </c>
      <c r="AF411" s="3" t="s">
        <v>59</v>
      </c>
      <c r="AG411" s="3" t="s">
        <v>49</v>
      </c>
      <c r="AH411" s="3">
        <f>YEAR(SrcDB[[#This Row],[Datum_zverejnenia]])</f>
        <v>2021</v>
      </c>
      <c r="AI411" s="3" cm="1">
        <f t="array" ref="AI411">COUNT(_xlfn.UNIQUE(_xlfn._xlws.FILTER(SrcDB[ID],SrcDB[Objednavatel_ICO]=$H411)))</f>
        <v>7</v>
      </c>
      <c r="AJ411" s="3" cm="1">
        <f t="array" ref="AJ411">COUNT(_xlfn.UNIQUE(_xlfn._xlws.FILTER(SrcDB[ID],SrcDB[Dodavatel_ICO]=$K411)))</f>
        <v>9</v>
      </c>
      <c r="AK411" s="3">
        <f t="shared" si="431"/>
        <v>0</v>
      </c>
      <c r="AL411" s="3">
        <f t="shared" si="432"/>
        <v>0</v>
      </c>
      <c r="AM411" s="17" t="str">
        <f>IF(SrcDB[[#This Row],[Pocet zmluv objednavatela]]&gt;3,SrcDB[[#This Row],[Objednavatel]],"Ostatné")</f>
        <v>Ministerstvo investícií, regionálneho rozvoja a informatizácie Slovenskej republiky</v>
      </c>
      <c r="AN411" s="17" t="str">
        <f>IF(SrcDB[[#This Row],[Pocet zmluv dodavatela]]&gt;3,SrcDB[[#This Row],[Dodavatel]],"Ostatné")</f>
        <v>DXC Technology Slovakia s.r.o.</v>
      </c>
    </row>
    <row r="412" spans="1:40" x14ac:dyDescent="0.3">
      <c r="A412" s="2" t="s">
        <v>610</v>
      </c>
      <c r="B412" s="2">
        <v>5734901</v>
      </c>
      <c r="C412" s="3" t="str">
        <f t="shared" si="425"/>
        <v>Áno</v>
      </c>
      <c r="D412" s="3" t="str">
        <f t="shared" si="426"/>
        <v>Nie</v>
      </c>
      <c r="E412" s="3" t="s">
        <v>49</v>
      </c>
      <c r="F412" s="3" t="s">
        <v>48</v>
      </c>
      <c r="G412" s="2" t="str">
        <f t="shared" si="427"/>
        <v>Stredné zmluvy</v>
      </c>
      <c r="H412" s="5">
        <v>50349287</v>
      </c>
      <c r="I412" s="2" t="s">
        <v>200</v>
      </c>
      <c r="J412" s="2" t="s">
        <v>603</v>
      </c>
      <c r="K412" s="5">
        <v>35785306</v>
      </c>
      <c r="L412" s="2" t="s">
        <v>118</v>
      </c>
      <c r="M412" s="2" t="s">
        <v>604</v>
      </c>
      <c r="N412" s="6">
        <v>44326.552453703705</v>
      </c>
      <c r="O412" s="4">
        <v>7194683</v>
      </c>
      <c r="P412" s="2">
        <v>2473554</v>
      </c>
      <c r="Q412" s="2" t="s">
        <v>611</v>
      </c>
      <c r="R412" s="2" t="s">
        <v>612</v>
      </c>
      <c r="S412" s="2" t="s">
        <v>77</v>
      </c>
      <c r="T412" s="2" t="s">
        <v>92</v>
      </c>
      <c r="W412" s="4">
        <v>650</v>
      </c>
      <c r="X412" s="4">
        <v>780</v>
      </c>
      <c r="Y412" s="4">
        <f t="shared" ref="Y412" si="456">INDEX(InternalRates,MATCH($S412,InternalRates01,FALSE),2)</f>
        <v>278.98333333333335</v>
      </c>
      <c r="Z412" s="3" t="str">
        <f t="shared" si="407"/>
        <v>Nie</v>
      </c>
      <c r="AA412" s="3" t="str">
        <f t="shared" si="408"/>
        <v>ZoD</v>
      </c>
      <c r="AD412" s="3" t="s">
        <v>607</v>
      </c>
      <c r="AE412" s="6">
        <v>44413</v>
      </c>
      <c r="AF412" s="3" t="s">
        <v>59</v>
      </c>
      <c r="AG412" s="3" t="s">
        <v>49</v>
      </c>
      <c r="AH412" s="3">
        <f>YEAR(SrcDB[[#This Row],[Datum_zverejnenia]])</f>
        <v>2021</v>
      </c>
      <c r="AI412" s="3" cm="1">
        <f t="array" ref="AI412">COUNT(_xlfn.UNIQUE(_xlfn._xlws.FILTER(SrcDB[ID],SrcDB[Objednavatel_ICO]=$H412)))</f>
        <v>7</v>
      </c>
      <c r="AJ412" s="3" cm="1">
        <f t="array" ref="AJ412">COUNT(_xlfn.UNIQUE(_xlfn._xlws.FILTER(SrcDB[ID],SrcDB[Dodavatel_ICO]=$K412)))</f>
        <v>9</v>
      </c>
      <c r="AK412" s="3">
        <f t="shared" si="431"/>
        <v>0</v>
      </c>
      <c r="AL412" s="3">
        <f t="shared" si="432"/>
        <v>0</v>
      </c>
      <c r="AM412" s="17" t="str">
        <f>IF(SrcDB[[#This Row],[Pocet zmluv objednavatela]]&gt;3,SrcDB[[#This Row],[Objednavatel]],"Ostatné")</f>
        <v>Ministerstvo investícií, regionálneho rozvoja a informatizácie Slovenskej republiky</v>
      </c>
      <c r="AN412" s="17" t="str">
        <f>IF(SrcDB[[#This Row],[Pocet zmluv dodavatela]]&gt;3,SrcDB[[#This Row],[Dodavatel]],"Ostatné")</f>
        <v>DXC Technology Slovakia s.r.o.</v>
      </c>
    </row>
    <row r="413" spans="1:40" x14ac:dyDescent="0.3">
      <c r="A413" s="2" t="s">
        <v>610</v>
      </c>
      <c r="B413" s="2">
        <v>5734901</v>
      </c>
      <c r="C413" s="3" t="str">
        <f t="shared" si="425"/>
        <v>Áno</v>
      </c>
      <c r="D413" s="3" t="str">
        <f t="shared" si="426"/>
        <v>Nie</v>
      </c>
      <c r="E413" s="3" t="s">
        <v>49</v>
      </c>
      <c r="F413" s="3" t="s">
        <v>48</v>
      </c>
      <c r="G413" s="2" t="str">
        <f t="shared" si="427"/>
        <v>Stredné zmluvy</v>
      </c>
      <c r="H413" s="5">
        <v>50349287</v>
      </c>
      <c r="I413" s="2" t="s">
        <v>200</v>
      </c>
      <c r="J413" s="2" t="s">
        <v>603</v>
      </c>
      <c r="K413" s="5">
        <v>35785306</v>
      </c>
      <c r="L413" s="2" t="s">
        <v>118</v>
      </c>
      <c r="M413" s="2" t="s">
        <v>604</v>
      </c>
      <c r="N413" s="6">
        <v>44326.552453703705</v>
      </c>
      <c r="O413" s="4">
        <v>7194683</v>
      </c>
      <c r="P413" s="2">
        <v>2473554</v>
      </c>
      <c r="Q413" s="2" t="s">
        <v>611</v>
      </c>
      <c r="R413" s="2" t="s">
        <v>612</v>
      </c>
      <c r="S413" s="2" t="s">
        <v>69</v>
      </c>
      <c r="T413" s="2" t="s">
        <v>285</v>
      </c>
      <c r="W413" s="4">
        <v>890</v>
      </c>
      <c r="X413" s="4">
        <v>1068</v>
      </c>
      <c r="Y413" s="4">
        <f t="shared" ref="Y413" si="457">INDEX(InternalRates,MATCH($S413,InternalRates01,FALSE),2)</f>
        <v>278.98333333333335</v>
      </c>
      <c r="Z413" s="3" t="str">
        <f t="shared" si="407"/>
        <v>Nie</v>
      </c>
      <c r="AA413" s="3" t="str">
        <f t="shared" si="408"/>
        <v>ZoD</v>
      </c>
      <c r="AD413" s="3" t="s">
        <v>607</v>
      </c>
      <c r="AE413" s="6">
        <v>44413</v>
      </c>
      <c r="AF413" s="3" t="s">
        <v>59</v>
      </c>
      <c r="AG413" s="3" t="s">
        <v>49</v>
      </c>
      <c r="AH413" s="3">
        <f>YEAR(SrcDB[[#This Row],[Datum_zverejnenia]])</f>
        <v>2021</v>
      </c>
      <c r="AI413" s="3" cm="1">
        <f t="array" ref="AI413">COUNT(_xlfn.UNIQUE(_xlfn._xlws.FILTER(SrcDB[ID],SrcDB[Objednavatel_ICO]=$H413)))</f>
        <v>7</v>
      </c>
      <c r="AJ413" s="3" cm="1">
        <f t="array" ref="AJ413">COUNT(_xlfn.UNIQUE(_xlfn._xlws.FILTER(SrcDB[ID],SrcDB[Dodavatel_ICO]=$K413)))</f>
        <v>9</v>
      </c>
      <c r="AK413" s="3">
        <f t="shared" si="431"/>
        <v>0</v>
      </c>
      <c r="AL413" s="3">
        <f t="shared" si="432"/>
        <v>0</v>
      </c>
      <c r="AM413" s="17" t="str">
        <f>IF(SrcDB[[#This Row],[Pocet zmluv objednavatela]]&gt;3,SrcDB[[#This Row],[Objednavatel]],"Ostatné")</f>
        <v>Ministerstvo investícií, regionálneho rozvoja a informatizácie Slovenskej republiky</v>
      </c>
      <c r="AN413" s="17" t="str">
        <f>IF(SrcDB[[#This Row],[Pocet zmluv dodavatela]]&gt;3,SrcDB[[#This Row],[Dodavatel]],"Ostatné")</f>
        <v>DXC Technology Slovakia s.r.o.</v>
      </c>
    </row>
    <row r="414" spans="1:40" x14ac:dyDescent="0.3">
      <c r="A414" s="2" t="s">
        <v>610</v>
      </c>
      <c r="B414" s="2">
        <v>5734901</v>
      </c>
      <c r="C414" s="3" t="str">
        <f t="shared" si="425"/>
        <v>Áno</v>
      </c>
      <c r="D414" s="3" t="str">
        <f t="shared" si="426"/>
        <v>Nie</v>
      </c>
      <c r="E414" s="3" t="s">
        <v>49</v>
      </c>
      <c r="F414" s="3" t="s">
        <v>48</v>
      </c>
      <c r="G414" s="2" t="str">
        <f t="shared" si="427"/>
        <v>Stredné zmluvy</v>
      </c>
      <c r="H414" s="5">
        <v>50349287</v>
      </c>
      <c r="I414" s="2" t="s">
        <v>200</v>
      </c>
      <c r="J414" s="2" t="s">
        <v>603</v>
      </c>
      <c r="K414" s="5">
        <v>35785306</v>
      </c>
      <c r="L414" s="2" t="s">
        <v>118</v>
      </c>
      <c r="M414" s="2" t="s">
        <v>604</v>
      </c>
      <c r="N414" s="6">
        <v>44326.552453703705</v>
      </c>
      <c r="O414" s="4">
        <v>7194683</v>
      </c>
      <c r="P414" s="2">
        <v>2473554</v>
      </c>
      <c r="Q414" s="2" t="s">
        <v>611</v>
      </c>
      <c r="R414" s="2" t="s">
        <v>612</v>
      </c>
      <c r="S414" s="2" t="s">
        <v>73</v>
      </c>
      <c r="T414" s="2" t="s">
        <v>90</v>
      </c>
      <c r="W414" s="4">
        <v>740</v>
      </c>
      <c r="X414" s="4">
        <v>888</v>
      </c>
      <c r="Y414" s="4">
        <f t="shared" ref="Y414" si="458">INDEX(InternalRates,MATCH($S414,InternalRates01,FALSE),2)</f>
        <v>278.98333333333335</v>
      </c>
      <c r="Z414" s="3" t="str">
        <f t="shared" si="407"/>
        <v>Nie</v>
      </c>
      <c r="AA414" s="3" t="str">
        <f t="shared" si="408"/>
        <v>ZoD</v>
      </c>
      <c r="AD414" s="3" t="s">
        <v>607</v>
      </c>
      <c r="AE414" s="6">
        <v>44413</v>
      </c>
      <c r="AF414" s="3" t="s">
        <v>59</v>
      </c>
      <c r="AG414" s="3" t="s">
        <v>49</v>
      </c>
      <c r="AH414" s="3">
        <f>YEAR(SrcDB[[#This Row],[Datum_zverejnenia]])</f>
        <v>2021</v>
      </c>
      <c r="AI414" s="3" cm="1">
        <f t="array" ref="AI414">COUNT(_xlfn.UNIQUE(_xlfn._xlws.FILTER(SrcDB[ID],SrcDB[Objednavatel_ICO]=$H414)))</f>
        <v>7</v>
      </c>
      <c r="AJ414" s="3" cm="1">
        <f t="array" ref="AJ414">COUNT(_xlfn.UNIQUE(_xlfn._xlws.FILTER(SrcDB[ID],SrcDB[Dodavatel_ICO]=$K414)))</f>
        <v>9</v>
      </c>
      <c r="AK414" s="3">
        <f t="shared" si="431"/>
        <v>0</v>
      </c>
      <c r="AL414" s="3">
        <f t="shared" si="432"/>
        <v>0</v>
      </c>
      <c r="AM414" s="17" t="str">
        <f>IF(SrcDB[[#This Row],[Pocet zmluv objednavatela]]&gt;3,SrcDB[[#This Row],[Objednavatel]],"Ostatné")</f>
        <v>Ministerstvo investícií, regionálneho rozvoja a informatizácie Slovenskej republiky</v>
      </c>
      <c r="AN414" s="17" t="str">
        <f>IF(SrcDB[[#This Row],[Pocet zmluv dodavatela]]&gt;3,SrcDB[[#This Row],[Dodavatel]],"Ostatné")</f>
        <v>DXC Technology Slovakia s.r.o.</v>
      </c>
    </row>
    <row r="415" spans="1:40" x14ac:dyDescent="0.3">
      <c r="A415" s="2" t="s">
        <v>610</v>
      </c>
      <c r="B415" s="2">
        <v>5734901</v>
      </c>
      <c r="C415" s="3" t="str">
        <f t="shared" si="425"/>
        <v>Áno</v>
      </c>
      <c r="D415" s="3" t="str">
        <f t="shared" si="426"/>
        <v>Nie</v>
      </c>
      <c r="E415" s="3" t="s">
        <v>49</v>
      </c>
      <c r="F415" s="3" t="s">
        <v>48</v>
      </c>
      <c r="G415" s="2" t="str">
        <f t="shared" si="427"/>
        <v>Stredné zmluvy</v>
      </c>
      <c r="H415" s="5">
        <v>50349287</v>
      </c>
      <c r="I415" s="2" t="s">
        <v>200</v>
      </c>
      <c r="J415" s="2" t="s">
        <v>603</v>
      </c>
      <c r="K415" s="5">
        <v>35785306</v>
      </c>
      <c r="L415" s="2" t="s">
        <v>118</v>
      </c>
      <c r="M415" s="2" t="s">
        <v>604</v>
      </c>
      <c r="N415" s="6">
        <v>44326.552453703705</v>
      </c>
      <c r="O415" s="4">
        <v>7194683</v>
      </c>
      <c r="P415" s="2">
        <v>2473554</v>
      </c>
      <c r="Q415" s="2" t="s">
        <v>611</v>
      </c>
      <c r="R415" s="2" t="s">
        <v>612</v>
      </c>
      <c r="S415" s="2" t="s">
        <v>56</v>
      </c>
      <c r="T415" s="2" t="s">
        <v>448</v>
      </c>
      <c r="U415" s="2" t="s">
        <v>449</v>
      </c>
      <c r="W415" s="4">
        <v>890</v>
      </c>
      <c r="X415" s="4">
        <v>1068</v>
      </c>
      <c r="Y415" s="4">
        <f t="shared" ref="Y415" si="459">INDEX(InternalRates,MATCH($S415,InternalRates01,FALSE),2)</f>
        <v>278.98333333333335</v>
      </c>
      <c r="Z415" s="3" t="str">
        <f t="shared" si="407"/>
        <v>Nie</v>
      </c>
      <c r="AA415" s="3" t="str">
        <f t="shared" si="408"/>
        <v>ZoD</v>
      </c>
      <c r="AD415" s="3" t="s">
        <v>607</v>
      </c>
      <c r="AE415" s="6">
        <v>44413</v>
      </c>
      <c r="AF415" s="3" t="s">
        <v>59</v>
      </c>
      <c r="AG415" s="3" t="s">
        <v>49</v>
      </c>
      <c r="AH415" s="3">
        <f>YEAR(SrcDB[[#This Row],[Datum_zverejnenia]])</f>
        <v>2021</v>
      </c>
      <c r="AI415" s="3" cm="1">
        <f t="array" ref="AI415">COUNT(_xlfn.UNIQUE(_xlfn._xlws.FILTER(SrcDB[ID],SrcDB[Objednavatel_ICO]=$H415)))</f>
        <v>7</v>
      </c>
      <c r="AJ415" s="3" cm="1">
        <f t="array" ref="AJ415">COUNT(_xlfn.UNIQUE(_xlfn._xlws.FILTER(SrcDB[ID],SrcDB[Dodavatel_ICO]=$K415)))</f>
        <v>9</v>
      </c>
      <c r="AK415" s="3">
        <f t="shared" si="431"/>
        <v>0</v>
      </c>
      <c r="AL415" s="3">
        <f t="shared" si="432"/>
        <v>0</v>
      </c>
      <c r="AM415" s="17" t="str">
        <f>IF(SrcDB[[#This Row],[Pocet zmluv objednavatela]]&gt;3,SrcDB[[#This Row],[Objednavatel]],"Ostatné")</f>
        <v>Ministerstvo investícií, regionálneho rozvoja a informatizácie Slovenskej republiky</v>
      </c>
      <c r="AN415" s="17" t="str">
        <f>IF(SrcDB[[#This Row],[Pocet zmluv dodavatela]]&gt;3,SrcDB[[#This Row],[Dodavatel]],"Ostatné")</f>
        <v>DXC Technology Slovakia s.r.o.</v>
      </c>
    </row>
    <row r="416" spans="1:40" x14ac:dyDescent="0.3">
      <c r="A416" s="2" t="s">
        <v>610</v>
      </c>
      <c r="B416" s="2">
        <v>5734901</v>
      </c>
      <c r="C416" s="3" t="str">
        <f t="shared" si="425"/>
        <v>Áno</v>
      </c>
      <c r="D416" s="3" t="str">
        <f t="shared" si="426"/>
        <v>Nie</v>
      </c>
      <c r="E416" s="3" t="s">
        <v>49</v>
      </c>
      <c r="F416" s="3" t="s">
        <v>48</v>
      </c>
      <c r="G416" s="2" t="str">
        <f t="shared" si="427"/>
        <v>Stredné zmluvy</v>
      </c>
      <c r="H416" s="5">
        <v>50349287</v>
      </c>
      <c r="I416" s="2" t="s">
        <v>200</v>
      </c>
      <c r="J416" s="2" t="s">
        <v>603</v>
      </c>
      <c r="K416" s="5">
        <v>35785306</v>
      </c>
      <c r="L416" s="2" t="s">
        <v>118</v>
      </c>
      <c r="M416" s="2" t="s">
        <v>604</v>
      </c>
      <c r="N416" s="6">
        <v>44326.552453703705</v>
      </c>
      <c r="O416" s="4">
        <v>7194683</v>
      </c>
      <c r="P416" s="2">
        <v>2473554</v>
      </c>
      <c r="Q416" s="2" t="s">
        <v>611</v>
      </c>
      <c r="R416" s="2" t="s">
        <v>612</v>
      </c>
      <c r="S416" s="2" t="s">
        <v>56</v>
      </c>
      <c r="T416" s="2" t="s">
        <v>94</v>
      </c>
      <c r="U416" s="2" t="s">
        <v>95</v>
      </c>
      <c r="W416" s="4">
        <v>1200</v>
      </c>
      <c r="X416" s="4">
        <v>1440</v>
      </c>
      <c r="Y416" s="4">
        <f t="shared" ref="Y416" si="460">INDEX(InternalRates,MATCH($S416,InternalRates01,FALSE),2)</f>
        <v>278.98333333333335</v>
      </c>
      <c r="Z416" s="3" t="str">
        <f t="shared" si="407"/>
        <v>Nie</v>
      </c>
      <c r="AA416" s="3" t="str">
        <f t="shared" si="408"/>
        <v>ZoD</v>
      </c>
      <c r="AD416" s="3" t="s">
        <v>607</v>
      </c>
      <c r="AE416" s="6">
        <v>44413</v>
      </c>
      <c r="AF416" s="3" t="s">
        <v>59</v>
      </c>
      <c r="AG416" s="3" t="s">
        <v>49</v>
      </c>
      <c r="AH416" s="3">
        <f>YEAR(SrcDB[[#This Row],[Datum_zverejnenia]])</f>
        <v>2021</v>
      </c>
      <c r="AI416" s="3" cm="1">
        <f t="array" ref="AI416">COUNT(_xlfn.UNIQUE(_xlfn._xlws.FILTER(SrcDB[ID],SrcDB[Objednavatel_ICO]=$H416)))</f>
        <v>7</v>
      </c>
      <c r="AJ416" s="3" cm="1">
        <f t="array" ref="AJ416">COUNT(_xlfn.UNIQUE(_xlfn._xlws.FILTER(SrcDB[ID],SrcDB[Dodavatel_ICO]=$K416)))</f>
        <v>9</v>
      </c>
      <c r="AK416" s="3">
        <f t="shared" si="431"/>
        <v>0</v>
      </c>
      <c r="AL416" s="3">
        <f t="shared" si="432"/>
        <v>0</v>
      </c>
      <c r="AM416" s="17" t="str">
        <f>IF(SrcDB[[#This Row],[Pocet zmluv objednavatela]]&gt;3,SrcDB[[#This Row],[Objednavatel]],"Ostatné")</f>
        <v>Ministerstvo investícií, regionálneho rozvoja a informatizácie Slovenskej republiky</v>
      </c>
      <c r="AN416" s="17" t="str">
        <f>IF(SrcDB[[#This Row],[Pocet zmluv dodavatela]]&gt;3,SrcDB[[#This Row],[Dodavatel]],"Ostatné")</f>
        <v>DXC Technology Slovakia s.r.o.</v>
      </c>
    </row>
    <row r="417" spans="1:40" x14ac:dyDescent="0.3">
      <c r="A417" s="2" t="s">
        <v>610</v>
      </c>
      <c r="B417" s="2">
        <v>5734901</v>
      </c>
      <c r="C417" s="3" t="str">
        <f t="shared" si="425"/>
        <v>Áno</v>
      </c>
      <c r="D417" s="3" t="str">
        <f t="shared" si="426"/>
        <v>Nie</v>
      </c>
      <c r="E417" s="3" t="s">
        <v>49</v>
      </c>
      <c r="F417" s="3" t="s">
        <v>48</v>
      </c>
      <c r="G417" s="2" t="str">
        <f t="shared" si="427"/>
        <v>Stredné zmluvy</v>
      </c>
      <c r="H417" s="5">
        <v>50349287</v>
      </c>
      <c r="I417" s="2" t="s">
        <v>200</v>
      </c>
      <c r="J417" s="2" t="s">
        <v>603</v>
      </c>
      <c r="K417" s="5">
        <v>35785306</v>
      </c>
      <c r="L417" s="2" t="s">
        <v>118</v>
      </c>
      <c r="M417" s="2" t="s">
        <v>604</v>
      </c>
      <c r="N417" s="6">
        <v>44326.552453703705</v>
      </c>
      <c r="O417" s="4">
        <v>7194683</v>
      </c>
      <c r="P417" s="2">
        <v>2473554</v>
      </c>
      <c r="Q417" s="2" t="s">
        <v>611</v>
      </c>
      <c r="R417" s="2" t="s">
        <v>612</v>
      </c>
      <c r="S417" s="2" t="s">
        <v>56</v>
      </c>
      <c r="T417" s="2" t="s">
        <v>96</v>
      </c>
      <c r="U417" s="2" t="s">
        <v>97</v>
      </c>
      <c r="W417" s="4">
        <v>790</v>
      </c>
      <c r="X417" s="4">
        <v>948</v>
      </c>
      <c r="Y417" s="4">
        <f t="shared" ref="Y417" si="461">INDEX(InternalRates,MATCH($S417,InternalRates01,FALSE),2)</f>
        <v>278.98333333333335</v>
      </c>
      <c r="Z417" s="3" t="str">
        <f t="shared" si="407"/>
        <v>Nie</v>
      </c>
      <c r="AA417" s="3" t="str">
        <f t="shared" si="408"/>
        <v>ZoD</v>
      </c>
      <c r="AD417" s="3" t="s">
        <v>607</v>
      </c>
      <c r="AE417" s="6">
        <v>44413</v>
      </c>
      <c r="AF417" s="3" t="s">
        <v>59</v>
      </c>
      <c r="AG417" s="3" t="s">
        <v>49</v>
      </c>
      <c r="AH417" s="3">
        <f>YEAR(SrcDB[[#This Row],[Datum_zverejnenia]])</f>
        <v>2021</v>
      </c>
      <c r="AI417" s="3" cm="1">
        <f t="array" ref="AI417">COUNT(_xlfn.UNIQUE(_xlfn._xlws.FILTER(SrcDB[ID],SrcDB[Objednavatel_ICO]=$H417)))</f>
        <v>7</v>
      </c>
      <c r="AJ417" s="3" cm="1">
        <f t="array" ref="AJ417">COUNT(_xlfn.UNIQUE(_xlfn._xlws.FILTER(SrcDB[ID],SrcDB[Dodavatel_ICO]=$K417)))</f>
        <v>9</v>
      </c>
      <c r="AK417" s="3">
        <f t="shared" si="431"/>
        <v>0</v>
      </c>
      <c r="AL417" s="3">
        <f t="shared" si="432"/>
        <v>0</v>
      </c>
      <c r="AM417" s="17" t="str">
        <f>IF(SrcDB[[#This Row],[Pocet zmluv objednavatela]]&gt;3,SrcDB[[#This Row],[Objednavatel]],"Ostatné")</f>
        <v>Ministerstvo investícií, regionálneho rozvoja a informatizácie Slovenskej republiky</v>
      </c>
      <c r="AN417" s="17" t="str">
        <f>IF(SrcDB[[#This Row],[Pocet zmluv dodavatela]]&gt;3,SrcDB[[#This Row],[Dodavatel]],"Ostatné")</f>
        <v>DXC Technology Slovakia s.r.o.</v>
      </c>
    </row>
    <row r="418" spans="1:40" x14ac:dyDescent="0.3">
      <c r="A418" s="2" t="s">
        <v>610</v>
      </c>
      <c r="B418" s="2">
        <v>5734901</v>
      </c>
      <c r="C418" s="3" t="str">
        <f t="shared" si="425"/>
        <v>Áno</v>
      </c>
      <c r="D418" s="3" t="str">
        <f t="shared" si="426"/>
        <v>Nie</v>
      </c>
      <c r="E418" s="3" t="s">
        <v>49</v>
      </c>
      <c r="F418" s="3" t="s">
        <v>48</v>
      </c>
      <c r="G418" s="2" t="str">
        <f t="shared" si="427"/>
        <v>Stredné zmluvy</v>
      </c>
      <c r="H418" s="5">
        <v>50349287</v>
      </c>
      <c r="I418" s="2" t="s">
        <v>200</v>
      </c>
      <c r="J418" s="2" t="s">
        <v>603</v>
      </c>
      <c r="K418" s="5">
        <v>35785306</v>
      </c>
      <c r="L418" s="2" t="s">
        <v>118</v>
      </c>
      <c r="M418" s="2" t="s">
        <v>604</v>
      </c>
      <c r="N418" s="6">
        <v>44326.552453703705</v>
      </c>
      <c r="O418" s="4">
        <v>7194683</v>
      </c>
      <c r="P418" s="2">
        <v>2473554</v>
      </c>
      <c r="Q418" s="2" t="s">
        <v>611</v>
      </c>
      <c r="R418" s="2" t="s">
        <v>612</v>
      </c>
      <c r="S418" s="2" t="s">
        <v>56</v>
      </c>
      <c r="T418" s="2" t="s">
        <v>593</v>
      </c>
      <c r="U418" s="2" t="s">
        <v>289</v>
      </c>
      <c r="W418" s="4">
        <v>600</v>
      </c>
      <c r="X418" s="4">
        <v>720</v>
      </c>
      <c r="Y418" s="4">
        <f t="shared" ref="Y418" si="462">INDEX(InternalRates,MATCH($S418,InternalRates01,FALSE),2)</f>
        <v>278.98333333333335</v>
      </c>
      <c r="Z418" s="3" t="str">
        <f t="shared" si="407"/>
        <v>Nie</v>
      </c>
      <c r="AA418" s="3" t="str">
        <f t="shared" si="408"/>
        <v>ZoD</v>
      </c>
      <c r="AD418" s="3" t="s">
        <v>607</v>
      </c>
      <c r="AE418" s="6">
        <v>44413</v>
      </c>
      <c r="AF418" s="3" t="s">
        <v>59</v>
      </c>
      <c r="AG418" s="3" t="s">
        <v>49</v>
      </c>
      <c r="AH418" s="3">
        <f>YEAR(SrcDB[[#This Row],[Datum_zverejnenia]])</f>
        <v>2021</v>
      </c>
      <c r="AI418" s="3" cm="1">
        <f t="array" ref="AI418">COUNT(_xlfn.UNIQUE(_xlfn._xlws.FILTER(SrcDB[ID],SrcDB[Objednavatel_ICO]=$H418)))</f>
        <v>7</v>
      </c>
      <c r="AJ418" s="3" cm="1">
        <f t="array" ref="AJ418">COUNT(_xlfn.UNIQUE(_xlfn._xlws.FILTER(SrcDB[ID],SrcDB[Dodavatel_ICO]=$K418)))</f>
        <v>9</v>
      </c>
      <c r="AK418" s="3">
        <f t="shared" si="431"/>
        <v>0</v>
      </c>
      <c r="AL418" s="3">
        <f t="shared" si="432"/>
        <v>0</v>
      </c>
      <c r="AM418" s="17" t="str">
        <f>IF(SrcDB[[#This Row],[Pocet zmluv objednavatela]]&gt;3,SrcDB[[#This Row],[Objednavatel]],"Ostatné")</f>
        <v>Ministerstvo investícií, regionálneho rozvoja a informatizácie Slovenskej republiky</v>
      </c>
      <c r="AN418" s="17" t="str">
        <f>IF(SrcDB[[#This Row],[Pocet zmluv dodavatela]]&gt;3,SrcDB[[#This Row],[Dodavatel]],"Ostatné")</f>
        <v>DXC Technology Slovakia s.r.o.</v>
      </c>
    </row>
    <row r="419" spans="1:40" x14ac:dyDescent="0.3">
      <c r="A419" s="2" t="s">
        <v>610</v>
      </c>
      <c r="B419" s="2">
        <v>5734901</v>
      </c>
      <c r="C419" s="3" t="str">
        <f t="shared" si="425"/>
        <v>Áno</v>
      </c>
      <c r="D419" s="3" t="str">
        <f t="shared" si="426"/>
        <v>Nie</v>
      </c>
      <c r="E419" s="3" t="s">
        <v>49</v>
      </c>
      <c r="F419" s="3" t="s">
        <v>48</v>
      </c>
      <c r="G419" s="2" t="str">
        <f t="shared" si="427"/>
        <v>Stredné zmluvy</v>
      </c>
      <c r="H419" s="5">
        <v>50349287</v>
      </c>
      <c r="I419" s="2" t="s">
        <v>200</v>
      </c>
      <c r="J419" s="2" t="s">
        <v>603</v>
      </c>
      <c r="K419" s="5">
        <v>35785306</v>
      </c>
      <c r="L419" s="2" t="s">
        <v>118</v>
      </c>
      <c r="M419" s="2" t="s">
        <v>604</v>
      </c>
      <c r="N419" s="6">
        <v>44326.552453703705</v>
      </c>
      <c r="O419" s="4">
        <v>7194683</v>
      </c>
      <c r="P419" s="2">
        <v>2473554</v>
      </c>
      <c r="Q419" s="2" t="s">
        <v>611</v>
      </c>
      <c r="R419" s="2" t="s">
        <v>612</v>
      </c>
      <c r="S419" s="2" t="s">
        <v>98</v>
      </c>
      <c r="T419" s="2" t="s">
        <v>287</v>
      </c>
      <c r="W419" s="4">
        <v>710</v>
      </c>
      <c r="X419" s="4">
        <v>852</v>
      </c>
      <c r="Y419" s="4">
        <f t="shared" ref="Y419" si="463">INDEX(InternalRates,MATCH($S419,InternalRates01,FALSE),2)</f>
        <v>278.98333333333335</v>
      </c>
      <c r="Z419" s="3" t="str">
        <f t="shared" si="407"/>
        <v>Nie</v>
      </c>
      <c r="AA419" s="3" t="str">
        <f t="shared" si="408"/>
        <v>ZoD</v>
      </c>
      <c r="AD419" s="3" t="s">
        <v>607</v>
      </c>
      <c r="AE419" s="6">
        <v>44413</v>
      </c>
      <c r="AF419" s="3" t="s">
        <v>59</v>
      </c>
      <c r="AG419" s="3" t="s">
        <v>49</v>
      </c>
      <c r="AH419" s="3">
        <f>YEAR(SrcDB[[#This Row],[Datum_zverejnenia]])</f>
        <v>2021</v>
      </c>
      <c r="AI419" s="3" cm="1">
        <f t="array" ref="AI419">COUNT(_xlfn.UNIQUE(_xlfn._xlws.FILTER(SrcDB[ID],SrcDB[Objednavatel_ICO]=$H419)))</f>
        <v>7</v>
      </c>
      <c r="AJ419" s="3" cm="1">
        <f t="array" ref="AJ419">COUNT(_xlfn.UNIQUE(_xlfn._xlws.FILTER(SrcDB[ID],SrcDB[Dodavatel_ICO]=$K419)))</f>
        <v>9</v>
      </c>
      <c r="AK419" s="3">
        <f t="shared" si="431"/>
        <v>0</v>
      </c>
      <c r="AL419" s="3">
        <f t="shared" si="432"/>
        <v>0</v>
      </c>
      <c r="AM419" s="17" t="str">
        <f>IF(SrcDB[[#This Row],[Pocet zmluv objednavatela]]&gt;3,SrcDB[[#This Row],[Objednavatel]],"Ostatné")</f>
        <v>Ministerstvo investícií, regionálneho rozvoja a informatizácie Slovenskej republiky</v>
      </c>
      <c r="AN419" s="17" t="str">
        <f>IF(SrcDB[[#This Row],[Pocet zmluv dodavatela]]&gt;3,SrcDB[[#This Row],[Dodavatel]],"Ostatné")</f>
        <v>DXC Technology Slovakia s.r.o.</v>
      </c>
    </row>
    <row r="420" spans="1:40" x14ac:dyDescent="0.3">
      <c r="A420" s="2" t="s">
        <v>610</v>
      </c>
      <c r="B420" s="2">
        <v>5734901</v>
      </c>
      <c r="C420" s="3" t="str">
        <f t="shared" si="425"/>
        <v>Áno</v>
      </c>
      <c r="D420" s="3" t="str">
        <f t="shared" si="426"/>
        <v>Nie</v>
      </c>
      <c r="E420" s="3" t="s">
        <v>49</v>
      </c>
      <c r="F420" s="3" t="s">
        <v>48</v>
      </c>
      <c r="G420" s="2" t="str">
        <f t="shared" si="427"/>
        <v>Stredné zmluvy</v>
      </c>
      <c r="H420" s="5">
        <v>50349287</v>
      </c>
      <c r="I420" s="2" t="s">
        <v>200</v>
      </c>
      <c r="J420" s="2" t="s">
        <v>603</v>
      </c>
      <c r="K420" s="5">
        <v>35785306</v>
      </c>
      <c r="L420" s="2" t="s">
        <v>118</v>
      </c>
      <c r="M420" s="2" t="s">
        <v>604</v>
      </c>
      <c r="N420" s="6">
        <v>44326.552453703705</v>
      </c>
      <c r="O420" s="4">
        <v>7194683</v>
      </c>
      <c r="P420" s="2">
        <v>2473554</v>
      </c>
      <c r="Q420" s="2" t="s">
        <v>611</v>
      </c>
      <c r="R420" s="2" t="s">
        <v>612</v>
      </c>
      <c r="S420" s="2" t="s">
        <v>56</v>
      </c>
      <c r="T420" s="2" t="s">
        <v>613</v>
      </c>
      <c r="U420" s="2" t="s">
        <v>129</v>
      </c>
      <c r="W420" s="4">
        <v>900</v>
      </c>
      <c r="X420" s="4">
        <v>1080</v>
      </c>
      <c r="Y420" s="4">
        <f t="shared" ref="Y420" si="464">INDEX(InternalRates,MATCH($S420,InternalRates01,FALSE),2)</f>
        <v>278.98333333333335</v>
      </c>
      <c r="Z420" s="3" t="str">
        <f t="shared" si="407"/>
        <v>Nie</v>
      </c>
      <c r="AA420" s="3" t="str">
        <f t="shared" si="408"/>
        <v>ZoD</v>
      </c>
      <c r="AD420" s="3" t="s">
        <v>607</v>
      </c>
      <c r="AE420" s="6">
        <v>44413</v>
      </c>
      <c r="AF420" s="3" t="s">
        <v>59</v>
      </c>
      <c r="AG420" s="3" t="s">
        <v>49</v>
      </c>
      <c r="AH420" s="3">
        <f>YEAR(SrcDB[[#This Row],[Datum_zverejnenia]])</f>
        <v>2021</v>
      </c>
      <c r="AI420" s="3" cm="1">
        <f t="array" ref="AI420">COUNT(_xlfn.UNIQUE(_xlfn._xlws.FILTER(SrcDB[ID],SrcDB[Objednavatel_ICO]=$H420)))</f>
        <v>7</v>
      </c>
      <c r="AJ420" s="3" cm="1">
        <f t="array" ref="AJ420">COUNT(_xlfn.UNIQUE(_xlfn._xlws.FILTER(SrcDB[ID],SrcDB[Dodavatel_ICO]=$K420)))</f>
        <v>9</v>
      </c>
      <c r="AK420" s="3">
        <f t="shared" si="431"/>
        <v>0</v>
      </c>
      <c r="AL420" s="3">
        <f t="shared" si="432"/>
        <v>0</v>
      </c>
      <c r="AM420" s="17" t="str">
        <f>IF(SrcDB[[#This Row],[Pocet zmluv objednavatela]]&gt;3,SrcDB[[#This Row],[Objednavatel]],"Ostatné")</f>
        <v>Ministerstvo investícií, regionálneho rozvoja a informatizácie Slovenskej republiky</v>
      </c>
      <c r="AN420" s="17" t="str">
        <f>IF(SrcDB[[#This Row],[Pocet zmluv dodavatela]]&gt;3,SrcDB[[#This Row],[Dodavatel]],"Ostatné")</f>
        <v>DXC Technology Slovakia s.r.o.</v>
      </c>
    </row>
    <row r="421" spans="1:40" x14ac:dyDescent="0.3">
      <c r="A421" s="2" t="s">
        <v>610</v>
      </c>
      <c r="B421" s="2">
        <v>5734901</v>
      </c>
      <c r="C421" s="3" t="str">
        <f t="shared" si="425"/>
        <v>Áno</v>
      </c>
      <c r="D421" s="3" t="str">
        <f t="shared" si="426"/>
        <v>Nie</v>
      </c>
      <c r="E421" s="3" t="s">
        <v>49</v>
      </c>
      <c r="F421" s="3" t="s">
        <v>48</v>
      </c>
      <c r="G421" s="2" t="str">
        <f t="shared" si="427"/>
        <v>Stredné zmluvy</v>
      </c>
      <c r="H421" s="5">
        <v>50349287</v>
      </c>
      <c r="I421" s="2" t="s">
        <v>200</v>
      </c>
      <c r="J421" s="2" t="s">
        <v>603</v>
      </c>
      <c r="K421" s="5">
        <v>35785306</v>
      </c>
      <c r="L421" s="2" t="s">
        <v>118</v>
      </c>
      <c r="M421" s="2" t="s">
        <v>604</v>
      </c>
      <c r="N421" s="6">
        <v>44326.552453703705</v>
      </c>
      <c r="O421" s="4">
        <v>7194683</v>
      </c>
      <c r="P421" s="2">
        <v>2473554</v>
      </c>
      <c r="Q421" s="2" t="s">
        <v>611</v>
      </c>
      <c r="R421" s="2" t="s">
        <v>612</v>
      </c>
      <c r="S421" s="2" t="s">
        <v>102</v>
      </c>
      <c r="T421" s="2" t="s">
        <v>609</v>
      </c>
      <c r="W421" s="4">
        <v>570</v>
      </c>
      <c r="X421" s="4">
        <v>684</v>
      </c>
      <c r="Y421" s="4">
        <f t="shared" ref="Y421" si="465">INDEX(InternalRates,MATCH($S421,InternalRates01,FALSE),2)</f>
        <v>278.98333333333335</v>
      </c>
      <c r="Z421" s="3" t="str">
        <f t="shared" si="407"/>
        <v>Nie</v>
      </c>
      <c r="AA421" s="3" t="str">
        <f t="shared" si="408"/>
        <v>ZoD</v>
      </c>
      <c r="AD421" s="3" t="s">
        <v>607</v>
      </c>
      <c r="AE421" s="6">
        <v>44413</v>
      </c>
      <c r="AF421" s="3" t="s">
        <v>59</v>
      </c>
      <c r="AG421" s="3" t="s">
        <v>49</v>
      </c>
      <c r="AH421" s="3">
        <f>YEAR(SrcDB[[#This Row],[Datum_zverejnenia]])</f>
        <v>2021</v>
      </c>
      <c r="AI421" s="3" cm="1">
        <f t="array" ref="AI421">COUNT(_xlfn.UNIQUE(_xlfn._xlws.FILTER(SrcDB[ID],SrcDB[Objednavatel_ICO]=$H421)))</f>
        <v>7</v>
      </c>
      <c r="AJ421" s="3" cm="1">
        <f t="array" ref="AJ421">COUNT(_xlfn.UNIQUE(_xlfn._xlws.FILTER(SrcDB[ID],SrcDB[Dodavatel_ICO]=$K421)))</f>
        <v>9</v>
      </c>
      <c r="AK421" s="3">
        <f t="shared" si="431"/>
        <v>0</v>
      </c>
      <c r="AL421" s="3">
        <f t="shared" si="432"/>
        <v>0</v>
      </c>
      <c r="AM421" s="17" t="str">
        <f>IF(SrcDB[[#This Row],[Pocet zmluv objednavatela]]&gt;3,SrcDB[[#This Row],[Objednavatel]],"Ostatné")</f>
        <v>Ministerstvo investícií, regionálneho rozvoja a informatizácie Slovenskej republiky</v>
      </c>
      <c r="AN421" s="17" t="str">
        <f>IF(SrcDB[[#This Row],[Pocet zmluv dodavatela]]&gt;3,SrcDB[[#This Row],[Dodavatel]],"Ostatné")</f>
        <v>DXC Technology Slovakia s.r.o.</v>
      </c>
    </row>
    <row r="422" spans="1:40" x14ac:dyDescent="0.3">
      <c r="A422" s="2" t="s">
        <v>614</v>
      </c>
      <c r="B422" s="2">
        <v>5772931</v>
      </c>
      <c r="C422" s="3" t="str">
        <f t="shared" si="425"/>
        <v>Nie</v>
      </c>
      <c r="D422" s="3" t="str">
        <f t="shared" si="426"/>
        <v>Áno</v>
      </c>
      <c r="E422" s="3" t="s">
        <v>48</v>
      </c>
      <c r="F422" s="3" t="s">
        <v>49</v>
      </c>
      <c r="G422" s="2" t="str">
        <f t="shared" si="427"/>
        <v>Malé zmluvy</v>
      </c>
      <c r="H422" s="5">
        <v>36631124</v>
      </c>
      <c r="I422" s="2" t="s">
        <v>104</v>
      </c>
      <c r="J422" s="2" t="s">
        <v>105</v>
      </c>
      <c r="K422" s="5">
        <v>31361552</v>
      </c>
      <c r="L422" s="2" t="s">
        <v>65</v>
      </c>
      <c r="M422" s="2" t="s">
        <v>615</v>
      </c>
      <c r="N422" s="6">
        <v>44347</v>
      </c>
      <c r="O422" s="4">
        <v>394000</v>
      </c>
      <c r="P422" s="2">
        <v>114573</v>
      </c>
      <c r="Q422" s="2" t="s">
        <v>616</v>
      </c>
      <c r="R422" s="2" t="s">
        <v>617</v>
      </c>
      <c r="S422" s="2" t="s">
        <v>79</v>
      </c>
      <c r="T422" s="2" t="s">
        <v>110</v>
      </c>
      <c r="W422" s="4">
        <v>560</v>
      </c>
      <c r="X422" s="4">
        <v>672</v>
      </c>
      <c r="Y422" s="4">
        <f t="shared" ref="Y422" si="466">INDEX(InternalRates,MATCH($S422,InternalRates01,FALSE),2)</f>
        <v>278.98333333333335</v>
      </c>
      <c r="Z422" s="3" t="str">
        <f t="shared" si="407"/>
        <v>Nie</v>
      </c>
      <c r="AA422" s="3" t="str">
        <f t="shared" si="408"/>
        <v>SLA</v>
      </c>
      <c r="AD422" s="3" t="s">
        <v>48</v>
      </c>
      <c r="AE422" s="6">
        <v>44420</v>
      </c>
      <c r="AF422" s="3" t="s">
        <v>59</v>
      </c>
      <c r="AG422" s="3" t="s">
        <v>60</v>
      </c>
      <c r="AH422" s="3">
        <f>YEAR(SrcDB[[#This Row],[Datum_zverejnenia]])</f>
        <v>2021</v>
      </c>
      <c r="AI422" s="3" cm="1">
        <f t="array" ref="AI422">COUNT(_xlfn.UNIQUE(_xlfn._xlws.FILTER(SrcDB[ID],SrcDB[Objednavatel_ICO]=$H422)))</f>
        <v>17</v>
      </c>
      <c r="AJ422" s="3" cm="1">
        <f t="array" ref="AJ422">COUNT(_xlfn.UNIQUE(_xlfn._xlws.FILTER(SrcDB[ID],SrcDB[Dodavatel_ICO]=$K422)))</f>
        <v>4</v>
      </c>
      <c r="AK422" s="3">
        <f t="shared" si="431"/>
        <v>1</v>
      </c>
      <c r="AL422" s="3">
        <f t="shared" si="432"/>
        <v>1</v>
      </c>
      <c r="AM422" s="17" t="str">
        <f>IF(SrcDB[[#This Row],[Pocet zmluv objednavatela]]&gt;3,SrcDB[[#This Row],[Objednavatel]],"Ostatné")</f>
        <v>Slovenská pošta, a. s.</v>
      </c>
      <c r="AN422" s="17" t="str">
        <f>IF(SrcDB[[#This Row],[Pocet zmluv dodavatela]]&gt;3,SrcDB[[#This Row],[Dodavatel]],"Ostatné")</f>
        <v>ANASOFT APR, spol. s r.o.</v>
      </c>
    </row>
    <row r="423" spans="1:40" x14ac:dyDescent="0.3">
      <c r="A423" s="2" t="s">
        <v>614</v>
      </c>
      <c r="B423" s="2">
        <v>5772931</v>
      </c>
      <c r="C423" s="3" t="str">
        <f t="shared" si="425"/>
        <v>Nie</v>
      </c>
      <c r="D423" s="3" t="str">
        <f t="shared" si="426"/>
        <v>Áno</v>
      </c>
      <c r="E423" s="3" t="s">
        <v>48</v>
      </c>
      <c r="F423" s="3" t="s">
        <v>49</v>
      </c>
      <c r="G423" s="2" t="str">
        <f t="shared" si="427"/>
        <v>Malé zmluvy</v>
      </c>
      <c r="H423" s="5">
        <v>36631124</v>
      </c>
      <c r="I423" s="2" t="s">
        <v>104</v>
      </c>
      <c r="J423" s="2" t="s">
        <v>105</v>
      </c>
      <c r="K423" s="5">
        <v>31361552</v>
      </c>
      <c r="L423" s="2" t="s">
        <v>65</v>
      </c>
      <c r="M423" s="2" t="s">
        <v>615</v>
      </c>
      <c r="N423" s="6">
        <v>44347</v>
      </c>
      <c r="O423" s="4">
        <v>394000</v>
      </c>
      <c r="P423" s="2">
        <v>114573</v>
      </c>
      <c r="Q423" s="2" t="s">
        <v>616</v>
      </c>
      <c r="R423" s="2" t="s">
        <v>617</v>
      </c>
      <c r="S423" s="2" t="s">
        <v>69</v>
      </c>
      <c r="T423" s="2" t="s">
        <v>325</v>
      </c>
      <c r="W423" s="4">
        <v>560</v>
      </c>
      <c r="X423" s="4">
        <v>672</v>
      </c>
      <c r="Y423" s="4">
        <f t="shared" ref="Y423" si="467">INDEX(InternalRates,MATCH($S423,InternalRates01,FALSE),2)</f>
        <v>278.98333333333335</v>
      </c>
      <c r="Z423" s="3" t="str">
        <f t="shared" si="407"/>
        <v>Nie</v>
      </c>
      <c r="AA423" s="3" t="str">
        <f t="shared" si="408"/>
        <v>SLA</v>
      </c>
      <c r="AD423" s="3" t="s">
        <v>48</v>
      </c>
      <c r="AE423" s="6">
        <v>44420</v>
      </c>
      <c r="AF423" s="3" t="s">
        <v>59</v>
      </c>
      <c r="AG423" s="3" t="s">
        <v>60</v>
      </c>
      <c r="AH423" s="3">
        <f>YEAR(SrcDB[[#This Row],[Datum_zverejnenia]])</f>
        <v>2021</v>
      </c>
      <c r="AI423" s="3" cm="1">
        <f t="array" ref="AI423">COUNT(_xlfn.UNIQUE(_xlfn._xlws.FILTER(SrcDB[ID],SrcDB[Objednavatel_ICO]=$H423)))</f>
        <v>17</v>
      </c>
      <c r="AJ423" s="3" cm="1">
        <f t="array" ref="AJ423">COUNT(_xlfn.UNIQUE(_xlfn._xlws.FILTER(SrcDB[ID],SrcDB[Dodavatel_ICO]=$K423)))</f>
        <v>4</v>
      </c>
      <c r="AK423" s="3">
        <f t="shared" si="431"/>
        <v>0</v>
      </c>
      <c r="AL423" s="3">
        <f t="shared" si="432"/>
        <v>0</v>
      </c>
      <c r="AM423" s="17" t="str">
        <f>IF(SrcDB[[#This Row],[Pocet zmluv objednavatela]]&gt;3,SrcDB[[#This Row],[Objednavatel]],"Ostatné")</f>
        <v>Slovenská pošta, a. s.</v>
      </c>
      <c r="AN423" s="17" t="str">
        <f>IF(SrcDB[[#This Row],[Pocet zmluv dodavatela]]&gt;3,SrcDB[[#This Row],[Dodavatel]],"Ostatné")</f>
        <v>ANASOFT APR, spol. s r.o.</v>
      </c>
    </row>
    <row r="424" spans="1:40" x14ac:dyDescent="0.3">
      <c r="A424" s="2" t="s">
        <v>614</v>
      </c>
      <c r="B424" s="2">
        <v>5772931</v>
      </c>
      <c r="C424" s="3" t="str">
        <f t="shared" si="425"/>
        <v>Nie</v>
      </c>
      <c r="D424" s="3" t="str">
        <f t="shared" si="426"/>
        <v>Áno</v>
      </c>
      <c r="E424" s="3" t="s">
        <v>48</v>
      </c>
      <c r="F424" s="3" t="s">
        <v>49</v>
      </c>
      <c r="G424" s="2" t="str">
        <f t="shared" si="427"/>
        <v>Malé zmluvy</v>
      </c>
      <c r="H424" s="5">
        <v>36631124</v>
      </c>
      <c r="I424" s="2" t="s">
        <v>104</v>
      </c>
      <c r="J424" s="2" t="s">
        <v>105</v>
      </c>
      <c r="K424" s="5">
        <v>31361552</v>
      </c>
      <c r="L424" s="2" t="s">
        <v>65</v>
      </c>
      <c r="M424" s="2" t="s">
        <v>615</v>
      </c>
      <c r="N424" s="6">
        <v>44347</v>
      </c>
      <c r="O424" s="4">
        <v>394000</v>
      </c>
      <c r="P424" s="2">
        <v>114573</v>
      </c>
      <c r="Q424" s="2" t="s">
        <v>616</v>
      </c>
      <c r="R424" s="2" t="s">
        <v>617</v>
      </c>
      <c r="S424" s="2" t="s">
        <v>73</v>
      </c>
      <c r="T424" s="2" t="s">
        <v>73</v>
      </c>
      <c r="W424" s="4">
        <v>640</v>
      </c>
      <c r="X424" s="4">
        <v>768</v>
      </c>
      <c r="Y424" s="4">
        <f t="shared" ref="Y424" si="468">INDEX(InternalRates,MATCH($S424,InternalRates01,FALSE),2)</f>
        <v>278.98333333333335</v>
      </c>
      <c r="Z424" s="3" t="str">
        <f t="shared" si="407"/>
        <v>Nie</v>
      </c>
      <c r="AA424" s="3" t="str">
        <f t="shared" si="408"/>
        <v>SLA</v>
      </c>
      <c r="AD424" s="3" t="s">
        <v>48</v>
      </c>
      <c r="AE424" s="6">
        <v>44420</v>
      </c>
      <c r="AF424" s="3" t="s">
        <v>59</v>
      </c>
      <c r="AG424" s="3" t="s">
        <v>60</v>
      </c>
      <c r="AH424" s="3">
        <f>YEAR(SrcDB[[#This Row],[Datum_zverejnenia]])</f>
        <v>2021</v>
      </c>
      <c r="AI424" s="3" cm="1">
        <f t="array" ref="AI424">COUNT(_xlfn.UNIQUE(_xlfn._xlws.FILTER(SrcDB[ID],SrcDB[Objednavatel_ICO]=$H424)))</f>
        <v>17</v>
      </c>
      <c r="AJ424" s="3" cm="1">
        <f t="array" ref="AJ424">COUNT(_xlfn.UNIQUE(_xlfn._xlws.FILTER(SrcDB[ID],SrcDB[Dodavatel_ICO]=$K424)))</f>
        <v>4</v>
      </c>
      <c r="AK424" s="3">
        <f t="shared" si="431"/>
        <v>0</v>
      </c>
      <c r="AL424" s="3">
        <f t="shared" si="432"/>
        <v>0</v>
      </c>
      <c r="AM424" s="17" t="str">
        <f>IF(SrcDB[[#This Row],[Pocet zmluv objednavatela]]&gt;3,SrcDB[[#This Row],[Objednavatel]],"Ostatné")</f>
        <v>Slovenská pošta, a. s.</v>
      </c>
      <c r="AN424" s="17" t="str">
        <f>IF(SrcDB[[#This Row],[Pocet zmluv dodavatela]]&gt;3,SrcDB[[#This Row],[Dodavatel]],"Ostatné")</f>
        <v>ANASOFT APR, spol. s r.o.</v>
      </c>
    </row>
    <row r="425" spans="1:40" x14ac:dyDescent="0.3">
      <c r="A425" s="2" t="s">
        <v>614</v>
      </c>
      <c r="B425" s="2">
        <v>5772931</v>
      </c>
      <c r="C425" s="3" t="str">
        <f t="shared" si="425"/>
        <v>Nie</v>
      </c>
      <c r="D425" s="3" t="str">
        <f t="shared" si="426"/>
        <v>Áno</v>
      </c>
      <c r="E425" s="3" t="s">
        <v>48</v>
      </c>
      <c r="F425" s="3" t="s">
        <v>49</v>
      </c>
      <c r="G425" s="2" t="str">
        <f t="shared" si="427"/>
        <v>Malé zmluvy</v>
      </c>
      <c r="H425" s="5">
        <v>36631124</v>
      </c>
      <c r="I425" s="2" t="s">
        <v>104</v>
      </c>
      <c r="J425" s="2" t="s">
        <v>105</v>
      </c>
      <c r="K425" s="5">
        <v>31361552</v>
      </c>
      <c r="L425" s="2" t="s">
        <v>65</v>
      </c>
      <c r="M425" s="2" t="s">
        <v>615</v>
      </c>
      <c r="N425" s="6">
        <v>44347</v>
      </c>
      <c r="O425" s="4">
        <v>394000</v>
      </c>
      <c r="P425" s="2">
        <v>114573</v>
      </c>
      <c r="Q425" s="2" t="s">
        <v>616</v>
      </c>
      <c r="R425" s="2" t="s">
        <v>617</v>
      </c>
      <c r="S425" s="2" t="s">
        <v>56</v>
      </c>
      <c r="T425" s="2" t="s">
        <v>328</v>
      </c>
      <c r="U425" s="2" t="s">
        <v>113</v>
      </c>
      <c r="W425" s="4">
        <v>560</v>
      </c>
      <c r="X425" s="4">
        <v>672</v>
      </c>
      <c r="Y425" s="4">
        <f t="shared" ref="Y425" si="469">INDEX(InternalRates,MATCH($S425,InternalRates01,FALSE),2)</f>
        <v>278.98333333333335</v>
      </c>
      <c r="Z425" s="3" t="str">
        <f t="shared" si="407"/>
        <v>Nie</v>
      </c>
      <c r="AA425" s="3" t="str">
        <f t="shared" si="408"/>
        <v>SLA</v>
      </c>
      <c r="AD425" s="3" t="s">
        <v>48</v>
      </c>
      <c r="AE425" s="6">
        <v>44420</v>
      </c>
      <c r="AF425" s="3" t="s">
        <v>59</v>
      </c>
      <c r="AG425" s="3" t="s">
        <v>60</v>
      </c>
      <c r="AH425" s="3">
        <f>YEAR(SrcDB[[#This Row],[Datum_zverejnenia]])</f>
        <v>2021</v>
      </c>
      <c r="AI425" s="3" cm="1">
        <f t="array" ref="AI425">COUNT(_xlfn.UNIQUE(_xlfn._xlws.FILTER(SrcDB[ID],SrcDB[Objednavatel_ICO]=$H425)))</f>
        <v>17</v>
      </c>
      <c r="AJ425" s="3" cm="1">
        <f t="array" ref="AJ425">COUNT(_xlfn.UNIQUE(_xlfn._xlws.FILTER(SrcDB[ID],SrcDB[Dodavatel_ICO]=$K425)))</f>
        <v>4</v>
      </c>
      <c r="AK425" s="3">
        <f t="shared" si="431"/>
        <v>0</v>
      </c>
      <c r="AL425" s="3">
        <f t="shared" si="432"/>
        <v>0</v>
      </c>
      <c r="AM425" s="17" t="str">
        <f>IF(SrcDB[[#This Row],[Pocet zmluv objednavatela]]&gt;3,SrcDB[[#This Row],[Objednavatel]],"Ostatné")</f>
        <v>Slovenská pošta, a. s.</v>
      </c>
      <c r="AN425" s="17" t="str">
        <f>IF(SrcDB[[#This Row],[Pocet zmluv dodavatela]]&gt;3,SrcDB[[#This Row],[Dodavatel]],"Ostatné")</f>
        <v>ANASOFT APR, spol. s r.o.</v>
      </c>
    </row>
    <row r="426" spans="1:40" x14ac:dyDescent="0.3">
      <c r="A426" s="2" t="s">
        <v>614</v>
      </c>
      <c r="B426" s="2">
        <v>5772931</v>
      </c>
      <c r="C426" s="3" t="str">
        <f t="shared" si="425"/>
        <v>Nie</v>
      </c>
      <c r="D426" s="3" t="str">
        <f t="shared" si="426"/>
        <v>Áno</v>
      </c>
      <c r="E426" s="3" t="s">
        <v>48</v>
      </c>
      <c r="F426" s="3" t="s">
        <v>49</v>
      </c>
      <c r="G426" s="2" t="str">
        <f t="shared" si="427"/>
        <v>Malé zmluvy</v>
      </c>
      <c r="H426" s="5">
        <v>36631124</v>
      </c>
      <c r="I426" s="2" t="s">
        <v>104</v>
      </c>
      <c r="J426" s="2" t="s">
        <v>105</v>
      </c>
      <c r="K426" s="5">
        <v>31361552</v>
      </c>
      <c r="L426" s="2" t="s">
        <v>65</v>
      </c>
      <c r="M426" s="2" t="s">
        <v>615</v>
      </c>
      <c r="N426" s="6">
        <v>44347</v>
      </c>
      <c r="O426" s="4">
        <v>394000</v>
      </c>
      <c r="P426" s="2">
        <v>114573</v>
      </c>
      <c r="Q426" s="2" t="s">
        <v>616</v>
      </c>
      <c r="R426" s="2" t="s">
        <v>617</v>
      </c>
      <c r="S426" s="2" t="s">
        <v>77</v>
      </c>
      <c r="T426" s="2" t="s">
        <v>77</v>
      </c>
      <c r="W426" s="4">
        <v>560</v>
      </c>
      <c r="X426" s="4">
        <v>672</v>
      </c>
      <c r="Y426" s="4">
        <f t="shared" ref="Y426" si="470">INDEX(InternalRates,MATCH($S426,InternalRates01,FALSE),2)</f>
        <v>278.98333333333335</v>
      </c>
      <c r="Z426" s="3" t="str">
        <f t="shared" si="407"/>
        <v>Nie</v>
      </c>
      <c r="AA426" s="3" t="str">
        <f t="shared" si="408"/>
        <v>SLA</v>
      </c>
      <c r="AD426" s="3" t="s">
        <v>48</v>
      </c>
      <c r="AE426" s="6">
        <v>44420</v>
      </c>
      <c r="AF426" s="3" t="s">
        <v>59</v>
      </c>
      <c r="AG426" s="3" t="s">
        <v>60</v>
      </c>
      <c r="AH426" s="3">
        <f>YEAR(SrcDB[[#This Row],[Datum_zverejnenia]])</f>
        <v>2021</v>
      </c>
      <c r="AI426" s="3" cm="1">
        <f t="array" ref="AI426">COUNT(_xlfn.UNIQUE(_xlfn._xlws.FILTER(SrcDB[ID],SrcDB[Objednavatel_ICO]=$H426)))</f>
        <v>17</v>
      </c>
      <c r="AJ426" s="3" cm="1">
        <f t="array" ref="AJ426">COUNT(_xlfn.UNIQUE(_xlfn._xlws.FILTER(SrcDB[ID],SrcDB[Dodavatel_ICO]=$K426)))</f>
        <v>4</v>
      </c>
      <c r="AK426" s="3">
        <f t="shared" si="431"/>
        <v>0</v>
      </c>
      <c r="AL426" s="3">
        <f t="shared" si="432"/>
        <v>0</v>
      </c>
      <c r="AM426" s="17" t="str">
        <f>IF(SrcDB[[#This Row],[Pocet zmluv objednavatela]]&gt;3,SrcDB[[#This Row],[Objednavatel]],"Ostatné")</f>
        <v>Slovenská pošta, a. s.</v>
      </c>
      <c r="AN426" s="17" t="str">
        <f>IF(SrcDB[[#This Row],[Pocet zmluv dodavatela]]&gt;3,SrcDB[[#This Row],[Dodavatel]],"Ostatné")</f>
        <v>ANASOFT APR, spol. s r.o.</v>
      </c>
    </row>
    <row r="427" spans="1:40" x14ac:dyDescent="0.3">
      <c r="A427" s="2" t="s">
        <v>614</v>
      </c>
      <c r="B427" s="2">
        <v>5772931</v>
      </c>
      <c r="C427" s="3" t="str">
        <f t="shared" si="425"/>
        <v>Nie</v>
      </c>
      <c r="D427" s="3" t="str">
        <f t="shared" si="426"/>
        <v>Áno</v>
      </c>
      <c r="E427" s="3" t="s">
        <v>48</v>
      </c>
      <c r="F427" s="3" t="s">
        <v>49</v>
      </c>
      <c r="G427" s="2" t="str">
        <f t="shared" si="427"/>
        <v>Malé zmluvy</v>
      </c>
      <c r="H427" s="5">
        <v>36631124</v>
      </c>
      <c r="I427" s="2" t="s">
        <v>104</v>
      </c>
      <c r="J427" s="2" t="s">
        <v>105</v>
      </c>
      <c r="K427" s="5">
        <v>31361552</v>
      </c>
      <c r="L427" s="2" t="s">
        <v>65</v>
      </c>
      <c r="M427" s="2" t="s">
        <v>615</v>
      </c>
      <c r="N427" s="6">
        <v>44347</v>
      </c>
      <c r="O427" s="4">
        <v>394000</v>
      </c>
      <c r="P427" s="2">
        <v>114573</v>
      </c>
      <c r="Q427" s="2" t="s">
        <v>616</v>
      </c>
      <c r="R427" s="2" t="s">
        <v>617</v>
      </c>
      <c r="S427" s="2" t="s">
        <v>98</v>
      </c>
      <c r="T427" s="2" t="s">
        <v>98</v>
      </c>
      <c r="W427" s="4">
        <v>480</v>
      </c>
      <c r="X427" s="4">
        <v>576</v>
      </c>
      <c r="Y427" s="4">
        <f t="shared" ref="Y427" si="471">INDEX(InternalRates,MATCH($S427,InternalRates01,FALSE),2)</f>
        <v>278.98333333333335</v>
      </c>
      <c r="Z427" s="3" t="str">
        <f t="shared" si="407"/>
        <v>Nie</v>
      </c>
      <c r="AA427" s="3" t="str">
        <f t="shared" si="408"/>
        <v>SLA</v>
      </c>
      <c r="AD427" s="3" t="s">
        <v>48</v>
      </c>
      <c r="AE427" s="6">
        <v>44420</v>
      </c>
      <c r="AF427" s="3" t="s">
        <v>59</v>
      </c>
      <c r="AG427" s="3" t="s">
        <v>60</v>
      </c>
      <c r="AH427" s="3">
        <f>YEAR(SrcDB[[#This Row],[Datum_zverejnenia]])</f>
        <v>2021</v>
      </c>
      <c r="AI427" s="3" cm="1">
        <f t="array" ref="AI427">COUNT(_xlfn.UNIQUE(_xlfn._xlws.FILTER(SrcDB[ID],SrcDB[Objednavatel_ICO]=$H427)))</f>
        <v>17</v>
      </c>
      <c r="AJ427" s="3" cm="1">
        <f t="array" ref="AJ427">COUNT(_xlfn.UNIQUE(_xlfn._xlws.FILTER(SrcDB[ID],SrcDB[Dodavatel_ICO]=$K427)))</f>
        <v>4</v>
      </c>
      <c r="AK427" s="3">
        <f t="shared" si="431"/>
        <v>0</v>
      </c>
      <c r="AL427" s="3">
        <f t="shared" si="432"/>
        <v>0</v>
      </c>
      <c r="AM427" s="17" t="str">
        <f>IF(SrcDB[[#This Row],[Pocet zmluv objednavatela]]&gt;3,SrcDB[[#This Row],[Objednavatel]],"Ostatné")</f>
        <v>Slovenská pošta, a. s.</v>
      </c>
      <c r="AN427" s="17" t="str">
        <f>IF(SrcDB[[#This Row],[Pocet zmluv dodavatela]]&gt;3,SrcDB[[#This Row],[Dodavatel]],"Ostatné")</f>
        <v>ANASOFT APR, spol. s r.o.</v>
      </c>
    </row>
    <row r="428" spans="1:40" x14ac:dyDescent="0.3">
      <c r="A428" s="2" t="s">
        <v>614</v>
      </c>
      <c r="B428" s="2">
        <v>5772931</v>
      </c>
      <c r="C428" s="3" t="str">
        <f t="shared" si="425"/>
        <v>Nie</v>
      </c>
      <c r="D428" s="3" t="str">
        <f t="shared" si="426"/>
        <v>Áno</v>
      </c>
      <c r="E428" s="3" t="s">
        <v>48</v>
      </c>
      <c r="F428" s="3" t="s">
        <v>49</v>
      </c>
      <c r="G428" s="2" t="str">
        <f t="shared" si="427"/>
        <v>Malé zmluvy</v>
      </c>
      <c r="H428" s="5">
        <v>36631124</v>
      </c>
      <c r="I428" s="2" t="s">
        <v>104</v>
      </c>
      <c r="J428" s="2" t="s">
        <v>105</v>
      </c>
      <c r="K428" s="5">
        <v>31361552</v>
      </c>
      <c r="L428" s="2" t="s">
        <v>65</v>
      </c>
      <c r="M428" s="2" t="s">
        <v>615</v>
      </c>
      <c r="N428" s="6">
        <v>44347</v>
      </c>
      <c r="O428" s="4">
        <v>394000</v>
      </c>
      <c r="P428" s="2">
        <v>114573</v>
      </c>
      <c r="Q428" s="2" t="s">
        <v>616</v>
      </c>
      <c r="R428" s="2" t="s">
        <v>617</v>
      </c>
      <c r="S428" s="2" t="s">
        <v>79</v>
      </c>
      <c r="T428" s="2" t="s">
        <v>79</v>
      </c>
      <c r="W428" s="4">
        <v>480</v>
      </c>
      <c r="X428" s="4">
        <v>576</v>
      </c>
      <c r="Y428" s="4">
        <f t="shared" ref="Y428" si="472">INDEX(InternalRates,MATCH($S428,InternalRates01,FALSE),2)</f>
        <v>278.98333333333335</v>
      </c>
      <c r="Z428" s="3" t="str">
        <f t="shared" si="407"/>
        <v>Nie</v>
      </c>
      <c r="AA428" s="3" t="str">
        <f t="shared" si="408"/>
        <v>SLA</v>
      </c>
      <c r="AD428" s="3" t="s">
        <v>48</v>
      </c>
      <c r="AE428" s="6">
        <v>44420</v>
      </c>
      <c r="AF428" s="3" t="s">
        <v>59</v>
      </c>
      <c r="AG428" s="3" t="s">
        <v>60</v>
      </c>
      <c r="AH428" s="3">
        <f>YEAR(SrcDB[[#This Row],[Datum_zverejnenia]])</f>
        <v>2021</v>
      </c>
      <c r="AI428" s="3" cm="1">
        <f t="array" ref="AI428">COUNT(_xlfn.UNIQUE(_xlfn._xlws.FILTER(SrcDB[ID],SrcDB[Objednavatel_ICO]=$H428)))</f>
        <v>17</v>
      </c>
      <c r="AJ428" s="3" cm="1">
        <f t="array" ref="AJ428">COUNT(_xlfn.UNIQUE(_xlfn._xlws.FILTER(SrcDB[ID],SrcDB[Dodavatel_ICO]=$K428)))</f>
        <v>4</v>
      </c>
      <c r="AK428" s="3">
        <f t="shared" si="431"/>
        <v>0</v>
      </c>
      <c r="AL428" s="3">
        <f t="shared" si="432"/>
        <v>0</v>
      </c>
      <c r="AM428" s="17" t="str">
        <f>IF(SrcDB[[#This Row],[Pocet zmluv objednavatela]]&gt;3,SrcDB[[#This Row],[Objednavatel]],"Ostatné")</f>
        <v>Slovenská pošta, a. s.</v>
      </c>
      <c r="AN428" s="17" t="str">
        <f>IF(SrcDB[[#This Row],[Pocet zmluv dodavatela]]&gt;3,SrcDB[[#This Row],[Dodavatel]],"Ostatné")</f>
        <v>ANASOFT APR, spol. s r.o.</v>
      </c>
    </row>
    <row r="429" spans="1:40" x14ac:dyDescent="0.3">
      <c r="A429" s="2" t="s">
        <v>614</v>
      </c>
      <c r="B429" s="2">
        <v>5772931</v>
      </c>
      <c r="C429" s="3" t="str">
        <f t="shared" si="425"/>
        <v>Nie</v>
      </c>
      <c r="D429" s="3" t="str">
        <f t="shared" si="426"/>
        <v>Áno</v>
      </c>
      <c r="E429" s="3" t="s">
        <v>48</v>
      </c>
      <c r="F429" s="3" t="s">
        <v>49</v>
      </c>
      <c r="G429" s="2" t="str">
        <f t="shared" si="427"/>
        <v>Malé zmluvy</v>
      </c>
      <c r="H429" s="5">
        <v>36631124</v>
      </c>
      <c r="I429" s="2" t="s">
        <v>104</v>
      </c>
      <c r="J429" s="2" t="s">
        <v>105</v>
      </c>
      <c r="K429" s="5">
        <v>31361552</v>
      </c>
      <c r="L429" s="2" t="s">
        <v>65</v>
      </c>
      <c r="M429" s="2" t="s">
        <v>615</v>
      </c>
      <c r="N429" s="6">
        <v>44347</v>
      </c>
      <c r="O429" s="4">
        <v>394000</v>
      </c>
      <c r="P429" s="2">
        <v>114573</v>
      </c>
      <c r="Q429" s="2" t="s">
        <v>616</v>
      </c>
      <c r="R429" s="2" t="s">
        <v>617</v>
      </c>
      <c r="S429" s="2" t="s">
        <v>100</v>
      </c>
      <c r="T429" s="2" t="s">
        <v>333</v>
      </c>
      <c r="W429" s="4">
        <v>480</v>
      </c>
      <c r="X429" s="4">
        <v>576</v>
      </c>
      <c r="Y429" s="4">
        <f t="shared" ref="Y429" si="473">INDEX(InternalRates,MATCH($S429,InternalRates01,FALSE),2)</f>
        <v>278.98333333333335</v>
      </c>
      <c r="Z429" s="3" t="str">
        <f t="shared" si="407"/>
        <v>Nie</v>
      </c>
      <c r="AA429" s="3" t="str">
        <f t="shared" si="408"/>
        <v>SLA</v>
      </c>
      <c r="AD429" s="3" t="s">
        <v>48</v>
      </c>
      <c r="AE429" s="6">
        <v>44420</v>
      </c>
      <c r="AF429" s="3" t="s">
        <v>59</v>
      </c>
      <c r="AG429" s="3" t="s">
        <v>60</v>
      </c>
      <c r="AH429" s="3">
        <f>YEAR(SrcDB[[#This Row],[Datum_zverejnenia]])</f>
        <v>2021</v>
      </c>
      <c r="AI429" s="3" cm="1">
        <f t="array" ref="AI429">COUNT(_xlfn.UNIQUE(_xlfn._xlws.FILTER(SrcDB[ID],SrcDB[Objednavatel_ICO]=$H429)))</f>
        <v>17</v>
      </c>
      <c r="AJ429" s="3" cm="1">
        <f t="array" ref="AJ429">COUNT(_xlfn.UNIQUE(_xlfn._xlws.FILTER(SrcDB[ID],SrcDB[Dodavatel_ICO]=$K429)))</f>
        <v>4</v>
      </c>
      <c r="AK429" s="3">
        <f t="shared" si="431"/>
        <v>0</v>
      </c>
      <c r="AL429" s="3">
        <f t="shared" si="432"/>
        <v>0</v>
      </c>
      <c r="AM429" s="17" t="str">
        <f>IF(SrcDB[[#This Row],[Pocet zmluv objednavatela]]&gt;3,SrcDB[[#This Row],[Objednavatel]],"Ostatné")</f>
        <v>Slovenská pošta, a. s.</v>
      </c>
      <c r="AN429" s="17" t="str">
        <f>IF(SrcDB[[#This Row],[Pocet zmluv dodavatela]]&gt;3,SrcDB[[#This Row],[Dodavatel]],"Ostatné")</f>
        <v>ANASOFT APR, spol. s r.o.</v>
      </c>
    </row>
    <row r="430" spans="1:40" x14ac:dyDescent="0.3">
      <c r="A430" s="2" t="s">
        <v>614</v>
      </c>
      <c r="B430" s="2">
        <v>5772931</v>
      </c>
      <c r="C430" s="3" t="str">
        <f t="shared" si="425"/>
        <v>Nie</v>
      </c>
      <c r="D430" s="3" t="str">
        <f t="shared" si="426"/>
        <v>Áno</v>
      </c>
      <c r="E430" s="3" t="s">
        <v>48</v>
      </c>
      <c r="F430" s="3" t="s">
        <v>49</v>
      </c>
      <c r="G430" s="2" t="str">
        <f t="shared" si="427"/>
        <v>Malé zmluvy</v>
      </c>
      <c r="H430" s="5">
        <v>36631124</v>
      </c>
      <c r="I430" s="2" t="s">
        <v>104</v>
      </c>
      <c r="J430" s="2" t="s">
        <v>105</v>
      </c>
      <c r="K430" s="5">
        <v>31361552</v>
      </c>
      <c r="L430" s="2" t="s">
        <v>65</v>
      </c>
      <c r="M430" s="2" t="s">
        <v>615</v>
      </c>
      <c r="N430" s="6">
        <v>44347.481620370374</v>
      </c>
      <c r="O430" s="4">
        <v>394000</v>
      </c>
      <c r="P430" s="2">
        <v>114573</v>
      </c>
      <c r="Q430" s="2" t="s">
        <v>616</v>
      </c>
      <c r="R430" s="2" t="s">
        <v>617</v>
      </c>
      <c r="S430" s="2" t="s">
        <v>71</v>
      </c>
      <c r="T430" s="2" t="s">
        <v>320</v>
      </c>
      <c r="W430" s="4">
        <v>640</v>
      </c>
      <c r="X430" s="4">
        <v>768</v>
      </c>
      <c r="Y430" s="4">
        <f t="shared" ref="Y430" si="474">INDEX(InternalRates,MATCH($S430,InternalRates01,FALSE),2)</f>
        <v>354.0333333333333</v>
      </c>
      <c r="Z430" s="3" t="str">
        <f t="shared" si="407"/>
        <v>Nie</v>
      </c>
      <c r="AA430" s="3" t="str">
        <f t="shared" si="408"/>
        <v>SLA</v>
      </c>
      <c r="AD430" s="3" t="s">
        <v>48</v>
      </c>
      <c r="AE430" s="6">
        <v>44420</v>
      </c>
      <c r="AF430" s="3" t="s">
        <v>59</v>
      </c>
      <c r="AG430" s="3" t="s">
        <v>60</v>
      </c>
      <c r="AH430" s="3">
        <f>YEAR(SrcDB[[#This Row],[Datum_zverejnenia]])</f>
        <v>2021</v>
      </c>
      <c r="AI430" s="3" cm="1">
        <f t="array" ref="AI430">COUNT(_xlfn.UNIQUE(_xlfn._xlws.FILTER(SrcDB[ID],SrcDB[Objednavatel_ICO]=$H430)))</f>
        <v>17</v>
      </c>
      <c r="AJ430" s="3" cm="1">
        <f t="array" ref="AJ430">COUNT(_xlfn.UNIQUE(_xlfn._xlws.FILTER(SrcDB[ID],SrcDB[Dodavatel_ICO]=$K430)))</f>
        <v>4</v>
      </c>
      <c r="AK430" s="3">
        <f t="shared" si="431"/>
        <v>0</v>
      </c>
      <c r="AL430" s="3">
        <f t="shared" si="432"/>
        <v>0</v>
      </c>
      <c r="AM430" s="17" t="str">
        <f>IF(SrcDB[[#This Row],[Pocet zmluv objednavatela]]&gt;3,SrcDB[[#This Row],[Objednavatel]],"Ostatné")</f>
        <v>Slovenská pošta, a. s.</v>
      </c>
      <c r="AN430" s="17" t="str">
        <f>IF(SrcDB[[#This Row],[Pocet zmluv dodavatela]]&gt;3,SrcDB[[#This Row],[Dodavatel]],"Ostatné")</f>
        <v>ANASOFT APR, spol. s r.o.</v>
      </c>
    </row>
    <row r="431" spans="1:40" x14ac:dyDescent="0.3">
      <c r="A431" s="2" t="s">
        <v>614</v>
      </c>
      <c r="B431" s="2">
        <v>5772931</v>
      </c>
      <c r="C431" s="3" t="str">
        <f t="shared" si="425"/>
        <v>Nie</v>
      </c>
      <c r="D431" s="3" t="str">
        <f t="shared" si="426"/>
        <v>Áno</v>
      </c>
      <c r="E431" s="3" t="s">
        <v>48</v>
      </c>
      <c r="F431" s="3" t="s">
        <v>49</v>
      </c>
      <c r="G431" s="2" t="str">
        <f t="shared" si="427"/>
        <v>Malé zmluvy</v>
      </c>
      <c r="H431" s="5">
        <v>36631124</v>
      </c>
      <c r="I431" s="2" t="s">
        <v>104</v>
      </c>
      <c r="J431" s="2" t="s">
        <v>105</v>
      </c>
      <c r="K431" s="5">
        <v>31361552</v>
      </c>
      <c r="L431" s="2" t="s">
        <v>65</v>
      </c>
      <c r="M431" s="2" t="s">
        <v>615</v>
      </c>
      <c r="N431" s="6">
        <v>44347.481620370374</v>
      </c>
      <c r="O431" s="4">
        <v>394000</v>
      </c>
      <c r="P431" s="2">
        <v>114573</v>
      </c>
      <c r="Q431" s="2" t="s">
        <v>616</v>
      </c>
      <c r="R431" s="2" t="s">
        <v>617</v>
      </c>
      <c r="S431" s="2" t="s">
        <v>69</v>
      </c>
      <c r="T431" s="2" t="s">
        <v>69</v>
      </c>
      <c r="W431" s="4">
        <v>640</v>
      </c>
      <c r="X431" s="4">
        <v>768</v>
      </c>
      <c r="Y431" s="4">
        <f t="shared" ref="Y431" si="475">INDEX(InternalRates,MATCH($S431,InternalRates01,FALSE),2)</f>
        <v>278.98333333333335</v>
      </c>
      <c r="Z431" s="3" t="str">
        <f t="shared" si="407"/>
        <v>Nie</v>
      </c>
      <c r="AA431" s="3" t="str">
        <f t="shared" si="408"/>
        <v>SLA</v>
      </c>
      <c r="AD431" s="3" t="s">
        <v>48</v>
      </c>
      <c r="AE431" s="6">
        <v>44420</v>
      </c>
      <c r="AF431" s="3" t="s">
        <v>59</v>
      </c>
      <c r="AG431" s="3" t="s">
        <v>60</v>
      </c>
      <c r="AH431" s="3">
        <f>YEAR(SrcDB[[#This Row],[Datum_zverejnenia]])</f>
        <v>2021</v>
      </c>
      <c r="AI431" s="3" cm="1">
        <f t="array" ref="AI431">COUNT(_xlfn.UNIQUE(_xlfn._xlws.FILTER(SrcDB[ID],SrcDB[Objednavatel_ICO]=$H431)))</f>
        <v>17</v>
      </c>
      <c r="AJ431" s="3" cm="1">
        <f t="array" ref="AJ431">COUNT(_xlfn.UNIQUE(_xlfn._xlws.FILTER(SrcDB[ID],SrcDB[Dodavatel_ICO]=$K431)))</f>
        <v>4</v>
      </c>
      <c r="AK431" s="3">
        <f t="shared" si="431"/>
        <v>0</v>
      </c>
      <c r="AL431" s="3">
        <f t="shared" si="432"/>
        <v>0</v>
      </c>
      <c r="AM431" s="17" t="str">
        <f>IF(SrcDB[[#This Row],[Pocet zmluv objednavatela]]&gt;3,SrcDB[[#This Row],[Objednavatel]],"Ostatné")</f>
        <v>Slovenská pošta, a. s.</v>
      </c>
      <c r="AN431" s="17" t="str">
        <f>IF(SrcDB[[#This Row],[Pocet zmluv dodavatela]]&gt;3,SrcDB[[#This Row],[Dodavatel]],"Ostatné")</f>
        <v>ANASOFT APR, spol. s r.o.</v>
      </c>
    </row>
    <row r="432" spans="1:40" x14ac:dyDescent="0.3">
      <c r="A432" s="2" t="s">
        <v>618</v>
      </c>
      <c r="B432" s="2">
        <v>5779997</v>
      </c>
      <c r="C432" s="3" t="str">
        <f t="shared" si="425"/>
        <v>Nie</v>
      </c>
      <c r="D432" s="3" t="str">
        <f t="shared" si="426"/>
        <v>Áno</v>
      </c>
      <c r="E432" s="3" t="s">
        <v>48</v>
      </c>
      <c r="F432" s="3" t="s">
        <v>49</v>
      </c>
      <c r="G432" s="2" t="str">
        <f t="shared" si="427"/>
        <v>Malé zmluvy</v>
      </c>
      <c r="H432" s="5">
        <v>35937874</v>
      </c>
      <c r="I432" s="2" t="s">
        <v>371</v>
      </c>
      <c r="J432" s="2" t="s">
        <v>372</v>
      </c>
      <c r="K432" s="5">
        <v>31367763</v>
      </c>
      <c r="L432" s="2" t="s">
        <v>619</v>
      </c>
      <c r="M432" s="2" t="s">
        <v>620</v>
      </c>
      <c r="N432" s="6">
        <v>44349</v>
      </c>
      <c r="O432" s="4">
        <v>608915.09</v>
      </c>
      <c r="P432" s="2">
        <v>114503</v>
      </c>
      <c r="Q432" s="2" t="s">
        <v>621</v>
      </c>
      <c r="R432" s="2" t="s">
        <v>622</v>
      </c>
      <c r="S432" s="2" t="s">
        <v>160</v>
      </c>
      <c r="T432" s="2" t="s">
        <v>623</v>
      </c>
      <c r="W432" s="4">
        <v>400</v>
      </c>
      <c r="X432" s="4">
        <v>480</v>
      </c>
      <c r="Y432" s="4">
        <f t="shared" ref="Y432" si="476">INDEX(InternalRates,MATCH($S432,InternalRates01,FALSE),2)</f>
        <v>231.85833333333335</v>
      </c>
      <c r="Z432" s="3" t="str">
        <f t="shared" si="407"/>
        <v>Nie</v>
      </c>
      <c r="AA432" s="3" t="str">
        <f t="shared" si="408"/>
        <v>SLA</v>
      </c>
      <c r="AD432" s="3" t="s">
        <v>48</v>
      </c>
      <c r="AE432" s="6">
        <v>44420</v>
      </c>
      <c r="AF432" s="3" t="s">
        <v>59</v>
      </c>
      <c r="AG432" s="3" t="s">
        <v>60</v>
      </c>
      <c r="AH432" s="3">
        <f>YEAR(SrcDB[[#This Row],[Datum_zverejnenia]])</f>
        <v>2021</v>
      </c>
      <c r="AI432" s="3" cm="1">
        <f t="array" ref="AI432">COUNT(_xlfn.UNIQUE(_xlfn._xlws.FILTER(SrcDB[ID],SrcDB[Objednavatel_ICO]=$H432)))</f>
        <v>4</v>
      </c>
      <c r="AJ432" s="3" cm="1">
        <f t="array" ref="AJ432">COUNT(_xlfn.UNIQUE(_xlfn._xlws.FILTER(SrcDB[ID],SrcDB[Dodavatel_ICO]=$K432)))</f>
        <v>1</v>
      </c>
      <c r="AK432" s="3">
        <f t="shared" si="431"/>
        <v>1</v>
      </c>
      <c r="AL432" s="3">
        <f t="shared" si="432"/>
        <v>1</v>
      </c>
      <c r="AM432" s="17" t="str">
        <f>IF(SrcDB[[#This Row],[Pocet zmluv objednavatela]]&gt;3,SrcDB[[#This Row],[Objednavatel]],"Ostatné")</f>
        <v>Všeobecná zdravotná poisťovňa a.s.</v>
      </c>
      <c r="AN432" s="17" t="str">
        <f>IF(SrcDB[[#This Row],[Pocet zmluv dodavatela]]&gt;3,SrcDB[[#This Row],[Dodavatel]],"Ostatné")</f>
        <v>Ostatné</v>
      </c>
    </row>
    <row r="433" spans="1:40" x14ac:dyDescent="0.3">
      <c r="A433" s="2" t="s">
        <v>618</v>
      </c>
      <c r="B433" s="2">
        <v>5779997</v>
      </c>
      <c r="C433" s="3" t="str">
        <f t="shared" si="425"/>
        <v>Nie</v>
      </c>
      <c r="D433" s="3" t="str">
        <f t="shared" si="426"/>
        <v>Áno</v>
      </c>
      <c r="E433" s="3" t="s">
        <v>48</v>
      </c>
      <c r="F433" s="3" t="s">
        <v>49</v>
      </c>
      <c r="G433" s="2" t="str">
        <f t="shared" si="427"/>
        <v>Malé zmluvy</v>
      </c>
      <c r="H433" s="5">
        <v>35937874</v>
      </c>
      <c r="I433" s="2" t="s">
        <v>371</v>
      </c>
      <c r="J433" s="2" t="s">
        <v>372</v>
      </c>
      <c r="K433" s="5">
        <v>31367763</v>
      </c>
      <c r="L433" s="2" t="s">
        <v>619</v>
      </c>
      <c r="M433" s="2" t="s">
        <v>620</v>
      </c>
      <c r="N433" s="6">
        <v>44349</v>
      </c>
      <c r="O433" s="4">
        <v>608915.09</v>
      </c>
      <c r="P433" s="2">
        <v>114503</v>
      </c>
      <c r="Q433" s="2" t="s">
        <v>621</v>
      </c>
      <c r="R433" s="2" t="s">
        <v>622</v>
      </c>
      <c r="S433" s="2" t="s">
        <v>162</v>
      </c>
      <c r="T433" s="2" t="s">
        <v>624</v>
      </c>
      <c r="W433" s="4">
        <v>400</v>
      </c>
      <c r="X433" s="4">
        <v>480</v>
      </c>
      <c r="Y433" s="4">
        <f t="shared" ref="Y433" si="477">INDEX(InternalRates,MATCH($S433,InternalRates01,FALSE),2)</f>
        <v>231.85833333333335</v>
      </c>
      <c r="Z433" s="3" t="str">
        <f t="shared" ref="Z433:Z496" si="478">IF(W433&gt;0,IF(Y433&gt;W433,"Áno","Nie"),"Nie")</f>
        <v>Nie</v>
      </c>
      <c r="AA433" s="3" t="str">
        <f t="shared" ref="AA433:AA496" si="479">IF(E433="Nie","SLA",IF(F433="Nie","ZoD","SLA+ZoD"))</f>
        <v>SLA</v>
      </c>
      <c r="AD433" s="3" t="s">
        <v>48</v>
      </c>
      <c r="AE433" s="6">
        <v>44420</v>
      </c>
      <c r="AF433" s="3" t="s">
        <v>59</v>
      </c>
      <c r="AG433" s="3" t="s">
        <v>60</v>
      </c>
      <c r="AH433" s="3">
        <f>YEAR(SrcDB[[#This Row],[Datum_zverejnenia]])</f>
        <v>2021</v>
      </c>
      <c r="AI433" s="3" cm="1">
        <f t="array" ref="AI433">COUNT(_xlfn.UNIQUE(_xlfn._xlws.FILTER(SrcDB[ID],SrcDB[Objednavatel_ICO]=$H433)))</f>
        <v>4</v>
      </c>
      <c r="AJ433" s="3" cm="1">
        <f t="array" ref="AJ433">COUNT(_xlfn.UNIQUE(_xlfn._xlws.FILTER(SrcDB[ID],SrcDB[Dodavatel_ICO]=$K433)))</f>
        <v>1</v>
      </c>
      <c r="AK433" s="3">
        <f t="shared" si="431"/>
        <v>0</v>
      </c>
      <c r="AL433" s="3">
        <f t="shared" si="432"/>
        <v>0</v>
      </c>
      <c r="AM433" s="17" t="str">
        <f>IF(SrcDB[[#This Row],[Pocet zmluv objednavatela]]&gt;3,SrcDB[[#This Row],[Objednavatel]],"Ostatné")</f>
        <v>Všeobecná zdravotná poisťovňa a.s.</v>
      </c>
      <c r="AN433" s="17" t="str">
        <f>IF(SrcDB[[#This Row],[Pocet zmluv dodavatela]]&gt;3,SrcDB[[#This Row],[Dodavatel]],"Ostatné")</f>
        <v>Ostatné</v>
      </c>
    </row>
    <row r="434" spans="1:40" x14ac:dyDescent="0.3">
      <c r="A434" s="2" t="s">
        <v>618</v>
      </c>
      <c r="B434" s="2">
        <v>5779997</v>
      </c>
      <c r="C434" s="3" t="str">
        <f t="shared" si="425"/>
        <v>Nie</v>
      </c>
      <c r="D434" s="3" t="str">
        <f t="shared" si="426"/>
        <v>Áno</v>
      </c>
      <c r="E434" s="3" t="s">
        <v>48</v>
      </c>
      <c r="F434" s="3" t="s">
        <v>49</v>
      </c>
      <c r="G434" s="2" t="str">
        <f t="shared" si="427"/>
        <v>Malé zmluvy</v>
      </c>
      <c r="H434" s="5">
        <v>35937874</v>
      </c>
      <c r="I434" s="2" t="s">
        <v>371</v>
      </c>
      <c r="J434" s="2" t="s">
        <v>372</v>
      </c>
      <c r="K434" s="5">
        <v>31367763</v>
      </c>
      <c r="L434" s="2" t="s">
        <v>619</v>
      </c>
      <c r="M434" s="2" t="s">
        <v>620</v>
      </c>
      <c r="N434" s="6">
        <v>44349</v>
      </c>
      <c r="O434" s="4">
        <v>608915.09</v>
      </c>
      <c r="P434" s="2">
        <v>114503</v>
      </c>
      <c r="Q434" s="2" t="s">
        <v>621</v>
      </c>
      <c r="R434" s="2" t="s">
        <v>622</v>
      </c>
      <c r="S434" s="2" t="s">
        <v>56</v>
      </c>
      <c r="T434" s="2" t="s">
        <v>625</v>
      </c>
      <c r="U434" s="2" t="s">
        <v>58</v>
      </c>
      <c r="W434" s="4">
        <v>400</v>
      </c>
      <c r="X434" s="4">
        <v>480</v>
      </c>
      <c r="Y434" s="4">
        <f t="shared" ref="Y434" si="480">INDEX(InternalRates,MATCH($S434,InternalRates01,FALSE),2)</f>
        <v>278.98333333333335</v>
      </c>
      <c r="Z434" s="3" t="str">
        <f t="shared" si="478"/>
        <v>Nie</v>
      </c>
      <c r="AA434" s="3" t="str">
        <f t="shared" si="479"/>
        <v>SLA</v>
      </c>
      <c r="AD434" s="3" t="s">
        <v>48</v>
      </c>
      <c r="AE434" s="6">
        <v>44420</v>
      </c>
      <c r="AF434" s="3" t="s">
        <v>59</v>
      </c>
      <c r="AG434" s="3" t="s">
        <v>60</v>
      </c>
      <c r="AH434" s="3">
        <f>YEAR(SrcDB[[#This Row],[Datum_zverejnenia]])</f>
        <v>2021</v>
      </c>
      <c r="AI434" s="3" cm="1">
        <f t="array" ref="AI434">COUNT(_xlfn.UNIQUE(_xlfn._xlws.FILTER(SrcDB[ID],SrcDB[Objednavatel_ICO]=$H434)))</f>
        <v>4</v>
      </c>
      <c r="AJ434" s="3" cm="1">
        <f t="array" ref="AJ434">COUNT(_xlfn.UNIQUE(_xlfn._xlws.FILTER(SrcDB[ID],SrcDB[Dodavatel_ICO]=$K434)))</f>
        <v>1</v>
      </c>
      <c r="AK434" s="3">
        <f t="shared" si="431"/>
        <v>0</v>
      </c>
      <c r="AL434" s="3">
        <f t="shared" si="432"/>
        <v>0</v>
      </c>
      <c r="AM434" s="17" t="str">
        <f>IF(SrcDB[[#This Row],[Pocet zmluv objednavatela]]&gt;3,SrcDB[[#This Row],[Objednavatel]],"Ostatné")</f>
        <v>Všeobecná zdravotná poisťovňa a.s.</v>
      </c>
      <c r="AN434" s="17" t="str">
        <f>IF(SrcDB[[#This Row],[Pocet zmluv dodavatela]]&gt;3,SrcDB[[#This Row],[Dodavatel]],"Ostatné")</f>
        <v>Ostatné</v>
      </c>
    </row>
    <row r="435" spans="1:40" x14ac:dyDescent="0.3">
      <c r="A435" s="2" t="s">
        <v>618</v>
      </c>
      <c r="B435" s="2">
        <v>5779997</v>
      </c>
      <c r="C435" s="3" t="str">
        <f t="shared" si="425"/>
        <v>Nie</v>
      </c>
      <c r="D435" s="3" t="str">
        <f t="shared" si="426"/>
        <v>Áno</v>
      </c>
      <c r="E435" s="3" t="s">
        <v>48</v>
      </c>
      <c r="F435" s="3" t="s">
        <v>49</v>
      </c>
      <c r="G435" s="2" t="str">
        <f t="shared" si="427"/>
        <v>Malé zmluvy</v>
      </c>
      <c r="H435" s="5">
        <v>35937874</v>
      </c>
      <c r="I435" s="2" t="s">
        <v>371</v>
      </c>
      <c r="J435" s="2" t="s">
        <v>372</v>
      </c>
      <c r="K435" s="5">
        <v>31367763</v>
      </c>
      <c r="L435" s="2" t="s">
        <v>619</v>
      </c>
      <c r="M435" s="2" t="s">
        <v>620</v>
      </c>
      <c r="N435" s="6">
        <v>44349</v>
      </c>
      <c r="O435" s="4">
        <v>608915.09</v>
      </c>
      <c r="P435" s="2">
        <v>114503</v>
      </c>
      <c r="Q435" s="2" t="s">
        <v>621</v>
      </c>
      <c r="R435" s="2" t="s">
        <v>622</v>
      </c>
      <c r="S435" s="2" t="s">
        <v>56</v>
      </c>
      <c r="T435" s="2" t="s">
        <v>626</v>
      </c>
      <c r="U435" s="2" t="s">
        <v>129</v>
      </c>
      <c r="W435" s="4">
        <v>400</v>
      </c>
      <c r="X435" s="4">
        <v>480</v>
      </c>
      <c r="Y435" s="4">
        <f t="shared" ref="Y435" si="481">INDEX(InternalRates,MATCH($S435,InternalRates01,FALSE),2)</f>
        <v>278.98333333333335</v>
      </c>
      <c r="Z435" s="3" t="str">
        <f t="shared" si="478"/>
        <v>Nie</v>
      </c>
      <c r="AA435" s="3" t="str">
        <f t="shared" si="479"/>
        <v>SLA</v>
      </c>
      <c r="AD435" s="3" t="s">
        <v>48</v>
      </c>
      <c r="AE435" s="6">
        <v>44420</v>
      </c>
      <c r="AF435" s="3" t="s">
        <v>59</v>
      </c>
      <c r="AG435" s="3" t="s">
        <v>60</v>
      </c>
      <c r="AH435" s="3">
        <f>YEAR(SrcDB[[#This Row],[Datum_zverejnenia]])</f>
        <v>2021</v>
      </c>
      <c r="AI435" s="3" cm="1">
        <f t="array" ref="AI435">COUNT(_xlfn.UNIQUE(_xlfn._xlws.FILTER(SrcDB[ID],SrcDB[Objednavatel_ICO]=$H435)))</f>
        <v>4</v>
      </c>
      <c r="AJ435" s="3" cm="1">
        <f t="array" ref="AJ435">COUNT(_xlfn.UNIQUE(_xlfn._xlws.FILTER(SrcDB[ID],SrcDB[Dodavatel_ICO]=$K435)))</f>
        <v>1</v>
      </c>
      <c r="AK435" s="3">
        <f t="shared" si="431"/>
        <v>0</v>
      </c>
      <c r="AL435" s="3">
        <f t="shared" si="432"/>
        <v>0</v>
      </c>
      <c r="AM435" s="17" t="str">
        <f>IF(SrcDB[[#This Row],[Pocet zmluv objednavatela]]&gt;3,SrcDB[[#This Row],[Objednavatel]],"Ostatné")</f>
        <v>Všeobecná zdravotná poisťovňa a.s.</v>
      </c>
      <c r="AN435" s="17" t="str">
        <f>IF(SrcDB[[#This Row],[Pocet zmluv dodavatela]]&gt;3,SrcDB[[#This Row],[Dodavatel]],"Ostatné")</f>
        <v>Ostatné</v>
      </c>
    </row>
    <row r="436" spans="1:40" x14ac:dyDescent="0.3">
      <c r="A436" s="2" t="s">
        <v>618</v>
      </c>
      <c r="B436" s="2">
        <v>5779997</v>
      </c>
      <c r="C436" s="3" t="str">
        <f t="shared" si="425"/>
        <v>Nie</v>
      </c>
      <c r="D436" s="3" t="str">
        <f t="shared" si="426"/>
        <v>Áno</v>
      </c>
      <c r="E436" s="3" t="s">
        <v>48</v>
      </c>
      <c r="F436" s="3" t="s">
        <v>49</v>
      </c>
      <c r="G436" s="2" t="str">
        <f t="shared" si="427"/>
        <v>Malé zmluvy</v>
      </c>
      <c r="H436" s="5">
        <v>35937874</v>
      </c>
      <c r="I436" s="2" t="s">
        <v>371</v>
      </c>
      <c r="J436" s="2" t="s">
        <v>372</v>
      </c>
      <c r="K436" s="5">
        <v>31367763</v>
      </c>
      <c r="L436" s="2" t="s">
        <v>619</v>
      </c>
      <c r="M436" s="2" t="s">
        <v>620</v>
      </c>
      <c r="N436" s="6">
        <v>44349</v>
      </c>
      <c r="O436" s="4">
        <v>608915.09</v>
      </c>
      <c r="P436" s="2">
        <v>114503</v>
      </c>
      <c r="Q436" s="2" t="s">
        <v>621</v>
      </c>
      <c r="R436" s="2" t="s">
        <v>622</v>
      </c>
      <c r="S436" s="2" t="s">
        <v>98</v>
      </c>
      <c r="T436" s="2" t="s">
        <v>626</v>
      </c>
      <c r="W436" s="4">
        <v>400</v>
      </c>
      <c r="X436" s="4">
        <v>480</v>
      </c>
      <c r="Y436" s="4">
        <f t="shared" ref="Y436" si="482">INDEX(InternalRates,MATCH($S436,InternalRates01,FALSE),2)</f>
        <v>278.98333333333335</v>
      </c>
      <c r="Z436" s="3" t="str">
        <f t="shared" si="478"/>
        <v>Nie</v>
      </c>
      <c r="AA436" s="3" t="str">
        <f t="shared" si="479"/>
        <v>SLA</v>
      </c>
      <c r="AD436" s="3" t="s">
        <v>48</v>
      </c>
      <c r="AE436" s="6">
        <v>44420</v>
      </c>
      <c r="AF436" s="3" t="s">
        <v>59</v>
      </c>
      <c r="AG436" s="3" t="s">
        <v>60</v>
      </c>
      <c r="AH436" s="3">
        <f>YEAR(SrcDB[[#This Row],[Datum_zverejnenia]])</f>
        <v>2021</v>
      </c>
      <c r="AI436" s="3" cm="1">
        <f t="array" ref="AI436">COUNT(_xlfn.UNIQUE(_xlfn._xlws.FILTER(SrcDB[ID],SrcDB[Objednavatel_ICO]=$H436)))</f>
        <v>4</v>
      </c>
      <c r="AJ436" s="3" cm="1">
        <f t="array" ref="AJ436">COUNT(_xlfn.UNIQUE(_xlfn._xlws.FILTER(SrcDB[ID],SrcDB[Dodavatel_ICO]=$K436)))</f>
        <v>1</v>
      </c>
      <c r="AK436" s="3">
        <f t="shared" si="431"/>
        <v>0</v>
      </c>
      <c r="AL436" s="3">
        <f t="shared" si="432"/>
        <v>0</v>
      </c>
      <c r="AM436" s="17" t="str">
        <f>IF(SrcDB[[#This Row],[Pocet zmluv objednavatela]]&gt;3,SrcDB[[#This Row],[Objednavatel]],"Ostatné")</f>
        <v>Všeobecná zdravotná poisťovňa a.s.</v>
      </c>
      <c r="AN436" s="17" t="str">
        <f>IF(SrcDB[[#This Row],[Pocet zmluv dodavatela]]&gt;3,SrcDB[[#This Row],[Dodavatel]],"Ostatné")</f>
        <v>Ostatné</v>
      </c>
    </row>
    <row r="437" spans="1:40" x14ac:dyDescent="0.3">
      <c r="A437" s="2" t="s">
        <v>618</v>
      </c>
      <c r="B437" s="2">
        <v>5779997</v>
      </c>
      <c r="C437" s="3" t="str">
        <f t="shared" si="425"/>
        <v>Nie</v>
      </c>
      <c r="D437" s="3" t="str">
        <f t="shared" si="426"/>
        <v>Áno</v>
      </c>
      <c r="E437" s="3" t="s">
        <v>48</v>
      </c>
      <c r="F437" s="3" t="s">
        <v>49</v>
      </c>
      <c r="G437" s="2" t="str">
        <f t="shared" si="427"/>
        <v>Malé zmluvy</v>
      </c>
      <c r="H437" s="5">
        <v>35937874</v>
      </c>
      <c r="I437" s="2" t="s">
        <v>371</v>
      </c>
      <c r="J437" s="2" t="s">
        <v>372</v>
      </c>
      <c r="K437" s="5">
        <v>31367763</v>
      </c>
      <c r="L437" s="2" t="s">
        <v>619</v>
      </c>
      <c r="M437" s="2" t="s">
        <v>620</v>
      </c>
      <c r="N437" s="6">
        <v>44349</v>
      </c>
      <c r="O437" s="4">
        <v>608915.09</v>
      </c>
      <c r="P437" s="2">
        <v>114503</v>
      </c>
      <c r="Q437" s="2" t="s">
        <v>621</v>
      </c>
      <c r="R437" s="2" t="s">
        <v>622</v>
      </c>
      <c r="S437" s="2" t="s">
        <v>183</v>
      </c>
      <c r="T437" s="2" t="s">
        <v>183</v>
      </c>
      <c r="W437" s="4">
        <v>400</v>
      </c>
      <c r="X437" s="4">
        <v>480</v>
      </c>
      <c r="Y437" s="4">
        <f t="shared" ref="Y437" si="483">INDEX(InternalRates,MATCH($S437,InternalRates01,FALSE),2)</f>
        <v>278.98333333333335</v>
      </c>
      <c r="Z437" s="3" t="str">
        <f t="shared" si="478"/>
        <v>Nie</v>
      </c>
      <c r="AA437" s="3" t="str">
        <f t="shared" si="479"/>
        <v>SLA</v>
      </c>
      <c r="AD437" s="3" t="s">
        <v>48</v>
      </c>
      <c r="AE437" s="6">
        <v>44420</v>
      </c>
      <c r="AF437" s="3" t="s">
        <v>59</v>
      </c>
      <c r="AG437" s="3" t="s">
        <v>60</v>
      </c>
      <c r="AH437" s="3">
        <f>YEAR(SrcDB[[#This Row],[Datum_zverejnenia]])</f>
        <v>2021</v>
      </c>
      <c r="AI437" s="3" cm="1">
        <f t="array" ref="AI437">COUNT(_xlfn.UNIQUE(_xlfn._xlws.FILTER(SrcDB[ID],SrcDB[Objednavatel_ICO]=$H437)))</f>
        <v>4</v>
      </c>
      <c r="AJ437" s="3" cm="1">
        <f t="array" ref="AJ437">COUNT(_xlfn.UNIQUE(_xlfn._xlws.FILTER(SrcDB[ID],SrcDB[Dodavatel_ICO]=$K437)))</f>
        <v>1</v>
      </c>
      <c r="AK437" s="3">
        <f t="shared" si="431"/>
        <v>0</v>
      </c>
      <c r="AL437" s="3">
        <f t="shared" si="432"/>
        <v>0</v>
      </c>
      <c r="AM437" s="17" t="str">
        <f>IF(SrcDB[[#This Row],[Pocet zmluv objednavatela]]&gt;3,SrcDB[[#This Row],[Objednavatel]],"Ostatné")</f>
        <v>Všeobecná zdravotná poisťovňa a.s.</v>
      </c>
      <c r="AN437" s="17" t="str">
        <f>IF(SrcDB[[#This Row],[Pocet zmluv dodavatela]]&gt;3,SrcDB[[#This Row],[Dodavatel]],"Ostatné")</f>
        <v>Ostatné</v>
      </c>
    </row>
    <row r="438" spans="1:40" x14ac:dyDescent="0.3">
      <c r="A438" s="2" t="s">
        <v>618</v>
      </c>
      <c r="B438" s="2">
        <v>5779997</v>
      </c>
      <c r="C438" s="3" t="str">
        <f t="shared" si="425"/>
        <v>Nie</v>
      </c>
      <c r="D438" s="3" t="str">
        <f t="shared" si="426"/>
        <v>Áno</v>
      </c>
      <c r="E438" s="3" t="s">
        <v>48</v>
      </c>
      <c r="F438" s="3" t="s">
        <v>49</v>
      </c>
      <c r="G438" s="2" t="str">
        <f t="shared" si="427"/>
        <v>Malé zmluvy</v>
      </c>
      <c r="H438" s="5">
        <v>35937874</v>
      </c>
      <c r="I438" s="2" t="s">
        <v>371</v>
      </c>
      <c r="J438" s="2" t="s">
        <v>372</v>
      </c>
      <c r="K438" s="5">
        <v>31367763</v>
      </c>
      <c r="L438" s="2" t="s">
        <v>619</v>
      </c>
      <c r="M438" s="2" t="s">
        <v>620</v>
      </c>
      <c r="N438" s="6">
        <v>44349</v>
      </c>
      <c r="O438" s="4">
        <v>608915.09</v>
      </c>
      <c r="P438" s="2">
        <v>114503</v>
      </c>
      <c r="Q438" s="2" t="s">
        <v>621</v>
      </c>
      <c r="R438" s="2" t="s">
        <v>622</v>
      </c>
      <c r="S438" s="2" t="s">
        <v>73</v>
      </c>
      <c r="T438" s="2" t="s">
        <v>627</v>
      </c>
      <c r="W438" s="4">
        <v>312</v>
      </c>
      <c r="X438" s="4">
        <v>374.4</v>
      </c>
      <c r="Y438" s="4">
        <f t="shared" ref="Y438" si="484">INDEX(InternalRates,MATCH($S438,InternalRates01,FALSE),2)</f>
        <v>278.98333333333335</v>
      </c>
      <c r="Z438" s="3" t="str">
        <f t="shared" si="478"/>
        <v>Nie</v>
      </c>
      <c r="AA438" s="3" t="str">
        <f t="shared" si="479"/>
        <v>SLA</v>
      </c>
      <c r="AD438" s="3" t="s">
        <v>48</v>
      </c>
      <c r="AE438" s="6">
        <v>44420</v>
      </c>
      <c r="AF438" s="3" t="s">
        <v>59</v>
      </c>
      <c r="AG438" s="3" t="s">
        <v>60</v>
      </c>
      <c r="AH438" s="3">
        <f>YEAR(SrcDB[[#This Row],[Datum_zverejnenia]])</f>
        <v>2021</v>
      </c>
      <c r="AI438" s="3" cm="1">
        <f t="array" ref="AI438">COUNT(_xlfn.UNIQUE(_xlfn._xlws.FILTER(SrcDB[ID],SrcDB[Objednavatel_ICO]=$H438)))</f>
        <v>4</v>
      </c>
      <c r="AJ438" s="3" cm="1">
        <f t="array" ref="AJ438">COUNT(_xlfn.UNIQUE(_xlfn._xlws.FILTER(SrcDB[ID],SrcDB[Dodavatel_ICO]=$K438)))</f>
        <v>1</v>
      </c>
      <c r="AK438" s="3">
        <f t="shared" si="431"/>
        <v>0</v>
      </c>
      <c r="AL438" s="3">
        <f t="shared" si="432"/>
        <v>0</v>
      </c>
      <c r="AM438" s="17" t="str">
        <f>IF(SrcDB[[#This Row],[Pocet zmluv objednavatela]]&gt;3,SrcDB[[#This Row],[Objednavatel]],"Ostatné")</f>
        <v>Všeobecná zdravotná poisťovňa a.s.</v>
      </c>
      <c r="AN438" s="17" t="str">
        <f>IF(SrcDB[[#This Row],[Pocet zmluv dodavatela]]&gt;3,SrcDB[[#This Row],[Dodavatel]],"Ostatné")</f>
        <v>Ostatné</v>
      </c>
    </row>
    <row r="439" spans="1:40" x14ac:dyDescent="0.3">
      <c r="A439" s="2" t="s">
        <v>618</v>
      </c>
      <c r="B439" s="2">
        <v>5779997</v>
      </c>
      <c r="C439" s="3" t="str">
        <f t="shared" si="425"/>
        <v>Nie</v>
      </c>
      <c r="D439" s="3" t="str">
        <f t="shared" si="426"/>
        <v>Áno</v>
      </c>
      <c r="E439" s="3" t="s">
        <v>48</v>
      </c>
      <c r="F439" s="3" t="s">
        <v>49</v>
      </c>
      <c r="G439" s="2" t="str">
        <f t="shared" si="427"/>
        <v>Malé zmluvy</v>
      </c>
      <c r="H439" s="5">
        <v>35937874</v>
      </c>
      <c r="I439" s="2" t="s">
        <v>371</v>
      </c>
      <c r="J439" s="2" t="s">
        <v>372</v>
      </c>
      <c r="K439" s="5">
        <v>31367763</v>
      </c>
      <c r="L439" s="2" t="s">
        <v>619</v>
      </c>
      <c r="M439" s="2" t="s">
        <v>620</v>
      </c>
      <c r="N439" s="6">
        <v>44349</v>
      </c>
      <c r="O439" s="4">
        <v>608915.09</v>
      </c>
      <c r="P439" s="2">
        <v>114503</v>
      </c>
      <c r="Q439" s="2" t="s">
        <v>621</v>
      </c>
      <c r="R439" s="2" t="s">
        <v>622</v>
      </c>
      <c r="S439" s="2" t="s">
        <v>77</v>
      </c>
      <c r="T439" s="2" t="s">
        <v>627</v>
      </c>
      <c r="W439" s="4">
        <v>312</v>
      </c>
      <c r="X439" s="4">
        <v>374.4</v>
      </c>
      <c r="Y439" s="4">
        <f t="shared" ref="Y439" si="485">INDEX(InternalRates,MATCH($S439,InternalRates01,FALSE),2)</f>
        <v>278.98333333333335</v>
      </c>
      <c r="Z439" s="3" t="str">
        <f t="shared" si="478"/>
        <v>Nie</v>
      </c>
      <c r="AA439" s="3" t="str">
        <f t="shared" si="479"/>
        <v>SLA</v>
      </c>
      <c r="AD439" s="3" t="s">
        <v>48</v>
      </c>
      <c r="AE439" s="6">
        <v>44420</v>
      </c>
      <c r="AF439" s="3" t="s">
        <v>59</v>
      </c>
      <c r="AG439" s="3" t="s">
        <v>60</v>
      </c>
      <c r="AH439" s="3">
        <f>YEAR(SrcDB[[#This Row],[Datum_zverejnenia]])</f>
        <v>2021</v>
      </c>
      <c r="AI439" s="3" cm="1">
        <f t="array" ref="AI439">COUNT(_xlfn.UNIQUE(_xlfn._xlws.FILTER(SrcDB[ID],SrcDB[Objednavatel_ICO]=$H439)))</f>
        <v>4</v>
      </c>
      <c r="AJ439" s="3" cm="1">
        <f t="array" ref="AJ439">COUNT(_xlfn.UNIQUE(_xlfn._xlws.FILTER(SrcDB[ID],SrcDB[Dodavatel_ICO]=$K439)))</f>
        <v>1</v>
      </c>
      <c r="AK439" s="3">
        <f t="shared" si="431"/>
        <v>0</v>
      </c>
      <c r="AL439" s="3">
        <f t="shared" si="432"/>
        <v>0</v>
      </c>
      <c r="AM439" s="17" t="str">
        <f>IF(SrcDB[[#This Row],[Pocet zmluv objednavatela]]&gt;3,SrcDB[[#This Row],[Objednavatel]],"Ostatné")</f>
        <v>Všeobecná zdravotná poisťovňa a.s.</v>
      </c>
      <c r="AN439" s="17" t="str">
        <f>IF(SrcDB[[#This Row],[Pocet zmluv dodavatela]]&gt;3,SrcDB[[#This Row],[Dodavatel]],"Ostatné")</f>
        <v>Ostatné</v>
      </c>
    </row>
    <row r="440" spans="1:40" x14ac:dyDescent="0.3">
      <c r="A440" s="2" t="s">
        <v>618</v>
      </c>
      <c r="B440" s="2">
        <v>5779997</v>
      </c>
      <c r="C440" s="3" t="str">
        <f t="shared" si="425"/>
        <v>Nie</v>
      </c>
      <c r="D440" s="3" t="str">
        <f t="shared" si="426"/>
        <v>Áno</v>
      </c>
      <c r="E440" s="3" t="s">
        <v>48</v>
      </c>
      <c r="F440" s="3" t="s">
        <v>49</v>
      </c>
      <c r="G440" s="2" t="str">
        <f t="shared" si="427"/>
        <v>Malé zmluvy</v>
      </c>
      <c r="H440" s="5">
        <v>35937874</v>
      </c>
      <c r="I440" s="2" t="s">
        <v>371</v>
      </c>
      <c r="J440" s="2" t="s">
        <v>372</v>
      </c>
      <c r="K440" s="5">
        <v>31367763</v>
      </c>
      <c r="L440" s="2" t="s">
        <v>619</v>
      </c>
      <c r="M440" s="2" t="s">
        <v>620</v>
      </c>
      <c r="N440" s="6">
        <v>44349</v>
      </c>
      <c r="O440" s="4">
        <v>608915.09</v>
      </c>
      <c r="P440" s="2">
        <v>114503</v>
      </c>
      <c r="Q440" s="2" t="s">
        <v>621</v>
      </c>
      <c r="R440" s="2" t="s">
        <v>622</v>
      </c>
      <c r="S440" s="2" t="s">
        <v>79</v>
      </c>
      <c r="T440" s="2" t="s">
        <v>627</v>
      </c>
      <c r="W440" s="4">
        <v>312</v>
      </c>
      <c r="X440" s="4">
        <v>374.4</v>
      </c>
      <c r="Y440" s="4">
        <f t="shared" ref="Y440" si="486">INDEX(InternalRates,MATCH($S440,InternalRates01,FALSE),2)</f>
        <v>278.98333333333335</v>
      </c>
      <c r="Z440" s="3" t="str">
        <f t="shared" si="478"/>
        <v>Nie</v>
      </c>
      <c r="AA440" s="3" t="str">
        <f t="shared" si="479"/>
        <v>SLA</v>
      </c>
      <c r="AD440" s="3" t="s">
        <v>48</v>
      </c>
      <c r="AE440" s="6">
        <v>44420</v>
      </c>
      <c r="AF440" s="3" t="s">
        <v>59</v>
      </c>
      <c r="AG440" s="3" t="s">
        <v>60</v>
      </c>
      <c r="AH440" s="3">
        <f>YEAR(SrcDB[[#This Row],[Datum_zverejnenia]])</f>
        <v>2021</v>
      </c>
      <c r="AI440" s="3" cm="1">
        <f t="array" ref="AI440">COUNT(_xlfn.UNIQUE(_xlfn._xlws.FILTER(SrcDB[ID],SrcDB[Objednavatel_ICO]=$H440)))</f>
        <v>4</v>
      </c>
      <c r="AJ440" s="3" cm="1">
        <f t="array" ref="AJ440">COUNT(_xlfn.UNIQUE(_xlfn._xlws.FILTER(SrcDB[ID],SrcDB[Dodavatel_ICO]=$K440)))</f>
        <v>1</v>
      </c>
      <c r="AK440" s="3">
        <f t="shared" si="431"/>
        <v>0</v>
      </c>
      <c r="AL440" s="3">
        <f t="shared" si="432"/>
        <v>0</v>
      </c>
      <c r="AM440" s="17" t="str">
        <f>IF(SrcDB[[#This Row],[Pocet zmluv objednavatela]]&gt;3,SrcDB[[#This Row],[Objednavatel]],"Ostatné")</f>
        <v>Všeobecná zdravotná poisťovňa a.s.</v>
      </c>
      <c r="AN440" s="17" t="str">
        <f>IF(SrcDB[[#This Row],[Pocet zmluv dodavatela]]&gt;3,SrcDB[[#This Row],[Dodavatel]],"Ostatné")</f>
        <v>Ostatné</v>
      </c>
    </row>
    <row r="441" spans="1:40" x14ac:dyDescent="0.3">
      <c r="A441" s="2" t="s">
        <v>618</v>
      </c>
      <c r="B441" s="2">
        <v>5779997</v>
      </c>
      <c r="C441" s="3" t="str">
        <f t="shared" si="425"/>
        <v>Nie</v>
      </c>
      <c r="D441" s="3" t="str">
        <f t="shared" si="426"/>
        <v>Áno</v>
      </c>
      <c r="E441" s="3" t="s">
        <v>48</v>
      </c>
      <c r="F441" s="3" t="s">
        <v>49</v>
      </c>
      <c r="G441" s="2" t="str">
        <f t="shared" si="427"/>
        <v>Malé zmluvy</v>
      </c>
      <c r="H441" s="5">
        <v>35937874</v>
      </c>
      <c r="I441" s="2" t="s">
        <v>371</v>
      </c>
      <c r="J441" s="2" t="s">
        <v>372</v>
      </c>
      <c r="K441" s="5">
        <v>31367763</v>
      </c>
      <c r="L441" s="2" t="s">
        <v>619</v>
      </c>
      <c r="M441" s="2" t="s">
        <v>620</v>
      </c>
      <c r="N441" s="6">
        <v>44349</v>
      </c>
      <c r="O441" s="4">
        <v>608915.09</v>
      </c>
      <c r="P441" s="2">
        <v>114503</v>
      </c>
      <c r="Q441" s="2" t="s">
        <v>621</v>
      </c>
      <c r="R441" s="2" t="s">
        <v>622</v>
      </c>
      <c r="S441" s="2" t="s">
        <v>160</v>
      </c>
      <c r="T441" s="2" t="s">
        <v>627</v>
      </c>
      <c r="W441" s="4">
        <v>312</v>
      </c>
      <c r="X441" s="4">
        <v>374.4</v>
      </c>
      <c r="Y441" s="4">
        <f t="shared" ref="Y441" si="487">INDEX(InternalRates,MATCH($S441,InternalRates01,FALSE),2)</f>
        <v>231.85833333333335</v>
      </c>
      <c r="Z441" s="3" t="str">
        <f t="shared" si="478"/>
        <v>Nie</v>
      </c>
      <c r="AA441" s="3" t="str">
        <f t="shared" si="479"/>
        <v>SLA</v>
      </c>
      <c r="AD441" s="3" t="s">
        <v>48</v>
      </c>
      <c r="AE441" s="6">
        <v>44420</v>
      </c>
      <c r="AF441" s="3" t="s">
        <v>59</v>
      </c>
      <c r="AG441" s="3" t="s">
        <v>60</v>
      </c>
      <c r="AH441" s="3">
        <f>YEAR(SrcDB[[#This Row],[Datum_zverejnenia]])</f>
        <v>2021</v>
      </c>
      <c r="AI441" s="3" cm="1">
        <f t="array" ref="AI441">COUNT(_xlfn.UNIQUE(_xlfn._xlws.FILTER(SrcDB[ID],SrcDB[Objednavatel_ICO]=$H441)))</f>
        <v>4</v>
      </c>
      <c r="AJ441" s="3" cm="1">
        <f t="array" ref="AJ441">COUNT(_xlfn.UNIQUE(_xlfn._xlws.FILTER(SrcDB[ID],SrcDB[Dodavatel_ICO]=$K441)))</f>
        <v>1</v>
      </c>
      <c r="AK441" s="3">
        <f t="shared" si="431"/>
        <v>0</v>
      </c>
      <c r="AL441" s="3">
        <f t="shared" si="432"/>
        <v>0</v>
      </c>
      <c r="AM441" s="17" t="str">
        <f>IF(SrcDB[[#This Row],[Pocet zmluv objednavatela]]&gt;3,SrcDB[[#This Row],[Objednavatel]],"Ostatné")</f>
        <v>Všeobecná zdravotná poisťovňa a.s.</v>
      </c>
      <c r="AN441" s="17" t="str">
        <f>IF(SrcDB[[#This Row],[Pocet zmluv dodavatela]]&gt;3,SrcDB[[#This Row],[Dodavatel]],"Ostatné")</f>
        <v>Ostatné</v>
      </c>
    </row>
    <row r="442" spans="1:40" x14ac:dyDescent="0.3">
      <c r="A442" s="2" t="s">
        <v>618</v>
      </c>
      <c r="B442" s="2">
        <v>5779997</v>
      </c>
      <c r="C442" s="3" t="str">
        <f t="shared" si="425"/>
        <v>Nie</v>
      </c>
      <c r="D442" s="3" t="str">
        <f t="shared" si="426"/>
        <v>Áno</v>
      </c>
      <c r="E442" s="3" t="s">
        <v>48</v>
      </c>
      <c r="F442" s="3" t="s">
        <v>49</v>
      </c>
      <c r="G442" s="2" t="str">
        <f t="shared" si="427"/>
        <v>Malé zmluvy</v>
      </c>
      <c r="H442" s="5">
        <v>35937874</v>
      </c>
      <c r="I442" s="2" t="s">
        <v>371</v>
      </c>
      <c r="J442" s="2" t="s">
        <v>372</v>
      </c>
      <c r="K442" s="5">
        <v>31367763</v>
      </c>
      <c r="L442" s="2" t="s">
        <v>619</v>
      </c>
      <c r="M442" s="2" t="s">
        <v>620</v>
      </c>
      <c r="N442" s="6">
        <v>44349</v>
      </c>
      <c r="O442" s="4">
        <v>608915.09</v>
      </c>
      <c r="P442" s="2">
        <v>114503</v>
      </c>
      <c r="Q442" s="2" t="s">
        <v>621</v>
      </c>
      <c r="R442" s="2" t="s">
        <v>622</v>
      </c>
      <c r="S442" s="2" t="s">
        <v>56</v>
      </c>
      <c r="T442" s="2" t="s">
        <v>628</v>
      </c>
      <c r="U442" s="2" t="s">
        <v>76</v>
      </c>
      <c r="W442" s="4">
        <v>312</v>
      </c>
      <c r="X442" s="4">
        <v>374.4</v>
      </c>
      <c r="Y442" s="4">
        <f t="shared" ref="Y442" si="488">INDEX(InternalRates,MATCH($S442,InternalRates01,FALSE),2)</f>
        <v>278.98333333333335</v>
      </c>
      <c r="Z442" s="3" t="str">
        <f t="shared" si="478"/>
        <v>Nie</v>
      </c>
      <c r="AA442" s="3" t="str">
        <f t="shared" si="479"/>
        <v>SLA</v>
      </c>
      <c r="AD442" s="3" t="s">
        <v>48</v>
      </c>
      <c r="AE442" s="6">
        <v>44420</v>
      </c>
      <c r="AF442" s="3" t="s">
        <v>59</v>
      </c>
      <c r="AG442" s="3" t="s">
        <v>60</v>
      </c>
      <c r="AH442" s="3">
        <f>YEAR(SrcDB[[#This Row],[Datum_zverejnenia]])</f>
        <v>2021</v>
      </c>
      <c r="AI442" s="3" cm="1">
        <f t="array" ref="AI442">COUNT(_xlfn.UNIQUE(_xlfn._xlws.FILTER(SrcDB[ID],SrcDB[Objednavatel_ICO]=$H442)))</f>
        <v>4</v>
      </c>
      <c r="AJ442" s="3" cm="1">
        <f t="array" ref="AJ442">COUNT(_xlfn.UNIQUE(_xlfn._xlws.FILTER(SrcDB[ID],SrcDB[Dodavatel_ICO]=$K442)))</f>
        <v>1</v>
      </c>
      <c r="AK442" s="3">
        <f t="shared" si="431"/>
        <v>0</v>
      </c>
      <c r="AL442" s="3">
        <f t="shared" si="432"/>
        <v>0</v>
      </c>
      <c r="AM442" s="17" t="str">
        <f>IF(SrcDB[[#This Row],[Pocet zmluv objednavatela]]&gt;3,SrcDB[[#This Row],[Objednavatel]],"Ostatné")</f>
        <v>Všeobecná zdravotná poisťovňa a.s.</v>
      </c>
      <c r="AN442" s="17" t="str">
        <f>IF(SrcDB[[#This Row],[Pocet zmluv dodavatela]]&gt;3,SrcDB[[#This Row],[Dodavatel]],"Ostatné")</f>
        <v>Ostatné</v>
      </c>
    </row>
    <row r="443" spans="1:40" x14ac:dyDescent="0.3">
      <c r="A443" s="2" t="s">
        <v>618</v>
      </c>
      <c r="B443" s="2">
        <v>5779997</v>
      </c>
      <c r="C443" s="3" t="str">
        <f t="shared" si="425"/>
        <v>Nie</v>
      </c>
      <c r="D443" s="3" t="str">
        <f t="shared" si="426"/>
        <v>Áno</v>
      </c>
      <c r="E443" s="3" t="s">
        <v>48</v>
      </c>
      <c r="F443" s="3" t="s">
        <v>49</v>
      </c>
      <c r="G443" s="2" t="str">
        <f t="shared" si="427"/>
        <v>Malé zmluvy</v>
      </c>
      <c r="H443" s="5">
        <v>35937874</v>
      </c>
      <c r="I443" s="2" t="s">
        <v>371</v>
      </c>
      <c r="J443" s="2" t="s">
        <v>372</v>
      </c>
      <c r="K443" s="5">
        <v>31367763</v>
      </c>
      <c r="L443" s="2" t="s">
        <v>619</v>
      </c>
      <c r="M443" s="2" t="s">
        <v>620</v>
      </c>
      <c r="N443" s="6">
        <v>44349</v>
      </c>
      <c r="O443" s="4">
        <v>608915.09</v>
      </c>
      <c r="P443" s="2">
        <v>114503</v>
      </c>
      <c r="Q443" s="2" t="s">
        <v>621</v>
      </c>
      <c r="R443" s="2" t="s">
        <v>622</v>
      </c>
      <c r="S443" s="2" t="s">
        <v>56</v>
      </c>
      <c r="T443" s="2" t="s">
        <v>626</v>
      </c>
      <c r="U443" s="2" t="s">
        <v>129</v>
      </c>
      <c r="W443" s="4">
        <v>312</v>
      </c>
      <c r="X443" s="4">
        <v>374.4</v>
      </c>
      <c r="Y443" s="4">
        <f t="shared" ref="Y443" si="489">INDEX(InternalRates,MATCH($S443,InternalRates01,FALSE),2)</f>
        <v>278.98333333333335</v>
      </c>
      <c r="Z443" s="3" t="str">
        <f t="shared" si="478"/>
        <v>Nie</v>
      </c>
      <c r="AA443" s="3" t="str">
        <f t="shared" si="479"/>
        <v>SLA</v>
      </c>
      <c r="AD443" s="3" t="s">
        <v>48</v>
      </c>
      <c r="AE443" s="6">
        <v>44420</v>
      </c>
      <c r="AF443" s="3" t="s">
        <v>59</v>
      </c>
      <c r="AG443" s="3" t="s">
        <v>60</v>
      </c>
      <c r="AH443" s="3">
        <f>YEAR(SrcDB[[#This Row],[Datum_zverejnenia]])</f>
        <v>2021</v>
      </c>
      <c r="AI443" s="3" cm="1">
        <f t="array" ref="AI443">COUNT(_xlfn.UNIQUE(_xlfn._xlws.FILTER(SrcDB[ID],SrcDB[Objednavatel_ICO]=$H443)))</f>
        <v>4</v>
      </c>
      <c r="AJ443" s="3" cm="1">
        <f t="array" ref="AJ443">COUNT(_xlfn.UNIQUE(_xlfn._xlws.FILTER(SrcDB[ID],SrcDB[Dodavatel_ICO]=$K443)))</f>
        <v>1</v>
      </c>
      <c r="AK443" s="3">
        <f t="shared" si="431"/>
        <v>0</v>
      </c>
      <c r="AL443" s="3">
        <f t="shared" si="432"/>
        <v>0</v>
      </c>
      <c r="AM443" s="17" t="str">
        <f>IF(SrcDB[[#This Row],[Pocet zmluv objednavatela]]&gt;3,SrcDB[[#This Row],[Objednavatel]],"Ostatné")</f>
        <v>Všeobecná zdravotná poisťovňa a.s.</v>
      </c>
      <c r="AN443" s="17" t="str">
        <f>IF(SrcDB[[#This Row],[Pocet zmluv dodavatela]]&gt;3,SrcDB[[#This Row],[Dodavatel]],"Ostatné")</f>
        <v>Ostatné</v>
      </c>
    </row>
    <row r="444" spans="1:40" x14ac:dyDescent="0.3">
      <c r="A444" s="2" t="s">
        <v>618</v>
      </c>
      <c r="B444" s="2">
        <v>5779997</v>
      </c>
      <c r="C444" s="3" t="str">
        <f t="shared" si="425"/>
        <v>Nie</v>
      </c>
      <c r="D444" s="3" t="str">
        <f t="shared" si="426"/>
        <v>Áno</v>
      </c>
      <c r="E444" s="3" t="s">
        <v>48</v>
      </c>
      <c r="F444" s="3" t="s">
        <v>49</v>
      </c>
      <c r="G444" s="2" t="str">
        <f t="shared" si="427"/>
        <v>Malé zmluvy</v>
      </c>
      <c r="H444" s="5">
        <v>35937874</v>
      </c>
      <c r="I444" s="2" t="s">
        <v>371</v>
      </c>
      <c r="J444" s="2" t="s">
        <v>372</v>
      </c>
      <c r="K444" s="5">
        <v>31367763</v>
      </c>
      <c r="L444" s="2" t="s">
        <v>619</v>
      </c>
      <c r="M444" s="2" t="s">
        <v>620</v>
      </c>
      <c r="N444" s="6">
        <v>44349</v>
      </c>
      <c r="O444" s="4">
        <v>608915.09</v>
      </c>
      <c r="P444" s="2">
        <v>114503</v>
      </c>
      <c r="Q444" s="2" t="s">
        <v>621</v>
      </c>
      <c r="R444" s="2" t="s">
        <v>622</v>
      </c>
      <c r="S444" s="2" t="s">
        <v>98</v>
      </c>
      <c r="T444" s="2" t="s">
        <v>626</v>
      </c>
      <c r="W444" s="4">
        <v>312</v>
      </c>
      <c r="X444" s="4">
        <v>374.4</v>
      </c>
      <c r="Y444" s="4">
        <f t="shared" ref="Y444" si="490">INDEX(InternalRates,MATCH($S444,InternalRates01,FALSE),2)</f>
        <v>278.98333333333335</v>
      </c>
      <c r="Z444" s="3" t="str">
        <f t="shared" si="478"/>
        <v>Nie</v>
      </c>
      <c r="AA444" s="3" t="str">
        <f t="shared" si="479"/>
        <v>SLA</v>
      </c>
      <c r="AD444" s="3" t="s">
        <v>48</v>
      </c>
      <c r="AE444" s="6">
        <v>44420</v>
      </c>
      <c r="AF444" s="3" t="s">
        <v>59</v>
      </c>
      <c r="AG444" s="3" t="s">
        <v>60</v>
      </c>
      <c r="AH444" s="3">
        <f>YEAR(SrcDB[[#This Row],[Datum_zverejnenia]])</f>
        <v>2021</v>
      </c>
      <c r="AI444" s="3" cm="1">
        <f t="array" ref="AI444">COUNT(_xlfn.UNIQUE(_xlfn._xlws.FILTER(SrcDB[ID],SrcDB[Objednavatel_ICO]=$H444)))</f>
        <v>4</v>
      </c>
      <c r="AJ444" s="3" cm="1">
        <f t="array" ref="AJ444">COUNT(_xlfn.UNIQUE(_xlfn._xlws.FILTER(SrcDB[ID],SrcDB[Dodavatel_ICO]=$K444)))</f>
        <v>1</v>
      </c>
      <c r="AK444" s="3">
        <f t="shared" si="431"/>
        <v>0</v>
      </c>
      <c r="AL444" s="3">
        <f t="shared" si="432"/>
        <v>0</v>
      </c>
      <c r="AM444" s="17" t="str">
        <f>IF(SrcDB[[#This Row],[Pocet zmluv objednavatela]]&gt;3,SrcDB[[#This Row],[Objednavatel]],"Ostatné")</f>
        <v>Všeobecná zdravotná poisťovňa a.s.</v>
      </c>
      <c r="AN444" s="17" t="str">
        <f>IF(SrcDB[[#This Row],[Pocet zmluv dodavatela]]&gt;3,SrcDB[[#This Row],[Dodavatel]],"Ostatné")</f>
        <v>Ostatné</v>
      </c>
    </row>
    <row r="445" spans="1:40" x14ac:dyDescent="0.3">
      <c r="A445" s="2" t="s">
        <v>618</v>
      </c>
      <c r="B445" s="2">
        <v>5779997</v>
      </c>
      <c r="C445" s="3" t="str">
        <f t="shared" si="425"/>
        <v>Nie</v>
      </c>
      <c r="D445" s="3" t="str">
        <f t="shared" si="426"/>
        <v>Áno</v>
      </c>
      <c r="E445" s="3" t="s">
        <v>48</v>
      </c>
      <c r="F445" s="3" t="s">
        <v>49</v>
      </c>
      <c r="G445" s="2" t="str">
        <f t="shared" si="427"/>
        <v>Malé zmluvy</v>
      </c>
      <c r="H445" s="5">
        <v>35937874</v>
      </c>
      <c r="I445" s="2" t="s">
        <v>371</v>
      </c>
      <c r="J445" s="2" t="s">
        <v>372</v>
      </c>
      <c r="K445" s="5">
        <v>31367763</v>
      </c>
      <c r="L445" s="2" t="s">
        <v>619</v>
      </c>
      <c r="M445" s="2" t="s">
        <v>620</v>
      </c>
      <c r="N445" s="6">
        <v>44349</v>
      </c>
      <c r="O445" s="4">
        <v>608915.09</v>
      </c>
      <c r="P445" s="2">
        <v>114503</v>
      </c>
      <c r="Q445" s="2" t="s">
        <v>621</v>
      </c>
      <c r="R445" s="2" t="s">
        <v>622</v>
      </c>
      <c r="S445" s="2" t="s">
        <v>183</v>
      </c>
      <c r="T445" s="2" t="s">
        <v>183</v>
      </c>
      <c r="W445" s="4">
        <v>312</v>
      </c>
      <c r="X445" s="4">
        <v>374.4</v>
      </c>
      <c r="Y445" s="4">
        <f t="shared" ref="Y445" si="491">INDEX(InternalRates,MATCH($S445,InternalRates01,FALSE),2)</f>
        <v>278.98333333333335</v>
      </c>
      <c r="Z445" s="3" t="str">
        <f t="shared" si="478"/>
        <v>Nie</v>
      </c>
      <c r="AA445" s="3" t="str">
        <f t="shared" si="479"/>
        <v>SLA</v>
      </c>
      <c r="AD445" s="3" t="s">
        <v>48</v>
      </c>
      <c r="AE445" s="6">
        <v>44420</v>
      </c>
      <c r="AF445" s="3" t="s">
        <v>59</v>
      </c>
      <c r="AG445" s="3" t="s">
        <v>60</v>
      </c>
      <c r="AH445" s="3">
        <f>YEAR(SrcDB[[#This Row],[Datum_zverejnenia]])</f>
        <v>2021</v>
      </c>
      <c r="AI445" s="3" cm="1">
        <f t="array" ref="AI445">COUNT(_xlfn.UNIQUE(_xlfn._xlws.FILTER(SrcDB[ID],SrcDB[Objednavatel_ICO]=$H445)))</f>
        <v>4</v>
      </c>
      <c r="AJ445" s="3" cm="1">
        <f t="array" ref="AJ445">COUNT(_xlfn.UNIQUE(_xlfn._xlws.FILTER(SrcDB[ID],SrcDB[Dodavatel_ICO]=$K445)))</f>
        <v>1</v>
      </c>
      <c r="AK445" s="3">
        <f t="shared" si="431"/>
        <v>0</v>
      </c>
      <c r="AL445" s="3">
        <f t="shared" si="432"/>
        <v>0</v>
      </c>
      <c r="AM445" s="17" t="str">
        <f>IF(SrcDB[[#This Row],[Pocet zmluv objednavatela]]&gt;3,SrcDB[[#This Row],[Objednavatel]],"Ostatné")</f>
        <v>Všeobecná zdravotná poisťovňa a.s.</v>
      </c>
      <c r="AN445" s="17" t="str">
        <f>IF(SrcDB[[#This Row],[Pocet zmluv dodavatela]]&gt;3,SrcDB[[#This Row],[Dodavatel]],"Ostatné")</f>
        <v>Ostatné</v>
      </c>
    </row>
    <row r="446" spans="1:40" x14ac:dyDescent="0.3">
      <c r="A446" s="2" t="s">
        <v>618</v>
      </c>
      <c r="B446" s="2">
        <v>5779997</v>
      </c>
      <c r="C446" s="3" t="str">
        <f t="shared" si="425"/>
        <v>Nie</v>
      </c>
      <c r="D446" s="3" t="str">
        <f t="shared" si="426"/>
        <v>Áno</v>
      </c>
      <c r="E446" s="3" t="s">
        <v>48</v>
      </c>
      <c r="F446" s="3" t="s">
        <v>49</v>
      </c>
      <c r="G446" s="2" t="str">
        <f t="shared" si="427"/>
        <v>Malé zmluvy</v>
      </c>
      <c r="H446" s="5">
        <v>35937874</v>
      </c>
      <c r="I446" s="2" t="s">
        <v>371</v>
      </c>
      <c r="J446" s="2" t="s">
        <v>372</v>
      </c>
      <c r="K446" s="5">
        <v>31367763</v>
      </c>
      <c r="L446" s="2" t="s">
        <v>619</v>
      </c>
      <c r="M446" s="2" t="s">
        <v>620</v>
      </c>
      <c r="N446" s="6">
        <v>44349.625162037039</v>
      </c>
      <c r="O446" s="4">
        <v>608915.09</v>
      </c>
      <c r="P446" s="2">
        <v>114503</v>
      </c>
      <c r="Q446" s="2" t="s">
        <v>621</v>
      </c>
      <c r="R446" s="2" t="s">
        <v>622</v>
      </c>
      <c r="S446" s="2" t="s">
        <v>77</v>
      </c>
      <c r="T446" s="2" t="s">
        <v>629</v>
      </c>
      <c r="W446" s="4">
        <v>400</v>
      </c>
      <c r="X446" s="4">
        <v>480</v>
      </c>
      <c r="Y446" s="4">
        <f t="shared" ref="Y446" si="492">INDEX(InternalRates,MATCH($S446,InternalRates01,FALSE),2)</f>
        <v>278.98333333333335</v>
      </c>
      <c r="Z446" s="3" t="str">
        <f t="shared" si="478"/>
        <v>Nie</v>
      </c>
      <c r="AA446" s="3" t="str">
        <f t="shared" si="479"/>
        <v>SLA</v>
      </c>
      <c r="AD446" s="3" t="s">
        <v>48</v>
      </c>
      <c r="AE446" s="6">
        <v>44420</v>
      </c>
      <c r="AF446" s="3" t="s">
        <v>59</v>
      </c>
      <c r="AG446" s="3" t="s">
        <v>60</v>
      </c>
      <c r="AH446" s="3">
        <f>YEAR(SrcDB[[#This Row],[Datum_zverejnenia]])</f>
        <v>2021</v>
      </c>
      <c r="AI446" s="3" cm="1">
        <f t="array" ref="AI446">COUNT(_xlfn.UNIQUE(_xlfn._xlws.FILTER(SrcDB[ID],SrcDB[Objednavatel_ICO]=$H446)))</f>
        <v>4</v>
      </c>
      <c r="AJ446" s="3" cm="1">
        <f t="array" ref="AJ446">COUNT(_xlfn.UNIQUE(_xlfn._xlws.FILTER(SrcDB[ID],SrcDB[Dodavatel_ICO]=$K446)))</f>
        <v>1</v>
      </c>
      <c r="AK446" s="3">
        <f t="shared" si="431"/>
        <v>0</v>
      </c>
      <c r="AL446" s="3">
        <f t="shared" si="432"/>
        <v>0</v>
      </c>
      <c r="AM446" s="17" t="str">
        <f>IF(SrcDB[[#This Row],[Pocet zmluv objednavatela]]&gt;3,SrcDB[[#This Row],[Objednavatel]],"Ostatné")</f>
        <v>Všeobecná zdravotná poisťovňa a.s.</v>
      </c>
      <c r="AN446" s="17" t="str">
        <f>IF(SrcDB[[#This Row],[Pocet zmluv dodavatela]]&gt;3,SrcDB[[#This Row],[Dodavatel]],"Ostatné")</f>
        <v>Ostatné</v>
      </c>
    </row>
    <row r="447" spans="1:40" x14ac:dyDescent="0.3">
      <c r="A447" s="2" t="s">
        <v>618</v>
      </c>
      <c r="B447" s="2">
        <v>5779997</v>
      </c>
      <c r="C447" s="3" t="str">
        <f t="shared" si="425"/>
        <v>Nie</v>
      </c>
      <c r="D447" s="3" t="str">
        <f t="shared" si="426"/>
        <v>Áno</v>
      </c>
      <c r="E447" s="3" t="s">
        <v>48</v>
      </c>
      <c r="F447" s="3" t="s">
        <v>49</v>
      </c>
      <c r="G447" s="2" t="str">
        <f t="shared" si="427"/>
        <v>Malé zmluvy</v>
      </c>
      <c r="H447" s="5">
        <v>35937874</v>
      </c>
      <c r="I447" s="2" t="s">
        <v>371</v>
      </c>
      <c r="J447" s="2" t="s">
        <v>372</v>
      </c>
      <c r="K447" s="5">
        <v>31367763</v>
      </c>
      <c r="L447" s="2" t="s">
        <v>619</v>
      </c>
      <c r="M447" s="2" t="s">
        <v>620</v>
      </c>
      <c r="N447" s="6">
        <v>44349.625162037039</v>
      </c>
      <c r="O447" s="4">
        <v>608915.09</v>
      </c>
      <c r="P447" s="2">
        <v>114503</v>
      </c>
      <c r="Q447" s="2" t="s">
        <v>621</v>
      </c>
      <c r="R447" s="2" t="s">
        <v>622</v>
      </c>
      <c r="S447" s="2" t="s">
        <v>123</v>
      </c>
      <c r="T447" s="2" t="s">
        <v>630</v>
      </c>
      <c r="V447" s="2" t="s">
        <v>58</v>
      </c>
      <c r="W447" s="4">
        <v>400</v>
      </c>
      <c r="X447" s="4">
        <v>480</v>
      </c>
      <c r="Y447" s="4">
        <f t="shared" ref="Y447" si="493">INDEX(InternalRates,MATCH($S447,InternalRates01,FALSE),2)</f>
        <v>231.85833333333335</v>
      </c>
      <c r="Z447" s="3" t="str">
        <f t="shared" si="478"/>
        <v>Nie</v>
      </c>
      <c r="AA447" s="3" t="str">
        <f t="shared" si="479"/>
        <v>SLA</v>
      </c>
      <c r="AD447" s="3" t="s">
        <v>48</v>
      </c>
      <c r="AE447" s="6">
        <v>44420</v>
      </c>
      <c r="AF447" s="3" t="s">
        <v>59</v>
      </c>
      <c r="AG447" s="3" t="s">
        <v>60</v>
      </c>
      <c r="AH447" s="3">
        <f>YEAR(SrcDB[[#This Row],[Datum_zverejnenia]])</f>
        <v>2021</v>
      </c>
      <c r="AI447" s="3" cm="1">
        <f t="array" ref="AI447">COUNT(_xlfn.UNIQUE(_xlfn._xlws.FILTER(SrcDB[ID],SrcDB[Objednavatel_ICO]=$H447)))</f>
        <v>4</v>
      </c>
      <c r="AJ447" s="3" cm="1">
        <f t="array" ref="AJ447">COUNT(_xlfn.UNIQUE(_xlfn._xlws.FILTER(SrcDB[ID],SrcDB[Dodavatel_ICO]=$K447)))</f>
        <v>1</v>
      </c>
      <c r="AK447" s="3">
        <f t="shared" si="431"/>
        <v>0</v>
      </c>
      <c r="AL447" s="3">
        <f t="shared" si="432"/>
        <v>0</v>
      </c>
      <c r="AM447" s="17" t="str">
        <f>IF(SrcDB[[#This Row],[Pocet zmluv objednavatela]]&gt;3,SrcDB[[#This Row],[Objednavatel]],"Ostatné")</f>
        <v>Všeobecná zdravotná poisťovňa a.s.</v>
      </c>
      <c r="AN447" s="17" t="str">
        <f>IF(SrcDB[[#This Row],[Pocet zmluv dodavatela]]&gt;3,SrcDB[[#This Row],[Dodavatel]],"Ostatné")</f>
        <v>Ostatné</v>
      </c>
    </row>
    <row r="448" spans="1:40" x14ac:dyDescent="0.3">
      <c r="A448" s="2" t="s">
        <v>631</v>
      </c>
      <c r="B448" s="2">
        <v>5792258</v>
      </c>
      <c r="C448" s="3" t="str">
        <f t="shared" si="425"/>
        <v>Áno</v>
      </c>
      <c r="D448" s="3" t="str">
        <f t="shared" si="426"/>
        <v>Áno</v>
      </c>
      <c r="E448" s="3" t="s">
        <v>49</v>
      </c>
      <c r="F448" s="3" t="s">
        <v>49</v>
      </c>
      <c r="G448" s="2" t="str">
        <f t="shared" si="427"/>
        <v>Veľké zmluvy</v>
      </c>
      <c r="H448" s="5" t="s">
        <v>632</v>
      </c>
      <c r="I448" s="2" t="s">
        <v>633</v>
      </c>
      <c r="J448" s="2" t="s">
        <v>634</v>
      </c>
      <c r="K448" s="5">
        <v>35785306</v>
      </c>
      <c r="L448" s="2" t="s">
        <v>118</v>
      </c>
      <c r="M448" s="2" t="s">
        <v>635</v>
      </c>
      <c r="N448" s="6">
        <v>44356.836134259262</v>
      </c>
      <c r="O448" s="4">
        <v>54396051.149999999</v>
      </c>
      <c r="P448" s="2">
        <v>114725</v>
      </c>
      <c r="Q448" s="2" t="s">
        <v>636</v>
      </c>
      <c r="R448" s="2" t="s">
        <v>637</v>
      </c>
      <c r="S448" s="2" t="s">
        <v>71</v>
      </c>
      <c r="T448" s="2" t="s">
        <v>196</v>
      </c>
      <c r="W448" s="4">
        <v>910</v>
      </c>
      <c r="X448" s="4">
        <v>1092</v>
      </c>
      <c r="Y448" s="4">
        <f t="shared" ref="Y448" si="494">INDEX(InternalRates,MATCH($S448,InternalRates01,FALSE),2)</f>
        <v>354.0333333333333</v>
      </c>
      <c r="Z448" s="3" t="str">
        <f t="shared" si="478"/>
        <v>Nie</v>
      </c>
      <c r="AA448" s="3" t="str">
        <f t="shared" si="479"/>
        <v>SLA+ZoD</v>
      </c>
      <c r="AB448" s="4">
        <v>70</v>
      </c>
      <c r="AD448" s="3" t="s">
        <v>607</v>
      </c>
      <c r="AE448" s="6">
        <v>44413</v>
      </c>
      <c r="AF448" s="3" t="s">
        <v>638</v>
      </c>
      <c r="AG448" s="3" t="s">
        <v>49</v>
      </c>
      <c r="AH448" s="3">
        <f>YEAR(SrcDB[[#This Row],[Datum_zverejnenia]])</f>
        <v>2021</v>
      </c>
      <c r="AI448" s="3" cm="1">
        <f t="array" ref="AI448">COUNT(_xlfn.UNIQUE(_xlfn._xlws.FILTER(SrcDB[ID],SrcDB[Objednavatel_ICO]=$H448)))</f>
        <v>6</v>
      </c>
      <c r="AJ448" s="3" cm="1">
        <f t="array" ref="AJ448">COUNT(_xlfn.UNIQUE(_xlfn._xlws.FILTER(SrcDB[ID],SrcDB[Dodavatel_ICO]=$K448)))</f>
        <v>9</v>
      </c>
      <c r="AK448" s="3">
        <f t="shared" si="431"/>
        <v>1</v>
      </c>
      <c r="AL448" s="3">
        <f t="shared" si="432"/>
        <v>1</v>
      </c>
      <c r="AM448" s="17" t="str">
        <f>IF(SrcDB[[#This Row],[Pocet zmluv objednavatela]]&gt;3,SrcDB[[#This Row],[Objednavatel]],"Ostatné")</f>
        <v>Ministerstvo financií SR</v>
      </c>
      <c r="AN448" s="17" t="str">
        <f>IF(SrcDB[[#This Row],[Pocet zmluv dodavatela]]&gt;3,SrcDB[[#This Row],[Dodavatel]],"Ostatné")</f>
        <v>DXC Technology Slovakia s.r.o.</v>
      </c>
    </row>
    <row r="449" spans="1:40" x14ac:dyDescent="0.3">
      <c r="A449" s="2" t="s">
        <v>631</v>
      </c>
      <c r="B449" s="2">
        <v>5792258</v>
      </c>
      <c r="C449" s="3" t="str">
        <f t="shared" si="425"/>
        <v>Áno</v>
      </c>
      <c r="D449" s="3" t="str">
        <f t="shared" si="426"/>
        <v>Áno</v>
      </c>
      <c r="E449" s="3" t="s">
        <v>49</v>
      </c>
      <c r="F449" s="3" t="s">
        <v>49</v>
      </c>
      <c r="G449" s="2" t="str">
        <f t="shared" si="427"/>
        <v>Veľké zmluvy</v>
      </c>
      <c r="H449" s="5" t="s">
        <v>632</v>
      </c>
      <c r="I449" s="2" t="s">
        <v>633</v>
      </c>
      <c r="J449" s="2" t="s">
        <v>634</v>
      </c>
      <c r="K449" s="5">
        <v>35785306</v>
      </c>
      <c r="L449" s="2" t="s">
        <v>118</v>
      </c>
      <c r="M449" s="2" t="s">
        <v>635</v>
      </c>
      <c r="N449" s="6">
        <v>44356.836134259262</v>
      </c>
      <c r="O449" s="4">
        <v>54396051.149999999</v>
      </c>
      <c r="P449" s="2">
        <v>114725</v>
      </c>
      <c r="Q449" s="2" t="s">
        <v>636</v>
      </c>
      <c r="R449" s="2" t="s">
        <v>637</v>
      </c>
      <c r="S449" s="2" t="s">
        <v>77</v>
      </c>
      <c r="T449" s="2" t="s">
        <v>92</v>
      </c>
      <c r="W449" s="4">
        <v>650</v>
      </c>
      <c r="X449" s="4">
        <v>780</v>
      </c>
      <c r="Y449" s="4">
        <f t="shared" ref="Y449" si="495">INDEX(InternalRates,MATCH($S449,InternalRates01,FALSE),2)</f>
        <v>278.98333333333335</v>
      </c>
      <c r="Z449" s="3" t="str">
        <f t="shared" si="478"/>
        <v>Nie</v>
      </c>
      <c r="AA449" s="3" t="str">
        <f t="shared" si="479"/>
        <v>SLA+ZoD</v>
      </c>
      <c r="AB449" s="4">
        <v>3</v>
      </c>
      <c r="AD449" s="3" t="s">
        <v>607</v>
      </c>
      <c r="AE449" s="6">
        <v>44413</v>
      </c>
      <c r="AF449" s="3" t="s">
        <v>638</v>
      </c>
      <c r="AG449" s="3" t="s">
        <v>49</v>
      </c>
      <c r="AH449" s="3">
        <f>YEAR(SrcDB[[#This Row],[Datum_zverejnenia]])</f>
        <v>2021</v>
      </c>
      <c r="AI449" s="3" cm="1">
        <f t="array" ref="AI449">COUNT(_xlfn.UNIQUE(_xlfn._xlws.FILTER(SrcDB[ID],SrcDB[Objednavatel_ICO]=$H449)))</f>
        <v>6</v>
      </c>
      <c r="AJ449" s="3" cm="1">
        <f t="array" ref="AJ449">COUNT(_xlfn.UNIQUE(_xlfn._xlws.FILTER(SrcDB[ID],SrcDB[Dodavatel_ICO]=$K449)))</f>
        <v>9</v>
      </c>
      <c r="AK449" s="3">
        <f t="shared" si="431"/>
        <v>0</v>
      </c>
      <c r="AL449" s="3">
        <f t="shared" si="432"/>
        <v>0</v>
      </c>
      <c r="AM449" s="17" t="str">
        <f>IF(SrcDB[[#This Row],[Pocet zmluv objednavatela]]&gt;3,SrcDB[[#This Row],[Objednavatel]],"Ostatné")</f>
        <v>Ministerstvo financií SR</v>
      </c>
      <c r="AN449" s="17" t="str">
        <f>IF(SrcDB[[#This Row],[Pocet zmluv dodavatela]]&gt;3,SrcDB[[#This Row],[Dodavatel]],"Ostatné")</f>
        <v>DXC Technology Slovakia s.r.o.</v>
      </c>
    </row>
    <row r="450" spans="1:40" x14ac:dyDescent="0.3">
      <c r="A450" s="2" t="s">
        <v>631</v>
      </c>
      <c r="B450" s="2">
        <v>5792258</v>
      </c>
      <c r="C450" s="3" t="str">
        <f t="shared" ref="C450:C513" si="496">IF(OR(NOT(ISERROR(FIND("O DIEL",UPPER($A450)))),NOT(ISERROR(FIND("O IMPLEM",UPPER($A450)))))=TRUE,"Áno",IF(OR(NOT(ISERROR(FIND("PODPOR",UPPER($A450)))),NOT(ISERROR(FIND("SLA",UPPER($A450)))),NOT(ISERROR(FIND("SERVIS",UPPER($A450)))))=TRUE,"Nie","Nejasné"))</f>
        <v>Áno</v>
      </c>
      <c r="D450" s="3" t="str">
        <f t="shared" ref="D450:D513" si="497">IF(OR(NOT(ISERROR(FIND("PODPOR",UPPER($A450)))),NOT(ISERROR(FIND("SLA",UPPER($A450)))),NOT(ISERROR(FIND("SERVIS",UPPER($A450)))))=TRUE,"Áno",IF(OR(NOT(ISERROR(FIND("O DIEL",UPPER($A450)))),NOT(ISERROR(FIND("O IMPLEM",UPPER($A450)))))=TRUE,"Nie","Nejasné"))</f>
        <v>Áno</v>
      </c>
      <c r="E450" s="3" t="s">
        <v>49</v>
      </c>
      <c r="F450" s="3" t="s">
        <v>49</v>
      </c>
      <c r="G450" s="2" t="str">
        <f t="shared" ref="G450:G513" si="498">IF($O450&gt;=8000000,"Veľké zmluvy",IF($O450&gt;=1000000,"Stredné zmluvy","Malé zmluvy"))</f>
        <v>Veľké zmluvy</v>
      </c>
      <c r="H450" s="5" t="s">
        <v>632</v>
      </c>
      <c r="I450" s="2" t="s">
        <v>633</v>
      </c>
      <c r="J450" s="2" t="s">
        <v>634</v>
      </c>
      <c r="K450" s="5">
        <v>35785306</v>
      </c>
      <c r="L450" s="2" t="s">
        <v>118</v>
      </c>
      <c r="M450" s="2" t="s">
        <v>635</v>
      </c>
      <c r="N450" s="6">
        <v>44356.836134259262</v>
      </c>
      <c r="O450" s="4">
        <v>54396051.149999999</v>
      </c>
      <c r="P450" s="2">
        <v>114725</v>
      </c>
      <c r="Q450" s="2" t="s">
        <v>636</v>
      </c>
      <c r="R450" s="2" t="s">
        <v>637</v>
      </c>
      <c r="S450" s="2" t="s">
        <v>69</v>
      </c>
      <c r="T450" s="2" t="s">
        <v>70</v>
      </c>
      <c r="W450" s="4">
        <v>890</v>
      </c>
      <c r="X450" s="4">
        <v>1068</v>
      </c>
      <c r="Y450" s="4">
        <f t="shared" ref="Y450" si="499">INDEX(InternalRates,MATCH($S450,InternalRates01,FALSE),2)</f>
        <v>278.98333333333335</v>
      </c>
      <c r="Z450" s="3" t="str">
        <f t="shared" si="478"/>
        <v>Nie</v>
      </c>
      <c r="AA450" s="3" t="str">
        <f t="shared" si="479"/>
        <v>SLA+ZoD</v>
      </c>
      <c r="AB450" s="4">
        <v>49</v>
      </c>
      <c r="AD450" s="3" t="s">
        <v>607</v>
      </c>
      <c r="AE450" s="6">
        <v>44413</v>
      </c>
      <c r="AF450" s="3" t="s">
        <v>638</v>
      </c>
      <c r="AG450" s="3" t="s">
        <v>49</v>
      </c>
      <c r="AH450" s="3">
        <f>YEAR(SrcDB[[#This Row],[Datum_zverejnenia]])</f>
        <v>2021</v>
      </c>
      <c r="AI450" s="3" cm="1">
        <f t="array" ref="AI450">COUNT(_xlfn.UNIQUE(_xlfn._xlws.FILTER(SrcDB[ID],SrcDB[Objednavatel_ICO]=$H450)))</f>
        <v>6</v>
      </c>
      <c r="AJ450" s="3" cm="1">
        <f t="array" ref="AJ450">COUNT(_xlfn.UNIQUE(_xlfn._xlws.FILTER(SrcDB[ID],SrcDB[Dodavatel_ICO]=$K450)))</f>
        <v>9</v>
      </c>
      <c r="AK450" s="3">
        <f t="shared" si="431"/>
        <v>0</v>
      </c>
      <c r="AL450" s="3">
        <f t="shared" si="432"/>
        <v>0</v>
      </c>
      <c r="AM450" s="17" t="str">
        <f>IF(SrcDB[[#This Row],[Pocet zmluv objednavatela]]&gt;3,SrcDB[[#This Row],[Objednavatel]],"Ostatné")</f>
        <v>Ministerstvo financií SR</v>
      </c>
      <c r="AN450" s="17" t="str">
        <f>IF(SrcDB[[#This Row],[Pocet zmluv dodavatela]]&gt;3,SrcDB[[#This Row],[Dodavatel]],"Ostatné")</f>
        <v>DXC Technology Slovakia s.r.o.</v>
      </c>
    </row>
    <row r="451" spans="1:40" x14ac:dyDescent="0.3">
      <c r="A451" s="2" t="s">
        <v>631</v>
      </c>
      <c r="B451" s="2">
        <v>5792258</v>
      </c>
      <c r="C451" s="3" t="str">
        <f t="shared" si="496"/>
        <v>Áno</v>
      </c>
      <c r="D451" s="3" t="str">
        <f t="shared" si="497"/>
        <v>Áno</v>
      </c>
      <c r="E451" s="3" t="s">
        <v>49</v>
      </c>
      <c r="F451" s="3" t="s">
        <v>49</v>
      </c>
      <c r="G451" s="2" t="str">
        <f t="shared" si="498"/>
        <v>Veľké zmluvy</v>
      </c>
      <c r="H451" s="5" t="s">
        <v>632</v>
      </c>
      <c r="I451" s="2" t="s">
        <v>633</v>
      </c>
      <c r="J451" s="2" t="s">
        <v>634</v>
      </c>
      <c r="K451" s="5">
        <v>35785306</v>
      </c>
      <c r="L451" s="2" t="s">
        <v>118</v>
      </c>
      <c r="M451" s="2" t="s">
        <v>635</v>
      </c>
      <c r="N451" s="6">
        <v>44356.836134259262</v>
      </c>
      <c r="O451" s="4">
        <v>54396051.149999999</v>
      </c>
      <c r="P451" s="2">
        <v>114725</v>
      </c>
      <c r="Q451" s="2" t="s">
        <v>636</v>
      </c>
      <c r="R451" s="2" t="s">
        <v>637</v>
      </c>
      <c r="S451" s="2" t="s">
        <v>73</v>
      </c>
      <c r="T451" s="2" t="s">
        <v>90</v>
      </c>
      <c r="W451" s="4">
        <v>740</v>
      </c>
      <c r="X451" s="4">
        <v>888</v>
      </c>
      <c r="Y451" s="4">
        <f t="shared" ref="Y451" si="500">INDEX(InternalRates,MATCH($S451,InternalRates01,FALSE),2)</f>
        <v>278.98333333333335</v>
      </c>
      <c r="Z451" s="3" t="str">
        <f t="shared" si="478"/>
        <v>Nie</v>
      </c>
      <c r="AA451" s="3" t="str">
        <f t="shared" si="479"/>
        <v>SLA+ZoD</v>
      </c>
      <c r="AB451" s="4">
        <v>84</v>
      </c>
      <c r="AD451" s="3" t="s">
        <v>607</v>
      </c>
      <c r="AE451" s="6">
        <v>44413</v>
      </c>
      <c r="AF451" s="3" t="s">
        <v>638</v>
      </c>
      <c r="AG451" s="3" t="s">
        <v>49</v>
      </c>
      <c r="AH451" s="3">
        <f>YEAR(SrcDB[[#This Row],[Datum_zverejnenia]])</f>
        <v>2021</v>
      </c>
      <c r="AI451" s="3" cm="1">
        <f t="array" ref="AI451">COUNT(_xlfn.UNIQUE(_xlfn._xlws.FILTER(SrcDB[ID],SrcDB[Objednavatel_ICO]=$H451)))</f>
        <v>6</v>
      </c>
      <c r="AJ451" s="3" cm="1">
        <f t="array" ref="AJ451">COUNT(_xlfn.UNIQUE(_xlfn._xlws.FILTER(SrcDB[ID],SrcDB[Dodavatel_ICO]=$K451)))</f>
        <v>9</v>
      </c>
      <c r="AK451" s="3">
        <f t="shared" si="431"/>
        <v>0</v>
      </c>
      <c r="AL451" s="3">
        <f t="shared" si="432"/>
        <v>0</v>
      </c>
      <c r="AM451" s="17" t="str">
        <f>IF(SrcDB[[#This Row],[Pocet zmluv objednavatela]]&gt;3,SrcDB[[#This Row],[Objednavatel]],"Ostatné")</f>
        <v>Ministerstvo financií SR</v>
      </c>
      <c r="AN451" s="17" t="str">
        <f>IF(SrcDB[[#This Row],[Pocet zmluv dodavatela]]&gt;3,SrcDB[[#This Row],[Dodavatel]],"Ostatné")</f>
        <v>DXC Technology Slovakia s.r.o.</v>
      </c>
    </row>
    <row r="452" spans="1:40" x14ac:dyDescent="0.3">
      <c r="A452" s="2" t="s">
        <v>631</v>
      </c>
      <c r="B452" s="2">
        <v>5792258</v>
      </c>
      <c r="C452" s="3" t="str">
        <f t="shared" si="496"/>
        <v>Áno</v>
      </c>
      <c r="D452" s="3" t="str">
        <f t="shared" si="497"/>
        <v>Áno</v>
      </c>
      <c r="E452" s="3" t="s">
        <v>49</v>
      </c>
      <c r="F452" s="3" t="s">
        <v>49</v>
      </c>
      <c r="G452" s="2" t="str">
        <f t="shared" si="498"/>
        <v>Veľké zmluvy</v>
      </c>
      <c r="H452" s="5" t="s">
        <v>632</v>
      </c>
      <c r="I452" s="2" t="s">
        <v>633</v>
      </c>
      <c r="J452" s="2" t="s">
        <v>634</v>
      </c>
      <c r="K452" s="5">
        <v>35785306</v>
      </c>
      <c r="L452" s="2" t="s">
        <v>118</v>
      </c>
      <c r="M452" s="2" t="s">
        <v>635</v>
      </c>
      <c r="N452" s="6">
        <v>44356.836134259262</v>
      </c>
      <c r="O452" s="4">
        <v>54396051.149999999</v>
      </c>
      <c r="P452" s="2">
        <v>114725</v>
      </c>
      <c r="Q452" s="2" t="s">
        <v>636</v>
      </c>
      <c r="R452" s="2" t="s">
        <v>637</v>
      </c>
      <c r="S452" s="2" t="s">
        <v>56</v>
      </c>
      <c r="T452" s="2" t="s">
        <v>448</v>
      </c>
      <c r="U452" s="2" t="s">
        <v>449</v>
      </c>
      <c r="W452" s="4">
        <v>890</v>
      </c>
      <c r="X452" s="4">
        <v>1068</v>
      </c>
      <c r="Y452" s="4">
        <f t="shared" ref="Y452" si="501">INDEX(InternalRates,MATCH($S452,InternalRates01,FALSE),2)</f>
        <v>278.98333333333335</v>
      </c>
      <c r="Z452" s="3" t="str">
        <f t="shared" si="478"/>
        <v>Nie</v>
      </c>
      <c r="AA452" s="3" t="str">
        <f t="shared" si="479"/>
        <v>SLA+ZoD</v>
      </c>
      <c r="AB452" s="4">
        <v>41</v>
      </c>
      <c r="AD452" s="3" t="s">
        <v>607</v>
      </c>
      <c r="AE452" s="6">
        <v>44413</v>
      </c>
      <c r="AF452" s="3" t="s">
        <v>638</v>
      </c>
      <c r="AG452" s="3" t="s">
        <v>49</v>
      </c>
      <c r="AH452" s="3">
        <f>YEAR(SrcDB[[#This Row],[Datum_zverejnenia]])</f>
        <v>2021</v>
      </c>
      <c r="AI452" s="3" cm="1">
        <f t="array" ref="AI452">COUNT(_xlfn.UNIQUE(_xlfn._xlws.FILTER(SrcDB[ID],SrcDB[Objednavatel_ICO]=$H452)))</f>
        <v>6</v>
      </c>
      <c r="AJ452" s="3" cm="1">
        <f t="array" ref="AJ452">COUNT(_xlfn.UNIQUE(_xlfn._xlws.FILTER(SrcDB[ID],SrcDB[Dodavatel_ICO]=$K452)))</f>
        <v>9</v>
      </c>
      <c r="AK452" s="3">
        <f t="shared" ref="AK452:AK515" si="502">IF($H451&lt;&gt;$H452,1,IF($B451&lt;&gt;$B452,1,0))</f>
        <v>0</v>
      </c>
      <c r="AL452" s="3">
        <f t="shared" ref="AL452:AL515" si="503">IF($K451&lt;&gt;$K452,1,IF($B451&lt;&gt;$B452,1,0))</f>
        <v>0</v>
      </c>
      <c r="AM452" s="17" t="str">
        <f>IF(SrcDB[[#This Row],[Pocet zmluv objednavatela]]&gt;3,SrcDB[[#This Row],[Objednavatel]],"Ostatné")</f>
        <v>Ministerstvo financií SR</v>
      </c>
      <c r="AN452" s="17" t="str">
        <f>IF(SrcDB[[#This Row],[Pocet zmluv dodavatela]]&gt;3,SrcDB[[#This Row],[Dodavatel]],"Ostatné")</f>
        <v>DXC Technology Slovakia s.r.o.</v>
      </c>
    </row>
    <row r="453" spans="1:40" x14ac:dyDescent="0.3">
      <c r="A453" s="2" t="s">
        <v>631</v>
      </c>
      <c r="B453" s="2">
        <v>5792258</v>
      </c>
      <c r="C453" s="3" t="str">
        <f t="shared" si="496"/>
        <v>Áno</v>
      </c>
      <c r="D453" s="3" t="str">
        <f t="shared" si="497"/>
        <v>Áno</v>
      </c>
      <c r="E453" s="3" t="s">
        <v>49</v>
      </c>
      <c r="F453" s="3" t="s">
        <v>49</v>
      </c>
      <c r="G453" s="2" t="str">
        <f t="shared" si="498"/>
        <v>Veľké zmluvy</v>
      </c>
      <c r="H453" s="5" t="s">
        <v>632</v>
      </c>
      <c r="I453" s="2" t="s">
        <v>633</v>
      </c>
      <c r="J453" s="2" t="s">
        <v>634</v>
      </c>
      <c r="K453" s="5">
        <v>35785306</v>
      </c>
      <c r="L453" s="2" t="s">
        <v>118</v>
      </c>
      <c r="M453" s="2" t="s">
        <v>635</v>
      </c>
      <c r="N453" s="6">
        <v>44356.836134259262</v>
      </c>
      <c r="O453" s="4">
        <v>54396051.149999999</v>
      </c>
      <c r="P453" s="2">
        <v>114725</v>
      </c>
      <c r="Q453" s="2" t="s">
        <v>636</v>
      </c>
      <c r="R453" s="2" t="s">
        <v>637</v>
      </c>
      <c r="S453" s="2" t="s">
        <v>56</v>
      </c>
      <c r="T453" s="2" t="s">
        <v>94</v>
      </c>
      <c r="U453" s="2" t="s">
        <v>95</v>
      </c>
      <c r="W453" s="4">
        <v>1200</v>
      </c>
      <c r="X453" s="4">
        <v>1440</v>
      </c>
      <c r="Y453" s="4">
        <f t="shared" ref="Y453" si="504">INDEX(InternalRates,MATCH($S453,InternalRates01,FALSE),2)</f>
        <v>278.98333333333335</v>
      </c>
      <c r="Z453" s="3" t="str">
        <f t="shared" si="478"/>
        <v>Nie</v>
      </c>
      <c r="AA453" s="3" t="str">
        <f t="shared" si="479"/>
        <v>SLA+ZoD</v>
      </c>
      <c r="AB453" s="4">
        <v>146</v>
      </c>
      <c r="AD453" s="3" t="s">
        <v>607</v>
      </c>
      <c r="AE453" s="6">
        <v>44413</v>
      </c>
      <c r="AF453" s="3" t="s">
        <v>638</v>
      </c>
      <c r="AG453" s="3" t="s">
        <v>49</v>
      </c>
      <c r="AH453" s="3">
        <f>YEAR(SrcDB[[#This Row],[Datum_zverejnenia]])</f>
        <v>2021</v>
      </c>
      <c r="AI453" s="3" cm="1">
        <f t="array" ref="AI453">COUNT(_xlfn.UNIQUE(_xlfn._xlws.FILTER(SrcDB[ID],SrcDB[Objednavatel_ICO]=$H453)))</f>
        <v>6</v>
      </c>
      <c r="AJ453" s="3" cm="1">
        <f t="array" ref="AJ453">COUNT(_xlfn.UNIQUE(_xlfn._xlws.FILTER(SrcDB[ID],SrcDB[Dodavatel_ICO]=$K453)))</f>
        <v>9</v>
      </c>
      <c r="AK453" s="3">
        <f t="shared" si="502"/>
        <v>0</v>
      </c>
      <c r="AL453" s="3">
        <f t="shared" si="503"/>
        <v>0</v>
      </c>
      <c r="AM453" s="17" t="str">
        <f>IF(SrcDB[[#This Row],[Pocet zmluv objednavatela]]&gt;3,SrcDB[[#This Row],[Objednavatel]],"Ostatné")</f>
        <v>Ministerstvo financií SR</v>
      </c>
      <c r="AN453" s="17" t="str">
        <f>IF(SrcDB[[#This Row],[Pocet zmluv dodavatela]]&gt;3,SrcDB[[#This Row],[Dodavatel]],"Ostatné")</f>
        <v>DXC Technology Slovakia s.r.o.</v>
      </c>
    </row>
    <row r="454" spans="1:40" x14ac:dyDescent="0.3">
      <c r="A454" s="2" t="s">
        <v>631</v>
      </c>
      <c r="B454" s="2">
        <v>5792258</v>
      </c>
      <c r="C454" s="3" t="str">
        <f t="shared" si="496"/>
        <v>Áno</v>
      </c>
      <c r="D454" s="3" t="str">
        <f t="shared" si="497"/>
        <v>Áno</v>
      </c>
      <c r="E454" s="3" t="s">
        <v>49</v>
      </c>
      <c r="F454" s="3" t="s">
        <v>49</v>
      </c>
      <c r="G454" s="2" t="str">
        <f t="shared" si="498"/>
        <v>Veľké zmluvy</v>
      </c>
      <c r="H454" s="5" t="s">
        <v>632</v>
      </c>
      <c r="I454" s="2" t="s">
        <v>633</v>
      </c>
      <c r="J454" s="2" t="s">
        <v>634</v>
      </c>
      <c r="K454" s="5">
        <v>35785306</v>
      </c>
      <c r="L454" s="2" t="s">
        <v>118</v>
      </c>
      <c r="M454" s="2" t="s">
        <v>635</v>
      </c>
      <c r="N454" s="6">
        <v>44356.836134259262</v>
      </c>
      <c r="O454" s="4">
        <v>54396051.149999999</v>
      </c>
      <c r="P454" s="2">
        <v>114725</v>
      </c>
      <c r="Q454" s="2" t="s">
        <v>636</v>
      </c>
      <c r="R454" s="2" t="s">
        <v>637</v>
      </c>
      <c r="S454" s="2" t="s">
        <v>56</v>
      </c>
      <c r="T454" s="2" t="s">
        <v>96</v>
      </c>
      <c r="U454" s="2" t="s">
        <v>97</v>
      </c>
      <c r="W454" s="4">
        <v>790</v>
      </c>
      <c r="X454" s="4">
        <v>948</v>
      </c>
      <c r="Y454" s="4">
        <f t="shared" ref="Y454" si="505">INDEX(InternalRates,MATCH($S454,InternalRates01,FALSE),2)</f>
        <v>278.98333333333335</v>
      </c>
      <c r="Z454" s="3" t="str">
        <f t="shared" si="478"/>
        <v>Nie</v>
      </c>
      <c r="AA454" s="3" t="str">
        <f t="shared" si="479"/>
        <v>SLA+ZoD</v>
      </c>
      <c r="AB454" s="4">
        <v>24</v>
      </c>
      <c r="AD454" s="3" t="s">
        <v>607</v>
      </c>
      <c r="AE454" s="6">
        <v>44413</v>
      </c>
      <c r="AF454" s="3" t="s">
        <v>638</v>
      </c>
      <c r="AG454" s="3" t="s">
        <v>49</v>
      </c>
      <c r="AH454" s="3">
        <f>YEAR(SrcDB[[#This Row],[Datum_zverejnenia]])</f>
        <v>2021</v>
      </c>
      <c r="AI454" s="3" cm="1">
        <f t="array" ref="AI454">COUNT(_xlfn.UNIQUE(_xlfn._xlws.FILTER(SrcDB[ID],SrcDB[Objednavatel_ICO]=$H454)))</f>
        <v>6</v>
      </c>
      <c r="AJ454" s="3" cm="1">
        <f t="array" ref="AJ454">COUNT(_xlfn.UNIQUE(_xlfn._xlws.FILTER(SrcDB[ID],SrcDB[Dodavatel_ICO]=$K454)))</f>
        <v>9</v>
      </c>
      <c r="AK454" s="3">
        <f t="shared" si="502"/>
        <v>0</v>
      </c>
      <c r="AL454" s="3">
        <f t="shared" si="503"/>
        <v>0</v>
      </c>
      <c r="AM454" s="17" t="str">
        <f>IF(SrcDB[[#This Row],[Pocet zmluv objednavatela]]&gt;3,SrcDB[[#This Row],[Objednavatel]],"Ostatné")</f>
        <v>Ministerstvo financií SR</v>
      </c>
      <c r="AN454" s="17" t="str">
        <f>IF(SrcDB[[#This Row],[Pocet zmluv dodavatela]]&gt;3,SrcDB[[#This Row],[Dodavatel]],"Ostatné")</f>
        <v>DXC Technology Slovakia s.r.o.</v>
      </c>
    </row>
    <row r="455" spans="1:40" x14ac:dyDescent="0.3">
      <c r="A455" s="2" t="s">
        <v>631</v>
      </c>
      <c r="B455" s="2">
        <v>5792258</v>
      </c>
      <c r="C455" s="3" t="str">
        <f t="shared" si="496"/>
        <v>Áno</v>
      </c>
      <c r="D455" s="3" t="str">
        <f t="shared" si="497"/>
        <v>Áno</v>
      </c>
      <c r="E455" s="3" t="s">
        <v>49</v>
      </c>
      <c r="F455" s="3" t="s">
        <v>49</v>
      </c>
      <c r="G455" s="2" t="str">
        <f t="shared" si="498"/>
        <v>Veľké zmluvy</v>
      </c>
      <c r="H455" s="5" t="s">
        <v>632</v>
      </c>
      <c r="I455" s="2" t="s">
        <v>633</v>
      </c>
      <c r="J455" s="2" t="s">
        <v>634</v>
      </c>
      <c r="K455" s="5">
        <v>35785306</v>
      </c>
      <c r="L455" s="2" t="s">
        <v>118</v>
      </c>
      <c r="M455" s="2" t="s">
        <v>635</v>
      </c>
      <c r="N455" s="6">
        <v>44356.836134259262</v>
      </c>
      <c r="O455" s="4">
        <v>54396051.149999999</v>
      </c>
      <c r="P455" s="2">
        <v>114725</v>
      </c>
      <c r="Q455" s="2" t="s">
        <v>636</v>
      </c>
      <c r="R455" s="2" t="s">
        <v>637</v>
      </c>
      <c r="S455" s="2" t="s">
        <v>56</v>
      </c>
      <c r="T455" s="2" t="s">
        <v>593</v>
      </c>
      <c r="U455" s="2" t="s">
        <v>289</v>
      </c>
      <c r="W455" s="4">
        <v>600</v>
      </c>
      <c r="X455" s="4">
        <v>720</v>
      </c>
      <c r="Y455" s="4">
        <f t="shared" ref="Y455" si="506">INDEX(InternalRates,MATCH($S455,InternalRates01,FALSE),2)</f>
        <v>278.98333333333335</v>
      </c>
      <c r="Z455" s="3" t="str">
        <f t="shared" si="478"/>
        <v>Nie</v>
      </c>
      <c r="AA455" s="3" t="str">
        <f t="shared" si="479"/>
        <v>SLA+ZoD</v>
      </c>
      <c r="AB455" s="4">
        <v>20</v>
      </c>
      <c r="AD455" s="3" t="s">
        <v>607</v>
      </c>
      <c r="AE455" s="6">
        <v>44413</v>
      </c>
      <c r="AF455" s="3" t="s">
        <v>638</v>
      </c>
      <c r="AG455" s="3" t="s">
        <v>49</v>
      </c>
      <c r="AH455" s="3">
        <f>YEAR(SrcDB[[#This Row],[Datum_zverejnenia]])</f>
        <v>2021</v>
      </c>
      <c r="AI455" s="3" cm="1">
        <f t="array" ref="AI455">COUNT(_xlfn.UNIQUE(_xlfn._xlws.FILTER(SrcDB[ID],SrcDB[Objednavatel_ICO]=$H455)))</f>
        <v>6</v>
      </c>
      <c r="AJ455" s="3" cm="1">
        <f t="array" ref="AJ455">COUNT(_xlfn.UNIQUE(_xlfn._xlws.FILTER(SrcDB[ID],SrcDB[Dodavatel_ICO]=$K455)))</f>
        <v>9</v>
      </c>
      <c r="AK455" s="3">
        <f t="shared" si="502"/>
        <v>0</v>
      </c>
      <c r="AL455" s="3">
        <f t="shared" si="503"/>
        <v>0</v>
      </c>
      <c r="AM455" s="17" t="str">
        <f>IF(SrcDB[[#This Row],[Pocet zmluv objednavatela]]&gt;3,SrcDB[[#This Row],[Objednavatel]],"Ostatné")</f>
        <v>Ministerstvo financií SR</v>
      </c>
      <c r="AN455" s="17" t="str">
        <f>IF(SrcDB[[#This Row],[Pocet zmluv dodavatela]]&gt;3,SrcDB[[#This Row],[Dodavatel]],"Ostatné")</f>
        <v>DXC Technology Slovakia s.r.o.</v>
      </c>
    </row>
    <row r="456" spans="1:40" x14ac:dyDescent="0.3">
      <c r="A456" s="2" t="s">
        <v>631</v>
      </c>
      <c r="B456" s="2">
        <v>5792258</v>
      </c>
      <c r="C456" s="3" t="str">
        <f t="shared" si="496"/>
        <v>Áno</v>
      </c>
      <c r="D456" s="3" t="str">
        <f t="shared" si="497"/>
        <v>Áno</v>
      </c>
      <c r="E456" s="3" t="s">
        <v>49</v>
      </c>
      <c r="F456" s="3" t="s">
        <v>49</v>
      </c>
      <c r="G456" s="2" t="str">
        <f t="shared" si="498"/>
        <v>Veľké zmluvy</v>
      </c>
      <c r="H456" s="5" t="s">
        <v>632</v>
      </c>
      <c r="I456" s="2" t="s">
        <v>633</v>
      </c>
      <c r="J456" s="2" t="s">
        <v>634</v>
      </c>
      <c r="K456" s="5">
        <v>35785306</v>
      </c>
      <c r="L456" s="2" t="s">
        <v>118</v>
      </c>
      <c r="M456" s="2" t="s">
        <v>635</v>
      </c>
      <c r="N456" s="6">
        <v>44356.836134259262</v>
      </c>
      <c r="O456" s="4">
        <v>54396051.149999999</v>
      </c>
      <c r="P456" s="2">
        <v>114725</v>
      </c>
      <c r="Q456" s="2" t="s">
        <v>636</v>
      </c>
      <c r="R456" s="2" t="s">
        <v>637</v>
      </c>
      <c r="S456" s="2" t="s">
        <v>56</v>
      </c>
      <c r="T456" s="2" t="s">
        <v>286</v>
      </c>
      <c r="U456" s="2" t="s">
        <v>129</v>
      </c>
      <c r="W456" s="4">
        <v>900</v>
      </c>
      <c r="X456" s="4">
        <v>1080</v>
      </c>
      <c r="Y456" s="4">
        <f t="shared" ref="Y456" si="507">INDEX(InternalRates,MATCH($S456,InternalRates01,FALSE),2)</f>
        <v>278.98333333333335</v>
      </c>
      <c r="Z456" s="3" t="str">
        <f t="shared" si="478"/>
        <v>Nie</v>
      </c>
      <c r="AA456" s="3" t="str">
        <f t="shared" si="479"/>
        <v>SLA+ZoD</v>
      </c>
      <c r="AB456" s="4">
        <v>43</v>
      </c>
      <c r="AD456" s="3" t="s">
        <v>607</v>
      </c>
      <c r="AE456" s="6">
        <v>44413</v>
      </c>
      <c r="AF456" s="3" t="s">
        <v>638</v>
      </c>
      <c r="AG456" s="3" t="s">
        <v>49</v>
      </c>
      <c r="AH456" s="3">
        <f>YEAR(SrcDB[[#This Row],[Datum_zverejnenia]])</f>
        <v>2021</v>
      </c>
      <c r="AI456" s="3" cm="1">
        <f t="array" ref="AI456">COUNT(_xlfn.UNIQUE(_xlfn._xlws.FILTER(SrcDB[ID],SrcDB[Objednavatel_ICO]=$H456)))</f>
        <v>6</v>
      </c>
      <c r="AJ456" s="3" cm="1">
        <f t="array" ref="AJ456">COUNT(_xlfn.UNIQUE(_xlfn._xlws.FILTER(SrcDB[ID],SrcDB[Dodavatel_ICO]=$K456)))</f>
        <v>9</v>
      </c>
      <c r="AK456" s="3">
        <f t="shared" si="502"/>
        <v>0</v>
      </c>
      <c r="AL456" s="3">
        <f t="shared" si="503"/>
        <v>0</v>
      </c>
      <c r="AM456" s="17" t="str">
        <f>IF(SrcDB[[#This Row],[Pocet zmluv objednavatela]]&gt;3,SrcDB[[#This Row],[Objednavatel]],"Ostatné")</f>
        <v>Ministerstvo financií SR</v>
      </c>
      <c r="AN456" s="17" t="str">
        <f>IF(SrcDB[[#This Row],[Pocet zmluv dodavatela]]&gt;3,SrcDB[[#This Row],[Dodavatel]],"Ostatné")</f>
        <v>DXC Technology Slovakia s.r.o.</v>
      </c>
    </row>
    <row r="457" spans="1:40" x14ac:dyDescent="0.3">
      <c r="A457" s="2" t="s">
        <v>631</v>
      </c>
      <c r="B457" s="2">
        <v>5792258</v>
      </c>
      <c r="C457" s="3" t="str">
        <f t="shared" si="496"/>
        <v>Áno</v>
      </c>
      <c r="D457" s="3" t="str">
        <f t="shared" si="497"/>
        <v>Áno</v>
      </c>
      <c r="E457" s="3" t="s">
        <v>49</v>
      </c>
      <c r="F457" s="3" t="s">
        <v>49</v>
      </c>
      <c r="G457" s="2" t="str">
        <f t="shared" si="498"/>
        <v>Veľké zmluvy</v>
      </c>
      <c r="H457" s="5" t="s">
        <v>632</v>
      </c>
      <c r="I457" s="2" t="s">
        <v>633</v>
      </c>
      <c r="J457" s="2" t="s">
        <v>634</v>
      </c>
      <c r="K457" s="5">
        <v>35785306</v>
      </c>
      <c r="L457" s="2" t="s">
        <v>118</v>
      </c>
      <c r="M457" s="2" t="s">
        <v>635</v>
      </c>
      <c r="N457" s="6">
        <v>44356.836134259262</v>
      </c>
      <c r="O457" s="4">
        <v>54396051.149999999</v>
      </c>
      <c r="P457" s="2">
        <v>114725</v>
      </c>
      <c r="Q457" s="2" t="s">
        <v>636</v>
      </c>
      <c r="R457" s="2" t="s">
        <v>637</v>
      </c>
      <c r="S457" s="2" t="s">
        <v>77</v>
      </c>
      <c r="T457" s="2" t="s">
        <v>92</v>
      </c>
      <c r="W457" s="4">
        <v>390</v>
      </c>
      <c r="X457" s="4">
        <v>468</v>
      </c>
      <c r="Y457" s="4">
        <f t="shared" ref="Y457" si="508">INDEX(InternalRates,MATCH($S457,InternalRates01,FALSE),2)</f>
        <v>278.98333333333335</v>
      </c>
      <c r="Z457" s="3" t="str">
        <f t="shared" si="478"/>
        <v>Nie</v>
      </c>
      <c r="AA457" s="3" t="str">
        <f t="shared" si="479"/>
        <v>SLA+ZoD</v>
      </c>
      <c r="AB457" s="4">
        <v>2</v>
      </c>
      <c r="AD457" s="3" t="s">
        <v>607</v>
      </c>
      <c r="AE457" s="6">
        <v>44413</v>
      </c>
      <c r="AF457" s="3" t="s">
        <v>639</v>
      </c>
      <c r="AG457" s="3" t="s">
        <v>49</v>
      </c>
      <c r="AH457" s="3">
        <f>YEAR(SrcDB[[#This Row],[Datum_zverejnenia]])</f>
        <v>2021</v>
      </c>
      <c r="AI457" s="3" cm="1">
        <f t="array" ref="AI457">COUNT(_xlfn.UNIQUE(_xlfn._xlws.FILTER(SrcDB[ID],SrcDB[Objednavatel_ICO]=$H457)))</f>
        <v>6</v>
      </c>
      <c r="AJ457" s="3" cm="1">
        <f t="array" ref="AJ457">COUNT(_xlfn.UNIQUE(_xlfn._xlws.FILTER(SrcDB[ID],SrcDB[Dodavatel_ICO]=$K457)))</f>
        <v>9</v>
      </c>
      <c r="AK457" s="3">
        <f t="shared" si="502"/>
        <v>0</v>
      </c>
      <c r="AL457" s="3">
        <f t="shared" si="503"/>
        <v>0</v>
      </c>
      <c r="AM457" s="17" t="str">
        <f>IF(SrcDB[[#This Row],[Pocet zmluv objednavatela]]&gt;3,SrcDB[[#This Row],[Objednavatel]],"Ostatné")</f>
        <v>Ministerstvo financií SR</v>
      </c>
      <c r="AN457" s="17" t="str">
        <f>IF(SrcDB[[#This Row],[Pocet zmluv dodavatela]]&gt;3,SrcDB[[#This Row],[Dodavatel]],"Ostatné")</f>
        <v>DXC Technology Slovakia s.r.o.</v>
      </c>
    </row>
    <row r="458" spans="1:40" x14ac:dyDescent="0.3">
      <c r="A458" s="2" t="s">
        <v>631</v>
      </c>
      <c r="B458" s="2">
        <v>5792258</v>
      </c>
      <c r="C458" s="3" t="str">
        <f t="shared" si="496"/>
        <v>Áno</v>
      </c>
      <c r="D458" s="3" t="str">
        <f t="shared" si="497"/>
        <v>Áno</v>
      </c>
      <c r="E458" s="3" t="s">
        <v>49</v>
      </c>
      <c r="F458" s="3" t="s">
        <v>49</v>
      </c>
      <c r="G458" s="2" t="str">
        <f t="shared" si="498"/>
        <v>Veľké zmluvy</v>
      </c>
      <c r="H458" s="5" t="s">
        <v>632</v>
      </c>
      <c r="I458" s="2" t="s">
        <v>633</v>
      </c>
      <c r="J458" s="2" t="s">
        <v>634</v>
      </c>
      <c r="K458" s="5">
        <v>35785306</v>
      </c>
      <c r="L458" s="2" t="s">
        <v>118</v>
      </c>
      <c r="M458" s="2" t="s">
        <v>635</v>
      </c>
      <c r="N458" s="6">
        <v>44356.836134259262</v>
      </c>
      <c r="O458" s="4">
        <v>54396051.149999999</v>
      </c>
      <c r="P458" s="2">
        <v>114725</v>
      </c>
      <c r="Q458" s="2" t="s">
        <v>636</v>
      </c>
      <c r="R458" s="2" t="s">
        <v>637</v>
      </c>
      <c r="S458" s="2" t="s">
        <v>73</v>
      </c>
      <c r="T458" s="2" t="s">
        <v>90</v>
      </c>
      <c r="W458" s="4">
        <v>534</v>
      </c>
      <c r="X458" s="4">
        <v>640.79999999999995</v>
      </c>
      <c r="Y458" s="4">
        <f t="shared" ref="Y458" si="509">INDEX(InternalRates,MATCH($S458,InternalRates01,FALSE),2)</f>
        <v>278.98333333333335</v>
      </c>
      <c r="Z458" s="3" t="str">
        <f t="shared" si="478"/>
        <v>Nie</v>
      </c>
      <c r="AA458" s="3" t="str">
        <f t="shared" si="479"/>
        <v>SLA+ZoD</v>
      </c>
      <c r="AB458" s="4">
        <v>59</v>
      </c>
      <c r="AD458" s="3" t="s">
        <v>607</v>
      </c>
      <c r="AE458" s="6">
        <v>44413</v>
      </c>
      <c r="AF458" s="3" t="s">
        <v>639</v>
      </c>
      <c r="AG458" s="3" t="s">
        <v>49</v>
      </c>
      <c r="AH458" s="3">
        <f>YEAR(SrcDB[[#This Row],[Datum_zverejnenia]])</f>
        <v>2021</v>
      </c>
      <c r="AI458" s="3" cm="1">
        <f t="array" ref="AI458">COUNT(_xlfn.UNIQUE(_xlfn._xlws.FILTER(SrcDB[ID],SrcDB[Objednavatel_ICO]=$H458)))</f>
        <v>6</v>
      </c>
      <c r="AJ458" s="3" cm="1">
        <f t="array" ref="AJ458">COUNT(_xlfn.UNIQUE(_xlfn._xlws.FILTER(SrcDB[ID],SrcDB[Dodavatel_ICO]=$K458)))</f>
        <v>9</v>
      </c>
      <c r="AK458" s="3">
        <f t="shared" si="502"/>
        <v>0</v>
      </c>
      <c r="AL458" s="3">
        <f t="shared" si="503"/>
        <v>0</v>
      </c>
      <c r="AM458" s="17" t="str">
        <f>IF(SrcDB[[#This Row],[Pocet zmluv objednavatela]]&gt;3,SrcDB[[#This Row],[Objednavatel]],"Ostatné")</f>
        <v>Ministerstvo financií SR</v>
      </c>
      <c r="AN458" s="17" t="str">
        <f>IF(SrcDB[[#This Row],[Pocet zmluv dodavatela]]&gt;3,SrcDB[[#This Row],[Dodavatel]],"Ostatné")</f>
        <v>DXC Technology Slovakia s.r.o.</v>
      </c>
    </row>
    <row r="459" spans="1:40" x14ac:dyDescent="0.3">
      <c r="A459" s="2" t="s">
        <v>631</v>
      </c>
      <c r="B459" s="2">
        <v>5792258</v>
      </c>
      <c r="C459" s="3" t="str">
        <f t="shared" si="496"/>
        <v>Áno</v>
      </c>
      <c r="D459" s="3" t="str">
        <f t="shared" si="497"/>
        <v>Áno</v>
      </c>
      <c r="E459" s="3" t="s">
        <v>49</v>
      </c>
      <c r="F459" s="3" t="s">
        <v>49</v>
      </c>
      <c r="G459" s="2" t="str">
        <f t="shared" si="498"/>
        <v>Veľké zmluvy</v>
      </c>
      <c r="H459" s="5" t="s">
        <v>632</v>
      </c>
      <c r="I459" s="2" t="s">
        <v>633</v>
      </c>
      <c r="J459" s="2" t="s">
        <v>634</v>
      </c>
      <c r="K459" s="5">
        <v>35785306</v>
      </c>
      <c r="L459" s="2" t="s">
        <v>118</v>
      </c>
      <c r="M459" s="2" t="s">
        <v>635</v>
      </c>
      <c r="N459" s="6">
        <v>44356.836134259262</v>
      </c>
      <c r="O459" s="4">
        <v>54396051.149999999</v>
      </c>
      <c r="P459" s="2">
        <v>114725</v>
      </c>
      <c r="Q459" s="2" t="s">
        <v>636</v>
      </c>
      <c r="R459" s="2" t="s">
        <v>637</v>
      </c>
      <c r="S459" s="2" t="s">
        <v>56</v>
      </c>
      <c r="T459" s="2" t="s">
        <v>286</v>
      </c>
      <c r="U459" s="2" t="s">
        <v>129</v>
      </c>
      <c r="W459" s="4">
        <v>534</v>
      </c>
      <c r="X459" s="4">
        <v>640.79999999999995</v>
      </c>
      <c r="Y459" s="4">
        <f t="shared" ref="Y459" si="510">INDEX(InternalRates,MATCH($S459,InternalRates01,FALSE),2)</f>
        <v>278.98333333333335</v>
      </c>
      <c r="Z459" s="3" t="str">
        <f t="shared" si="478"/>
        <v>Nie</v>
      </c>
      <c r="AA459" s="3" t="str">
        <f t="shared" si="479"/>
        <v>SLA+ZoD</v>
      </c>
      <c r="AB459" s="4">
        <v>36</v>
      </c>
      <c r="AD459" s="3" t="s">
        <v>607</v>
      </c>
      <c r="AE459" s="6">
        <v>44413</v>
      </c>
      <c r="AF459" s="3" t="s">
        <v>639</v>
      </c>
      <c r="AG459" s="3" t="s">
        <v>49</v>
      </c>
      <c r="AH459" s="3">
        <f>YEAR(SrcDB[[#This Row],[Datum_zverejnenia]])</f>
        <v>2021</v>
      </c>
      <c r="AI459" s="3" cm="1">
        <f t="array" ref="AI459">COUNT(_xlfn.UNIQUE(_xlfn._xlws.FILTER(SrcDB[ID],SrcDB[Objednavatel_ICO]=$H459)))</f>
        <v>6</v>
      </c>
      <c r="AJ459" s="3" cm="1">
        <f t="array" ref="AJ459">COUNT(_xlfn.UNIQUE(_xlfn._xlws.FILTER(SrcDB[ID],SrcDB[Dodavatel_ICO]=$K459)))</f>
        <v>9</v>
      </c>
      <c r="AK459" s="3">
        <f t="shared" si="502"/>
        <v>0</v>
      </c>
      <c r="AL459" s="3">
        <f t="shared" si="503"/>
        <v>0</v>
      </c>
      <c r="AM459" s="17" t="str">
        <f>IF(SrcDB[[#This Row],[Pocet zmluv objednavatela]]&gt;3,SrcDB[[#This Row],[Objednavatel]],"Ostatné")</f>
        <v>Ministerstvo financií SR</v>
      </c>
      <c r="AN459" s="17" t="str">
        <f>IF(SrcDB[[#This Row],[Pocet zmluv dodavatela]]&gt;3,SrcDB[[#This Row],[Dodavatel]],"Ostatné")</f>
        <v>DXC Technology Slovakia s.r.o.</v>
      </c>
    </row>
    <row r="460" spans="1:40" x14ac:dyDescent="0.3">
      <c r="A460" s="2" t="s">
        <v>631</v>
      </c>
      <c r="B460" s="2">
        <v>5792258</v>
      </c>
      <c r="C460" s="3" t="str">
        <f t="shared" si="496"/>
        <v>Áno</v>
      </c>
      <c r="D460" s="3" t="str">
        <f t="shared" si="497"/>
        <v>Áno</v>
      </c>
      <c r="E460" s="3" t="s">
        <v>49</v>
      </c>
      <c r="F460" s="3" t="s">
        <v>49</v>
      </c>
      <c r="G460" s="2" t="str">
        <f t="shared" si="498"/>
        <v>Veľké zmluvy</v>
      </c>
      <c r="H460" s="5" t="s">
        <v>632</v>
      </c>
      <c r="I460" s="2" t="s">
        <v>633</v>
      </c>
      <c r="J460" s="2" t="s">
        <v>634</v>
      </c>
      <c r="K460" s="5">
        <v>35785306</v>
      </c>
      <c r="L460" s="2" t="s">
        <v>118</v>
      </c>
      <c r="M460" s="2" t="s">
        <v>635</v>
      </c>
      <c r="N460" s="6">
        <v>44356.836134259262</v>
      </c>
      <c r="O460" s="4">
        <v>54396051.149999999</v>
      </c>
      <c r="P460" s="2">
        <v>114725</v>
      </c>
      <c r="Q460" s="2" t="s">
        <v>636</v>
      </c>
      <c r="R460" s="2" t="s">
        <v>637</v>
      </c>
      <c r="S460" s="2" t="s">
        <v>79</v>
      </c>
      <c r="T460" s="2" t="s">
        <v>93</v>
      </c>
      <c r="W460" s="4">
        <v>570</v>
      </c>
      <c r="X460" s="4">
        <v>684</v>
      </c>
      <c r="Y460" s="4">
        <f t="shared" ref="Y460" si="511">INDEX(InternalRates,MATCH($S460,InternalRates01,FALSE),2)</f>
        <v>278.98333333333335</v>
      </c>
      <c r="Z460" s="3" t="str">
        <f t="shared" si="478"/>
        <v>Nie</v>
      </c>
      <c r="AA460" s="3" t="str">
        <f t="shared" si="479"/>
        <v>SLA+ZoD</v>
      </c>
      <c r="AB460" s="4">
        <v>141</v>
      </c>
      <c r="AD460" s="3" t="s">
        <v>607</v>
      </c>
      <c r="AE460" s="6">
        <v>44413</v>
      </c>
      <c r="AF460" s="3" t="s">
        <v>638</v>
      </c>
      <c r="AG460" s="3" t="s">
        <v>49</v>
      </c>
      <c r="AH460" s="3">
        <f>YEAR(SrcDB[[#This Row],[Datum_zverejnenia]])</f>
        <v>2021</v>
      </c>
      <c r="AI460" s="3" cm="1">
        <f t="array" ref="AI460">COUNT(_xlfn.UNIQUE(_xlfn._xlws.FILTER(SrcDB[ID],SrcDB[Objednavatel_ICO]=$H460)))</f>
        <v>6</v>
      </c>
      <c r="AJ460" s="3" cm="1">
        <f t="array" ref="AJ460">COUNT(_xlfn.UNIQUE(_xlfn._xlws.FILTER(SrcDB[ID],SrcDB[Dodavatel_ICO]=$K460)))</f>
        <v>9</v>
      </c>
      <c r="AK460" s="3">
        <f t="shared" si="502"/>
        <v>0</v>
      </c>
      <c r="AL460" s="3">
        <f t="shared" si="503"/>
        <v>0</v>
      </c>
      <c r="AM460" s="17" t="str">
        <f>IF(SrcDB[[#This Row],[Pocet zmluv objednavatela]]&gt;3,SrcDB[[#This Row],[Objednavatel]],"Ostatné")</f>
        <v>Ministerstvo financií SR</v>
      </c>
      <c r="AN460" s="17" t="str">
        <f>IF(SrcDB[[#This Row],[Pocet zmluv dodavatela]]&gt;3,SrcDB[[#This Row],[Dodavatel]],"Ostatné")</f>
        <v>DXC Technology Slovakia s.r.o.</v>
      </c>
    </row>
    <row r="461" spans="1:40" x14ac:dyDescent="0.3">
      <c r="A461" s="2" t="s">
        <v>631</v>
      </c>
      <c r="B461" s="2">
        <v>5792258</v>
      </c>
      <c r="C461" s="3" t="str">
        <f t="shared" si="496"/>
        <v>Áno</v>
      </c>
      <c r="D461" s="3" t="str">
        <f t="shared" si="497"/>
        <v>Áno</v>
      </c>
      <c r="E461" s="3" t="s">
        <v>49</v>
      </c>
      <c r="F461" s="3" t="s">
        <v>49</v>
      </c>
      <c r="G461" s="2" t="str">
        <f t="shared" si="498"/>
        <v>Veľké zmluvy</v>
      </c>
      <c r="H461" s="5" t="s">
        <v>632</v>
      </c>
      <c r="I461" s="2" t="s">
        <v>633</v>
      </c>
      <c r="J461" s="2" t="s">
        <v>634</v>
      </c>
      <c r="K461" s="5">
        <v>35785306</v>
      </c>
      <c r="L461" s="2" t="s">
        <v>118</v>
      </c>
      <c r="M461" s="2" t="s">
        <v>635</v>
      </c>
      <c r="N461" s="6">
        <v>44356.836134259262</v>
      </c>
      <c r="O461" s="4">
        <v>54396051.149999999</v>
      </c>
      <c r="P461" s="2">
        <v>114725</v>
      </c>
      <c r="Q461" s="2" t="s">
        <v>636</v>
      </c>
      <c r="R461" s="2" t="s">
        <v>637</v>
      </c>
      <c r="S461" s="2" t="s">
        <v>98</v>
      </c>
      <c r="T461" s="2" t="s">
        <v>287</v>
      </c>
      <c r="W461" s="4">
        <v>710</v>
      </c>
      <c r="X461" s="4">
        <v>852</v>
      </c>
      <c r="Y461" s="4">
        <f t="shared" ref="Y461" si="512">INDEX(InternalRates,MATCH($S461,InternalRates01,FALSE),2)</f>
        <v>278.98333333333335</v>
      </c>
      <c r="Z461" s="3" t="str">
        <f t="shared" si="478"/>
        <v>Nie</v>
      </c>
      <c r="AA461" s="3" t="str">
        <f t="shared" si="479"/>
        <v>SLA+ZoD</v>
      </c>
      <c r="AB461" s="4">
        <v>33</v>
      </c>
      <c r="AD461" s="3" t="s">
        <v>607</v>
      </c>
      <c r="AE461" s="6">
        <v>44413</v>
      </c>
      <c r="AF461" s="3" t="s">
        <v>638</v>
      </c>
      <c r="AG461" s="3" t="s">
        <v>49</v>
      </c>
      <c r="AH461" s="3">
        <f>YEAR(SrcDB[[#This Row],[Datum_zverejnenia]])</f>
        <v>2021</v>
      </c>
      <c r="AI461" s="3" cm="1">
        <f t="array" ref="AI461">COUNT(_xlfn.UNIQUE(_xlfn._xlws.FILTER(SrcDB[ID],SrcDB[Objednavatel_ICO]=$H461)))</f>
        <v>6</v>
      </c>
      <c r="AJ461" s="3" cm="1">
        <f t="array" ref="AJ461">COUNT(_xlfn.UNIQUE(_xlfn._xlws.FILTER(SrcDB[ID],SrcDB[Dodavatel_ICO]=$K461)))</f>
        <v>9</v>
      </c>
      <c r="AK461" s="3">
        <f t="shared" si="502"/>
        <v>0</v>
      </c>
      <c r="AL461" s="3">
        <f t="shared" si="503"/>
        <v>0</v>
      </c>
      <c r="AM461" s="17" t="str">
        <f>IF(SrcDB[[#This Row],[Pocet zmluv objednavatela]]&gt;3,SrcDB[[#This Row],[Objednavatel]],"Ostatné")</f>
        <v>Ministerstvo financií SR</v>
      </c>
      <c r="AN461" s="17" t="str">
        <f>IF(SrcDB[[#This Row],[Pocet zmluv dodavatela]]&gt;3,SrcDB[[#This Row],[Dodavatel]],"Ostatné")</f>
        <v>DXC Technology Slovakia s.r.o.</v>
      </c>
    </row>
    <row r="462" spans="1:40" x14ac:dyDescent="0.3">
      <c r="A462" s="2" t="s">
        <v>631</v>
      </c>
      <c r="B462" s="2">
        <v>5792258</v>
      </c>
      <c r="C462" s="3" t="str">
        <f t="shared" si="496"/>
        <v>Áno</v>
      </c>
      <c r="D462" s="3" t="str">
        <f t="shared" si="497"/>
        <v>Áno</v>
      </c>
      <c r="E462" s="3" t="s">
        <v>49</v>
      </c>
      <c r="F462" s="3" t="s">
        <v>49</v>
      </c>
      <c r="G462" s="2" t="str">
        <f t="shared" si="498"/>
        <v>Veľké zmluvy</v>
      </c>
      <c r="H462" s="5" t="s">
        <v>632</v>
      </c>
      <c r="I462" s="2" t="s">
        <v>633</v>
      </c>
      <c r="J462" s="2" t="s">
        <v>634</v>
      </c>
      <c r="K462" s="5">
        <v>35785306</v>
      </c>
      <c r="L462" s="2" t="s">
        <v>118</v>
      </c>
      <c r="M462" s="2" t="s">
        <v>635</v>
      </c>
      <c r="N462" s="6">
        <v>44356.836134259262</v>
      </c>
      <c r="O462" s="4">
        <v>54396051.149999999</v>
      </c>
      <c r="P462" s="2">
        <v>114725</v>
      </c>
      <c r="Q462" s="2" t="s">
        <v>636</v>
      </c>
      <c r="R462" s="2" t="s">
        <v>637</v>
      </c>
      <c r="S462" s="2" t="s">
        <v>79</v>
      </c>
      <c r="T462" s="2" t="s">
        <v>93</v>
      </c>
      <c r="W462" s="4">
        <v>342</v>
      </c>
      <c r="X462" s="4">
        <v>410.4</v>
      </c>
      <c r="Y462" s="4">
        <f t="shared" ref="Y462" si="513">INDEX(InternalRates,MATCH($S462,InternalRates01,FALSE),2)</f>
        <v>278.98333333333335</v>
      </c>
      <c r="Z462" s="3" t="str">
        <f t="shared" si="478"/>
        <v>Nie</v>
      </c>
      <c r="AA462" s="3" t="str">
        <f t="shared" si="479"/>
        <v>SLA+ZoD</v>
      </c>
      <c r="AB462" s="4">
        <v>141</v>
      </c>
      <c r="AD462" s="3" t="s">
        <v>607</v>
      </c>
      <c r="AE462" s="6">
        <v>44413</v>
      </c>
      <c r="AF462" s="3" t="s">
        <v>639</v>
      </c>
      <c r="AG462" s="3" t="s">
        <v>49</v>
      </c>
      <c r="AH462" s="3">
        <f>YEAR(SrcDB[[#This Row],[Datum_zverejnenia]])</f>
        <v>2021</v>
      </c>
      <c r="AI462" s="3" cm="1">
        <f t="array" ref="AI462">COUNT(_xlfn.UNIQUE(_xlfn._xlws.FILTER(SrcDB[ID],SrcDB[Objednavatel_ICO]=$H462)))</f>
        <v>6</v>
      </c>
      <c r="AJ462" s="3" cm="1">
        <f t="array" ref="AJ462">COUNT(_xlfn.UNIQUE(_xlfn._xlws.FILTER(SrcDB[ID],SrcDB[Dodavatel_ICO]=$K462)))</f>
        <v>9</v>
      </c>
      <c r="AK462" s="3">
        <f t="shared" si="502"/>
        <v>0</v>
      </c>
      <c r="AL462" s="3">
        <f t="shared" si="503"/>
        <v>0</v>
      </c>
      <c r="AM462" s="17" t="str">
        <f>IF(SrcDB[[#This Row],[Pocet zmluv objednavatela]]&gt;3,SrcDB[[#This Row],[Objednavatel]],"Ostatné")</f>
        <v>Ministerstvo financií SR</v>
      </c>
      <c r="AN462" s="17" t="str">
        <f>IF(SrcDB[[#This Row],[Pocet zmluv dodavatela]]&gt;3,SrcDB[[#This Row],[Dodavatel]],"Ostatné")</f>
        <v>DXC Technology Slovakia s.r.o.</v>
      </c>
    </row>
    <row r="463" spans="1:40" x14ac:dyDescent="0.3">
      <c r="A463" s="2" t="s">
        <v>631</v>
      </c>
      <c r="B463" s="2">
        <v>5792258</v>
      </c>
      <c r="C463" s="3" t="str">
        <f t="shared" si="496"/>
        <v>Áno</v>
      </c>
      <c r="D463" s="3" t="str">
        <f t="shared" si="497"/>
        <v>Áno</v>
      </c>
      <c r="E463" s="3" t="s">
        <v>49</v>
      </c>
      <c r="F463" s="3" t="s">
        <v>49</v>
      </c>
      <c r="G463" s="2" t="str">
        <f t="shared" si="498"/>
        <v>Veľké zmluvy</v>
      </c>
      <c r="H463" s="5" t="s">
        <v>632</v>
      </c>
      <c r="I463" s="2" t="s">
        <v>633</v>
      </c>
      <c r="J463" s="2" t="s">
        <v>634</v>
      </c>
      <c r="K463" s="5">
        <v>35785306</v>
      </c>
      <c r="L463" s="2" t="s">
        <v>118</v>
      </c>
      <c r="M463" s="2" t="s">
        <v>635</v>
      </c>
      <c r="N463" s="6">
        <v>44356.836134259262</v>
      </c>
      <c r="O463" s="4">
        <v>54396051.149999999</v>
      </c>
      <c r="P463" s="2">
        <v>114725</v>
      </c>
      <c r="Q463" s="2" t="s">
        <v>636</v>
      </c>
      <c r="R463" s="2" t="s">
        <v>637</v>
      </c>
      <c r="S463" s="2" t="s">
        <v>98</v>
      </c>
      <c r="T463" s="2" t="s">
        <v>287</v>
      </c>
      <c r="W463" s="4">
        <v>444</v>
      </c>
      <c r="X463" s="4">
        <v>532.79999999999995</v>
      </c>
      <c r="Y463" s="4">
        <f t="shared" ref="Y463" si="514">INDEX(InternalRates,MATCH($S463,InternalRates01,FALSE),2)</f>
        <v>278.98333333333335</v>
      </c>
      <c r="Z463" s="3" t="str">
        <f t="shared" si="478"/>
        <v>Nie</v>
      </c>
      <c r="AA463" s="3" t="str">
        <f t="shared" si="479"/>
        <v>SLA+ZoD</v>
      </c>
      <c r="AB463" s="4">
        <v>28</v>
      </c>
      <c r="AD463" s="3" t="s">
        <v>607</v>
      </c>
      <c r="AE463" s="6">
        <v>44413</v>
      </c>
      <c r="AF463" s="3" t="s">
        <v>639</v>
      </c>
      <c r="AG463" s="3" t="s">
        <v>49</v>
      </c>
      <c r="AH463" s="3">
        <f>YEAR(SrcDB[[#This Row],[Datum_zverejnenia]])</f>
        <v>2021</v>
      </c>
      <c r="AI463" s="3" cm="1">
        <f t="array" ref="AI463">COUNT(_xlfn.UNIQUE(_xlfn._xlws.FILTER(SrcDB[ID],SrcDB[Objednavatel_ICO]=$H463)))</f>
        <v>6</v>
      </c>
      <c r="AJ463" s="3" cm="1">
        <f t="array" ref="AJ463">COUNT(_xlfn.UNIQUE(_xlfn._xlws.FILTER(SrcDB[ID],SrcDB[Dodavatel_ICO]=$K463)))</f>
        <v>9</v>
      </c>
      <c r="AK463" s="3">
        <f t="shared" si="502"/>
        <v>0</v>
      </c>
      <c r="AL463" s="3">
        <f t="shared" si="503"/>
        <v>0</v>
      </c>
      <c r="AM463" s="17" t="str">
        <f>IF(SrcDB[[#This Row],[Pocet zmluv objednavatela]]&gt;3,SrcDB[[#This Row],[Objednavatel]],"Ostatné")</f>
        <v>Ministerstvo financií SR</v>
      </c>
      <c r="AN463" s="17" t="str">
        <f>IF(SrcDB[[#This Row],[Pocet zmluv dodavatela]]&gt;3,SrcDB[[#This Row],[Dodavatel]],"Ostatné")</f>
        <v>DXC Technology Slovakia s.r.o.</v>
      </c>
    </row>
    <row r="464" spans="1:40" x14ac:dyDescent="0.3">
      <c r="A464" s="2" t="s">
        <v>631</v>
      </c>
      <c r="B464" s="2">
        <v>5792258</v>
      </c>
      <c r="C464" s="3" t="str">
        <f t="shared" si="496"/>
        <v>Áno</v>
      </c>
      <c r="D464" s="3" t="str">
        <f t="shared" si="497"/>
        <v>Áno</v>
      </c>
      <c r="E464" s="3" t="s">
        <v>49</v>
      </c>
      <c r="F464" s="3" t="s">
        <v>49</v>
      </c>
      <c r="G464" s="2" t="str">
        <f t="shared" si="498"/>
        <v>Veľké zmluvy</v>
      </c>
      <c r="H464" s="5" t="s">
        <v>632</v>
      </c>
      <c r="I464" s="2" t="s">
        <v>633</v>
      </c>
      <c r="J464" s="2" t="s">
        <v>634</v>
      </c>
      <c r="K464" s="5">
        <v>35785306</v>
      </c>
      <c r="L464" s="2" t="s">
        <v>118</v>
      </c>
      <c r="M464" s="2" t="s">
        <v>635</v>
      </c>
      <c r="N464" s="6">
        <v>44356.836134259262</v>
      </c>
      <c r="O464" s="4">
        <v>54396051.149999999</v>
      </c>
      <c r="P464" s="2">
        <v>114725</v>
      </c>
      <c r="Q464" s="2" t="s">
        <v>636</v>
      </c>
      <c r="R464" s="2" t="s">
        <v>637</v>
      </c>
      <c r="S464" s="2" t="s">
        <v>71</v>
      </c>
      <c r="T464" s="2" t="s">
        <v>196</v>
      </c>
      <c r="W464" s="4">
        <v>819</v>
      </c>
      <c r="X464" s="4">
        <v>982.8</v>
      </c>
      <c r="Y464" s="4">
        <f t="shared" ref="Y464" si="515">INDEX(InternalRates,MATCH($S464,InternalRates01,FALSE),2)</f>
        <v>354.0333333333333</v>
      </c>
      <c r="Z464" s="3" t="str">
        <f t="shared" si="478"/>
        <v>Nie</v>
      </c>
      <c r="AA464" s="3" t="str">
        <f t="shared" si="479"/>
        <v>SLA+ZoD</v>
      </c>
      <c r="AB464" s="4">
        <v>70</v>
      </c>
      <c r="AD464" s="3" t="s">
        <v>607</v>
      </c>
      <c r="AE464" s="6">
        <v>44413</v>
      </c>
      <c r="AF464" s="3" t="s">
        <v>638</v>
      </c>
      <c r="AG464" s="3" t="s">
        <v>49</v>
      </c>
      <c r="AH464" s="3">
        <f>YEAR(SrcDB[[#This Row],[Datum_zverejnenia]])</f>
        <v>2021</v>
      </c>
      <c r="AI464" s="3" cm="1">
        <f t="array" ref="AI464">COUNT(_xlfn.UNIQUE(_xlfn._xlws.FILTER(SrcDB[ID],SrcDB[Objednavatel_ICO]=$H464)))</f>
        <v>6</v>
      </c>
      <c r="AJ464" s="3" cm="1">
        <f t="array" ref="AJ464">COUNT(_xlfn.UNIQUE(_xlfn._xlws.FILTER(SrcDB[ID],SrcDB[Dodavatel_ICO]=$K464)))</f>
        <v>9</v>
      </c>
      <c r="AK464" s="3">
        <f t="shared" si="502"/>
        <v>0</v>
      </c>
      <c r="AL464" s="3">
        <f t="shared" si="503"/>
        <v>0</v>
      </c>
      <c r="AM464" s="17" t="str">
        <f>IF(SrcDB[[#This Row],[Pocet zmluv objednavatela]]&gt;3,SrcDB[[#This Row],[Objednavatel]],"Ostatné")</f>
        <v>Ministerstvo financií SR</v>
      </c>
      <c r="AN464" s="17" t="str">
        <f>IF(SrcDB[[#This Row],[Pocet zmluv dodavatela]]&gt;3,SrcDB[[#This Row],[Dodavatel]],"Ostatné")</f>
        <v>DXC Technology Slovakia s.r.o.</v>
      </c>
    </row>
    <row r="465" spans="1:40" x14ac:dyDescent="0.3">
      <c r="A465" s="2" t="s">
        <v>631</v>
      </c>
      <c r="B465" s="2">
        <v>5792258</v>
      </c>
      <c r="C465" s="3" t="str">
        <f t="shared" si="496"/>
        <v>Áno</v>
      </c>
      <c r="D465" s="3" t="str">
        <f t="shared" si="497"/>
        <v>Áno</v>
      </c>
      <c r="E465" s="3" t="s">
        <v>49</v>
      </c>
      <c r="F465" s="3" t="s">
        <v>49</v>
      </c>
      <c r="G465" s="2" t="str">
        <f t="shared" si="498"/>
        <v>Veľké zmluvy</v>
      </c>
      <c r="H465" s="5" t="s">
        <v>632</v>
      </c>
      <c r="I465" s="2" t="s">
        <v>633</v>
      </c>
      <c r="J465" s="2" t="s">
        <v>634</v>
      </c>
      <c r="K465" s="5">
        <v>35785306</v>
      </c>
      <c r="L465" s="2" t="s">
        <v>118</v>
      </c>
      <c r="M465" s="2" t="s">
        <v>635</v>
      </c>
      <c r="N465" s="6">
        <v>44356.836134259262</v>
      </c>
      <c r="O465" s="4">
        <v>54396051.149999999</v>
      </c>
      <c r="P465" s="2">
        <v>114725</v>
      </c>
      <c r="Q465" s="2" t="s">
        <v>636</v>
      </c>
      <c r="R465" s="2" t="s">
        <v>637</v>
      </c>
      <c r="S465" s="2" t="s">
        <v>77</v>
      </c>
      <c r="T465" s="2" t="s">
        <v>92</v>
      </c>
      <c r="W465" s="4">
        <v>585</v>
      </c>
      <c r="X465" s="4">
        <v>702</v>
      </c>
      <c r="Y465" s="4">
        <f t="shared" ref="Y465" si="516">INDEX(InternalRates,MATCH($S465,InternalRates01,FALSE),2)</f>
        <v>278.98333333333335</v>
      </c>
      <c r="Z465" s="3" t="str">
        <f t="shared" si="478"/>
        <v>Nie</v>
      </c>
      <c r="AA465" s="3" t="str">
        <f t="shared" si="479"/>
        <v>SLA+ZoD</v>
      </c>
      <c r="AB465" s="4">
        <v>3</v>
      </c>
      <c r="AD465" s="3" t="s">
        <v>607</v>
      </c>
      <c r="AE465" s="6">
        <v>44413</v>
      </c>
      <c r="AF465" s="3" t="s">
        <v>638</v>
      </c>
      <c r="AG465" s="3" t="s">
        <v>49</v>
      </c>
      <c r="AH465" s="3">
        <f>YEAR(SrcDB[[#This Row],[Datum_zverejnenia]])</f>
        <v>2021</v>
      </c>
      <c r="AI465" s="3" cm="1">
        <f t="array" ref="AI465">COUNT(_xlfn.UNIQUE(_xlfn._xlws.FILTER(SrcDB[ID],SrcDB[Objednavatel_ICO]=$H465)))</f>
        <v>6</v>
      </c>
      <c r="AJ465" s="3" cm="1">
        <f t="array" ref="AJ465">COUNT(_xlfn.UNIQUE(_xlfn._xlws.FILTER(SrcDB[ID],SrcDB[Dodavatel_ICO]=$K465)))</f>
        <v>9</v>
      </c>
      <c r="AK465" s="3">
        <f t="shared" si="502"/>
        <v>0</v>
      </c>
      <c r="AL465" s="3">
        <f t="shared" si="503"/>
        <v>0</v>
      </c>
      <c r="AM465" s="17" t="str">
        <f>IF(SrcDB[[#This Row],[Pocet zmluv objednavatela]]&gt;3,SrcDB[[#This Row],[Objednavatel]],"Ostatné")</f>
        <v>Ministerstvo financií SR</v>
      </c>
      <c r="AN465" s="17" t="str">
        <f>IF(SrcDB[[#This Row],[Pocet zmluv dodavatela]]&gt;3,SrcDB[[#This Row],[Dodavatel]],"Ostatné")</f>
        <v>DXC Technology Slovakia s.r.o.</v>
      </c>
    </row>
    <row r="466" spans="1:40" x14ac:dyDescent="0.3">
      <c r="A466" s="2" t="s">
        <v>631</v>
      </c>
      <c r="B466" s="2">
        <v>5792258</v>
      </c>
      <c r="C466" s="3" t="str">
        <f t="shared" si="496"/>
        <v>Áno</v>
      </c>
      <c r="D466" s="3" t="str">
        <f t="shared" si="497"/>
        <v>Áno</v>
      </c>
      <c r="E466" s="3" t="s">
        <v>49</v>
      </c>
      <c r="F466" s="3" t="s">
        <v>49</v>
      </c>
      <c r="G466" s="2" t="str">
        <f t="shared" si="498"/>
        <v>Veľké zmluvy</v>
      </c>
      <c r="H466" s="5" t="s">
        <v>632</v>
      </c>
      <c r="I466" s="2" t="s">
        <v>633</v>
      </c>
      <c r="J466" s="2" t="s">
        <v>634</v>
      </c>
      <c r="K466" s="5">
        <v>35785306</v>
      </c>
      <c r="L466" s="2" t="s">
        <v>118</v>
      </c>
      <c r="M466" s="2" t="s">
        <v>635</v>
      </c>
      <c r="N466" s="6">
        <v>44356.836134259262</v>
      </c>
      <c r="O466" s="4">
        <v>54396051.149999999</v>
      </c>
      <c r="P466" s="2">
        <v>114725</v>
      </c>
      <c r="Q466" s="2" t="s">
        <v>636</v>
      </c>
      <c r="R466" s="2" t="s">
        <v>637</v>
      </c>
      <c r="S466" s="2" t="s">
        <v>69</v>
      </c>
      <c r="T466" s="2" t="s">
        <v>70</v>
      </c>
      <c r="W466" s="4">
        <v>801.00000000000011</v>
      </c>
      <c r="X466" s="4">
        <v>961.2</v>
      </c>
      <c r="Y466" s="4">
        <f t="shared" ref="Y466" si="517">INDEX(InternalRates,MATCH($S466,InternalRates01,FALSE),2)</f>
        <v>278.98333333333335</v>
      </c>
      <c r="Z466" s="3" t="str">
        <f t="shared" si="478"/>
        <v>Nie</v>
      </c>
      <c r="AA466" s="3" t="str">
        <f t="shared" si="479"/>
        <v>SLA+ZoD</v>
      </c>
      <c r="AB466" s="4">
        <v>49</v>
      </c>
      <c r="AD466" s="3" t="s">
        <v>607</v>
      </c>
      <c r="AE466" s="6">
        <v>44413</v>
      </c>
      <c r="AF466" s="3" t="s">
        <v>638</v>
      </c>
      <c r="AG466" s="3" t="s">
        <v>49</v>
      </c>
      <c r="AH466" s="3">
        <f>YEAR(SrcDB[[#This Row],[Datum_zverejnenia]])</f>
        <v>2021</v>
      </c>
      <c r="AI466" s="3" cm="1">
        <f t="array" ref="AI466">COUNT(_xlfn.UNIQUE(_xlfn._xlws.FILTER(SrcDB[ID],SrcDB[Objednavatel_ICO]=$H466)))</f>
        <v>6</v>
      </c>
      <c r="AJ466" s="3" cm="1">
        <f t="array" ref="AJ466">COUNT(_xlfn.UNIQUE(_xlfn._xlws.FILTER(SrcDB[ID],SrcDB[Dodavatel_ICO]=$K466)))</f>
        <v>9</v>
      </c>
      <c r="AK466" s="3">
        <f t="shared" si="502"/>
        <v>0</v>
      </c>
      <c r="AL466" s="3">
        <f t="shared" si="503"/>
        <v>0</v>
      </c>
      <c r="AM466" s="17" t="str">
        <f>IF(SrcDB[[#This Row],[Pocet zmluv objednavatela]]&gt;3,SrcDB[[#This Row],[Objednavatel]],"Ostatné")</f>
        <v>Ministerstvo financií SR</v>
      </c>
      <c r="AN466" s="17" t="str">
        <f>IF(SrcDB[[#This Row],[Pocet zmluv dodavatela]]&gt;3,SrcDB[[#This Row],[Dodavatel]],"Ostatné")</f>
        <v>DXC Technology Slovakia s.r.o.</v>
      </c>
    </row>
    <row r="467" spans="1:40" x14ac:dyDescent="0.3">
      <c r="A467" s="2" t="s">
        <v>631</v>
      </c>
      <c r="B467" s="2">
        <v>5792258</v>
      </c>
      <c r="C467" s="3" t="str">
        <f t="shared" si="496"/>
        <v>Áno</v>
      </c>
      <c r="D467" s="3" t="str">
        <f t="shared" si="497"/>
        <v>Áno</v>
      </c>
      <c r="E467" s="3" t="s">
        <v>49</v>
      </c>
      <c r="F467" s="3" t="s">
        <v>49</v>
      </c>
      <c r="G467" s="2" t="str">
        <f t="shared" si="498"/>
        <v>Veľké zmluvy</v>
      </c>
      <c r="H467" s="5" t="s">
        <v>632</v>
      </c>
      <c r="I467" s="2" t="s">
        <v>633</v>
      </c>
      <c r="J467" s="2" t="s">
        <v>634</v>
      </c>
      <c r="K467" s="5">
        <v>35785306</v>
      </c>
      <c r="L467" s="2" t="s">
        <v>118</v>
      </c>
      <c r="M467" s="2" t="s">
        <v>635</v>
      </c>
      <c r="N467" s="6">
        <v>44356.836134259262</v>
      </c>
      <c r="O467" s="4">
        <v>54396051.149999999</v>
      </c>
      <c r="P467" s="2">
        <v>114725</v>
      </c>
      <c r="Q467" s="2" t="s">
        <v>636</v>
      </c>
      <c r="R467" s="2" t="s">
        <v>637</v>
      </c>
      <c r="S467" s="2" t="s">
        <v>73</v>
      </c>
      <c r="T467" s="2" t="s">
        <v>90</v>
      </c>
      <c r="W467" s="4">
        <v>666.00000000000011</v>
      </c>
      <c r="X467" s="4">
        <v>799.2</v>
      </c>
      <c r="Y467" s="4">
        <f t="shared" ref="Y467" si="518">INDEX(InternalRates,MATCH($S467,InternalRates01,FALSE),2)</f>
        <v>278.98333333333335</v>
      </c>
      <c r="Z467" s="3" t="str">
        <f t="shared" si="478"/>
        <v>Nie</v>
      </c>
      <c r="AA467" s="3" t="str">
        <f t="shared" si="479"/>
        <v>SLA+ZoD</v>
      </c>
      <c r="AB467" s="4">
        <v>84</v>
      </c>
      <c r="AD467" s="3" t="s">
        <v>607</v>
      </c>
      <c r="AE467" s="6">
        <v>44413</v>
      </c>
      <c r="AF467" s="3" t="s">
        <v>638</v>
      </c>
      <c r="AG467" s="3" t="s">
        <v>49</v>
      </c>
      <c r="AH467" s="3">
        <f>YEAR(SrcDB[[#This Row],[Datum_zverejnenia]])</f>
        <v>2021</v>
      </c>
      <c r="AI467" s="3" cm="1">
        <f t="array" ref="AI467">COUNT(_xlfn.UNIQUE(_xlfn._xlws.FILTER(SrcDB[ID],SrcDB[Objednavatel_ICO]=$H467)))</f>
        <v>6</v>
      </c>
      <c r="AJ467" s="3" cm="1">
        <f t="array" ref="AJ467">COUNT(_xlfn.UNIQUE(_xlfn._xlws.FILTER(SrcDB[ID],SrcDB[Dodavatel_ICO]=$K467)))</f>
        <v>9</v>
      </c>
      <c r="AK467" s="3">
        <f t="shared" si="502"/>
        <v>0</v>
      </c>
      <c r="AL467" s="3">
        <f t="shared" si="503"/>
        <v>0</v>
      </c>
      <c r="AM467" s="17" t="str">
        <f>IF(SrcDB[[#This Row],[Pocet zmluv objednavatela]]&gt;3,SrcDB[[#This Row],[Objednavatel]],"Ostatné")</f>
        <v>Ministerstvo financií SR</v>
      </c>
      <c r="AN467" s="17" t="str">
        <f>IF(SrcDB[[#This Row],[Pocet zmluv dodavatela]]&gt;3,SrcDB[[#This Row],[Dodavatel]],"Ostatné")</f>
        <v>DXC Technology Slovakia s.r.o.</v>
      </c>
    </row>
    <row r="468" spans="1:40" x14ac:dyDescent="0.3">
      <c r="A468" s="2" t="s">
        <v>631</v>
      </c>
      <c r="B468" s="2">
        <v>5792258</v>
      </c>
      <c r="C468" s="3" t="str">
        <f t="shared" si="496"/>
        <v>Áno</v>
      </c>
      <c r="D468" s="3" t="str">
        <f t="shared" si="497"/>
        <v>Áno</v>
      </c>
      <c r="E468" s="3" t="s">
        <v>49</v>
      </c>
      <c r="F468" s="3" t="s">
        <v>49</v>
      </c>
      <c r="G468" s="2" t="str">
        <f t="shared" si="498"/>
        <v>Veľké zmluvy</v>
      </c>
      <c r="H468" s="5" t="s">
        <v>632</v>
      </c>
      <c r="I468" s="2" t="s">
        <v>633</v>
      </c>
      <c r="J468" s="2" t="s">
        <v>634</v>
      </c>
      <c r="K468" s="5">
        <v>35785306</v>
      </c>
      <c r="L468" s="2" t="s">
        <v>118</v>
      </c>
      <c r="M468" s="2" t="s">
        <v>635</v>
      </c>
      <c r="N468" s="6">
        <v>44356.836134259262</v>
      </c>
      <c r="O468" s="4">
        <v>54396051.149999999</v>
      </c>
      <c r="P468" s="2">
        <v>114725</v>
      </c>
      <c r="Q468" s="2" t="s">
        <v>636</v>
      </c>
      <c r="R468" s="2" t="s">
        <v>637</v>
      </c>
      <c r="S468" s="2" t="s">
        <v>56</v>
      </c>
      <c r="T468" s="2" t="s">
        <v>448</v>
      </c>
      <c r="U468" s="2" t="s">
        <v>449</v>
      </c>
      <c r="W468" s="4">
        <v>801.00000000000011</v>
      </c>
      <c r="X468" s="4">
        <v>961.2</v>
      </c>
      <c r="Y468" s="4">
        <f t="shared" ref="Y468" si="519">INDEX(InternalRates,MATCH($S468,InternalRates01,FALSE),2)</f>
        <v>278.98333333333335</v>
      </c>
      <c r="Z468" s="3" t="str">
        <f t="shared" si="478"/>
        <v>Nie</v>
      </c>
      <c r="AA468" s="3" t="str">
        <f t="shared" si="479"/>
        <v>SLA+ZoD</v>
      </c>
      <c r="AB468" s="4">
        <v>41</v>
      </c>
      <c r="AD468" s="3" t="s">
        <v>607</v>
      </c>
      <c r="AE468" s="6">
        <v>44413</v>
      </c>
      <c r="AF468" s="3" t="s">
        <v>638</v>
      </c>
      <c r="AG468" s="3" t="s">
        <v>49</v>
      </c>
      <c r="AH468" s="3">
        <f>YEAR(SrcDB[[#This Row],[Datum_zverejnenia]])</f>
        <v>2021</v>
      </c>
      <c r="AI468" s="3" cm="1">
        <f t="array" ref="AI468">COUNT(_xlfn.UNIQUE(_xlfn._xlws.FILTER(SrcDB[ID],SrcDB[Objednavatel_ICO]=$H468)))</f>
        <v>6</v>
      </c>
      <c r="AJ468" s="3" cm="1">
        <f t="array" ref="AJ468">COUNT(_xlfn.UNIQUE(_xlfn._xlws.FILTER(SrcDB[ID],SrcDB[Dodavatel_ICO]=$K468)))</f>
        <v>9</v>
      </c>
      <c r="AK468" s="3">
        <f t="shared" si="502"/>
        <v>0</v>
      </c>
      <c r="AL468" s="3">
        <f t="shared" si="503"/>
        <v>0</v>
      </c>
      <c r="AM468" s="17" t="str">
        <f>IF(SrcDB[[#This Row],[Pocet zmluv objednavatela]]&gt;3,SrcDB[[#This Row],[Objednavatel]],"Ostatné")</f>
        <v>Ministerstvo financií SR</v>
      </c>
      <c r="AN468" s="17" t="str">
        <f>IF(SrcDB[[#This Row],[Pocet zmluv dodavatela]]&gt;3,SrcDB[[#This Row],[Dodavatel]],"Ostatné")</f>
        <v>DXC Technology Slovakia s.r.o.</v>
      </c>
    </row>
    <row r="469" spans="1:40" x14ac:dyDescent="0.3">
      <c r="A469" s="2" t="s">
        <v>631</v>
      </c>
      <c r="B469" s="2">
        <v>5792258</v>
      </c>
      <c r="C469" s="3" t="str">
        <f t="shared" si="496"/>
        <v>Áno</v>
      </c>
      <c r="D469" s="3" t="str">
        <f t="shared" si="497"/>
        <v>Áno</v>
      </c>
      <c r="E469" s="3" t="s">
        <v>49</v>
      </c>
      <c r="F469" s="3" t="s">
        <v>49</v>
      </c>
      <c r="G469" s="2" t="str">
        <f t="shared" si="498"/>
        <v>Veľké zmluvy</v>
      </c>
      <c r="H469" s="5" t="s">
        <v>632</v>
      </c>
      <c r="I469" s="2" t="s">
        <v>633</v>
      </c>
      <c r="J469" s="2" t="s">
        <v>634</v>
      </c>
      <c r="K469" s="5">
        <v>35785306</v>
      </c>
      <c r="L469" s="2" t="s">
        <v>118</v>
      </c>
      <c r="M469" s="2" t="s">
        <v>635</v>
      </c>
      <c r="N469" s="6">
        <v>44356.836134259262</v>
      </c>
      <c r="O469" s="4">
        <v>54396051.149999999</v>
      </c>
      <c r="P469" s="2">
        <v>114725</v>
      </c>
      <c r="Q469" s="2" t="s">
        <v>636</v>
      </c>
      <c r="R469" s="2" t="s">
        <v>637</v>
      </c>
      <c r="S469" s="2" t="s">
        <v>56</v>
      </c>
      <c r="T469" s="2" t="s">
        <v>94</v>
      </c>
      <c r="U469" s="2" t="s">
        <v>95</v>
      </c>
      <c r="W469" s="4">
        <v>1080</v>
      </c>
      <c r="X469" s="4">
        <v>1296</v>
      </c>
      <c r="Y469" s="4">
        <f t="shared" ref="Y469" si="520">INDEX(InternalRates,MATCH($S469,InternalRates01,FALSE),2)</f>
        <v>278.98333333333335</v>
      </c>
      <c r="Z469" s="3" t="str">
        <f t="shared" si="478"/>
        <v>Nie</v>
      </c>
      <c r="AA469" s="3" t="str">
        <f t="shared" si="479"/>
        <v>SLA+ZoD</v>
      </c>
      <c r="AB469" s="4">
        <v>146</v>
      </c>
      <c r="AD469" s="3" t="s">
        <v>607</v>
      </c>
      <c r="AE469" s="6">
        <v>44413</v>
      </c>
      <c r="AF469" s="3" t="s">
        <v>638</v>
      </c>
      <c r="AG469" s="3" t="s">
        <v>49</v>
      </c>
      <c r="AH469" s="3">
        <f>YEAR(SrcDB[[#This Row],[Datum_zverejnenia]])</f>
        <v>2021</v>
      </c>
      <c r="AI469" s="3" cm="1">
        <f t="array" ref="AI469">COUNT(_xlfn.UNIQUE(_xlfn._xlws.FILTER(SrcDB[ID],SrcDB[Objednavatel_ICO]=$H469)))</f>
        <v>6</v>
      </c>
      <c r="AJ469" s="3" cm="1">
        <f t="array" ref="AJ469">COUNT(_xlfn.UNIQUE(_xlfn._xlws.FILTER(SrcDB[ID],SrcDB[Dodavatel_ICO]=$K469)))</f>
        <v>9</v>
      </c>
      <c r="AK469" s="3">
        <f t="shared" si="502"/>
        <v>0</v>
      </c>
      <c r="AL469" s="3">
        <f t="shared" si="503"/>
        <v>0</v>
      </c>
      <c r="AM469" s="17" t="str">
        <f>IF(SrcDB[[#This Row],[Pocet zmluv objednavatela]]&gt;3,SrcDB[[#This Row],[Objednavatel]],"Ostatné")</f>
        <v>Ministerstvo financií SR</v>
      </c>
      <c r="AN469" s="17" t="str">
        <f>IF(SrcDB[[#This Row],[Pocet zmluv dodavatela]]&gt;3,SrcDB[[#This Row],[Dodavatel]],"Ostatné")</f>
        <v>DXC Technology Slovakia s.r.o.</v>
      </c>
    </row>
    <row r="470" spans="1:40" x14ac:dyDescent="0.3">
      <c r="A470" s="2" t="s">
        <v>631</v>
      </c>
      <c r="B470" s="2">
        <v>5792258</v>
      </c>
      <c r="C470" s="3" t="str">
        <f t="shared" si="496"/>
        <v>Áno</v>
      </c>
      <c r="D470" s="3" t="str">
        <f t="shared" si="497"/>
        <v>Áno</v>
      </c>
      <c r="E470" s="3" t="s">
        <v>49</v>
      </c>
      <c r="F470" s="3" t="s">
        <v>49</v>
      </c>
      <c r="G470" s="2" t="str">
        <f t="shared" si="498"/>
        <v>Veľké zmluvy</v>
      </c>
      <c r="H470" s="5" t="s">
        <v>632</v>
      </c>
      <c r="I470" s="2" t="s">
        <v>633</v>
      </c>
      <c r="J470" s="2" t="s">
        <v>634</v>
      </c>
      <c r="K470" s="5">
        <v>35785306</v>
      </c>
      <c r="L470" s="2" t="s">
        <v>118</v>
      </c>
      <c r="M470" s="2" t="s">
        <v>635</v>
      </c>
      <c r="N470" s="6">
        <v>44356.836134259262</v>
      </c>
      <c r="O470" s="4">
        <v>54396051.149999999</v>
      </c>
      <c r="P470" s="2">
        <v>114725</v>
      </c>
      <c r="Q470" s="2" t="s">
        <v>636</v>
      </c>
      <c r="R470" s="2" t="s">
        <v>637</v>
      </c>
      <c r="S470" s="2" t="s">
        <v>56</v>
      </c>
      <c r="T470" s="2" t="s">
        <v>96</v>
      </c>
      <c r="U470" s="2" t="s">
        <v>97</v>
      </c>
      <c r="W470" s="4">
        <v>710.83333333333337</v>
      </c>
      <c r="X470" s="4">
        <v>853</v>
      </c>
      <c r="Y470" s="4">
        <f t="shared" ref="Y470" si="521">INDEX(InternalRates,MATCH($S470,InternalRates01,FALSE),2)</f>
        <v>278.98333333333335</v>
      </c>
      <c r="Z470" s="3" t="str">
        <f t="shared" si="478"/>
        <v>Nie</v>
      </c>
      <c r="AA470" s="3" t="str">
        <f t="shared" si="479"/>
        <v>SLA+ZoD</v>
      </c>
      <c r="AB470" s="4">
        <v>24</v>
      </c>
      <c r="AD470" s="3" t="s">
        <v>607</v>
      </c>
      <c r="AE470" s="6">
        <v>44413</v>
      </c>
      <c r="AF470" s="3" t="s">
        <v>638</v>
      </c>
      <c r="AG470" s="3" t="s">
        <v>49</v>
      </c>
      <c r="AH470" s="3">
        <f>YEAR(SrcDB[[#This Row],[Datum_zverejnenia]])</f>
        <v>2021</v>
      </c>
      <c r="AI470" s="3" cm="1">
        <f t="array" ref="AI470">COUNT(_xlfn.UNIQUE(_xlfn._xlws.FILTER(SrcDB[ID],SrcDB[Objednavatel_ICO]=$H470)))</f>
        <v>6</v>
      </c>
      <c r="AJ470" s="3" cm="1">
        <f t="array" ref="AJ470">COUNT(_xlfn.UNIQUE(_xlfn._xlws.FILTER(SrcDB[ID],SrcDB[Dodavatel_ICO]=$K470)))</f>
        <v>9</v>
      </c>
      <c r="AK470" s="3">
        <f t="shared" si="502"/>
        <v>0</v>
      </c>
      <c r="AL470" s="3">
        <f t="shared" si="503"/>
        <v>0</v>
      </c>
      <c r="AM470" s="17" t="str">
        <f>IF(SrcDB[[#This Row],[Pocet zmluv objednavatela]]&gt;3,SrcDB[[#This Row],[Objednavatel]],"Ostatné")</f>
        <v>Ministerstvo financií SR</v>
      </c>
      <c r="AN470" s="17" t="str">
        <f>IF(SrcDB[[#This Row],[Pocet zmluv dodavatela]]&gt;3,SrcDB[[#This Row],[Dodavatel]],"Ostatné")</f>
        <v>DXC Technology Slovakia s.r.o.</v>
      </c>
    </row>
    <row r="471" spans="1:40" x14ac:dyDescent="0.3">
      <c r="A471" s="2" t="s">
        <v>631</v>
      </c>
      <c r="B471" s="2">
        <v>5792258</v>
      </c>
      <c r="C471" s="3" t="str">
        <f t="shared" si="496"/>
        <v>Áno</v>
      </c>
      <c r="D471" s="3" t="str">
        <f t="shared" si="497"/>
        <v>Áno</v>
      </c>
      <c r="E471" s="3" t="s">
        <v>49</v>
      </c>
      <c r="F471" s="3" t="s">
        <v>49</v>
      </c>
      <c r="G471" s="2" t="str">
        <f t="shared" si="498"/>
        <v>Veľké zmluvy</v>
      </c>
      <c r="H471" s="5" t="s">
        <v>632</v>
      </c>
      <c r="I471" s="2" t="s">
        <v>633</v>
      </c>
      <c r="J471" s="2" t="s">
        <v>634</v>
      </c>
      <c r="K471" s="5">
        <v>35785306</v>
      </c>
      <c r="L471" s="2" t="s">
        <v>118</v>
      </c>
      <c r="M471" s="2" t="s">
        <v>635</v>
      </c>
      <c r="N471" s="6">
        <v>44356.836134259262</v>
      </c>
      <c r="O471" s="4">
        <v>54396051.149999999</v>
      </c>
      <c r="P471" s="2">
        <v>114725</v>
      </c>
      <c r="Q471" s="2" t="s">
        <v>636</v>
      </c>
      <c r="R471" s="2" t="s">
        <v>637</v>
      </c>
      <c r="S471" s="2" t="s">
        <v>56</v>
      </c>
      <c r="T471" s="2" t="s">
        <v>593</v>
      </c>
      <c r="U471" s="2" t="s">
        <v>289</v>
      </c>
      <c r="W471" s="4">
        <v>540</v>
      </c>
      <c r="X471" s="4">
        <v>648</v>
      </c>
      <c r="Y471" s="4">
        <f t="shared" ref="Y471" si="522">INDEX(InternalRates,MATCH($S471,InternalRates01,FALSE),2)</f>
        <v>278.98333333333335</v>
      </c>
      <c r="Z471" s="3" t="str">
        <f t="shared" si="478"/>
        <v>Nie</v>
      </c>
      <c r="AA471" s="3" t="str">
        <f t="shared" si="479"/>
        <v>SLA+ZoD</v>
      </c>
      <c r="AB471" s="4">
        <v>20</v>
      </c>
      <c r="AD471" s="3" t="s">
        <v>607</v>
      </c>
      <c r="AE471" s="6">
        <v>44413</v>
      </c>
      <c r="AF471" s="3" t="s">
        <v>638</v>
      </c>
      <c r="AG471" s="3" t="s">
        <v>49</v>
      </c>
      <c r="AH471" s="3">
        <f>YEAR(SrcDB[[#This Row],[Datum_zverejnenia]])</f>
        <v>2021</v>
      </c>
      <c r="AI471" s="3" cm="1">
        <f t="array" ref="AI471">COUNT(_xlfn.UNIQUE(_xlfn._xlws.FILTER(SrcDB[ID],SrcDB[Objednavatel_ICO]=$H471)))</f>
        <v>6</v>
      </c>
      <c r="AJ471" s="3" cm="1">
        <f t="array" ref="AJ471">COUNT(_xlfn.UNIQUE(_xlfn._xlws.FILTER(SrcDB[ID],SrcDB[Dodavatel_ICO]=$K471)))</f>
        <v>9</v>
      </c>
      <c r="AK471" s="3">
        <f t="shared" si="502"/>
        <v>0</v>
      </c>
      <c r="AL471" s="3">
        <f t="shared" si="503"/>
        <v>0</v>
      </c>
      <c r="AM471" s="17" t="str">
        <f>IF(SrcDB[[#This Row],[Pocet zmluv objednavatela]]&gt;3,SrcDB[[#This Row],[Objednavatel]],"Ostatné")</f>
        <v>Ministerstvo financií SR</v>
      </c>
      <c r="AN471" s="17" t="str">
        <f>IF(SrcDB[[#This Row],[Pocet zmluv dodavatela]]&gt;3,SrcDB[[#This Row],[Dodavatel]],"Ostatné")</f>
        <v>DXC Technology Slovakia s.r.o.</v>
      </c>
    </row>
    <row r="472" spans="1:40" x14ac:dyDescent="0.3">
      <c r="A472" s="2" t="s">
        <v>631</v>
      </c>
      <c r="B472" s="2">
        <v>5792258</v>
      </c>
      <c r="C472" s="3" t="str">
        <f t="shared" si="496"/>
        <v>Áno</v>
      </c>
      <c r="D472" s="3" t="str">
        <f t="shared" si="497"/>
        <v>Áno</v>
      </c>
      <c r="E472" s="3" t="s">
        <v>49</v>
      </c>
      <c r="F472" s="3" t="s">
        <v>49</v>
      </c>
      <c r="G472" s="2" t="str">
        <f t="shared" si="498"/>
        <v>Veľké zmluvy</v>
      </c>
      <c r="H472" s="5" t="s">
        <v>632</v>
      </c>
      <c r="I472" s="2" t="s">
        <v>633</v>
      </c>
      <c r="J472" s="2" t="s">
        <v>634</v>
      </c>
      <c r="K472" s="5">
        <v>35785306</v>
      </c>
      <c r="L472" s="2" t="s">
        <v>118</v>
      </c>
      <c r="M472" s="2" t="s">
        <v>635</v>
      </c>
      <c r="N472" s="6">
        <v>44356.836134259262</v>
      </c>
      <c r="O472" s="4">
        <v>54396051.149999999</v>
      </c>
      <c r="P472" s="2">
        <v>114725</v>
      </c>
      <c r="Q472" s="2" t="s">
        <v>636</v>
      </c>
      <c r="R472" s="2" t="s">
        <v>637</v>
      </c>
      <c r="S472" s="2" t="s">
        <v>56</v>
      </c>
      <c r="T472" s="2" t="s">
        <v>286</v>
      </c>
      <c r="U472" s="2" t="s">
        <v>129</v>
      </c>
      <c r="W472" s="4">
        <v>810</v>
      </c>
      <c r="X472" s="4">
        <v>972</v>
      </c>
      <c r="Y472" s="4">
        <f t="shared" ref="Y472" si="523">INDEX(InternalRates,MATCH($S472,InternalRates01,FALSE),2)</f>
        <v>278.98333333333335</v>
      </c>
      <c r="Z472" s="3" t="str">
        <f t="shared" si="478"/>
        <v>Nie</v>
      </c>
      <c r="AA472" s="3" t="str">
        <f t="shared" si="479"/>
        <v>SLA+ZoD</v>
      </c>
      <c r="AB472" s="4">
        <v>43</v>
      </c>
      <c r="AD472" s="3" t="s">
        <v>607</v>
      </c>
      <c r="AE472" s="6">
        <v>44413</v>
      </c>
      <c r="AF472" s="3" t="s">
        <v>638</v>
      </c>
      <c r="AG472" s="3" t="s">
        <v>49</v>
      </c>
      <c r="AH472" s="3">
        <f>YEAR(SrcDB[[#This Row],[Datum_zverejnenia]])</f>
        <v>2021</v>
      </c>
      <c r="AI472" s="3" cm="1">
        <f t="array" ref="AI472">COUNT(_xlfn.UNIQUE(_xlfn._xlws.FILTER(SrcDB[ID],SrcDB[Objednavatel_ICO]=$H472)))</f>
        <v>6</v>
      </c>
      <c r="AJ472" s="3" cm="1">
        <f t="array" ref="AJ472">COUNT(_xlfn.UNIQUE(_xlfn._xlws.FILTER(SrcDB[ID],SrcDB[Dodavatel_ICO]=$K472)))</f>
        <v>9</v>
      </c>
      <c r="AK472" s="3">
        <f t="shared" si="502"/>
        <v>0</v>
      </c>
      <c r="AL472" s="3">
        <f t="shared" si="503"/>
        <v>0</v>
      </c>
      <c r="AM472" s="17" t="str">
        <f>IF(SrcDB[[#This Row],[Pocet zmluv objednavatela]]&gt;3,SrcDB[[#This Row],[Objednavatel]],"Ostatné")</f>
        <v>Ministerstvo financií SR</v>
      </c>
      <c r="AN472" s="17" t="str">
        <f>IF(SrcDB[[#This Row],[Pocet zmluv dodavatela]]&gt;3,SrcDB[[#This Row],[Dodavatel]],"Ostatné")</f>
        <v>DXC Technology Slovakia s.r.o.</v>
      </c>
    </row>
    <row r="473" spans="1:40" x14ac:dyDescent="0.3">
      <c r="A473" s="2" t="s">
        <v>631</v>
      </c>
      <c r="B473" s="2">
        <v>5792258</v>
      </c>
      <c r="C473" s="3" t="str">
        <f t="shared" si="496"/>
        <v>Áno</v>
      </c>
      <c r="D473" s="3" t="str">
        <f t="shared" si="497"/>
        <v>Áno</v>
      </c>
      <c r="E473" s="3" t="s">
        <v>49</v>
      </c>
      <c r="F473" s="3" t="s">
        <v>49</v>
      </c>
      <c r="G473" s="2" t="str">
        <f t="shared" si="498"/>
        <v>Veľké zmluvy</v>
      </c>
      <c r="H473" s="5" t="s">
        <v>632</v>
      </c>
      <c r="I473" s="2" t="s">
        <v>633</v>
      </c>
      <c r="J473" s="2" t="s">
        <v>634</v>
      </c>
      <c r="K473" s="5">
        <v>35785306</v>
      </c>
      <c r="L473" s="2" t="s">
        <v>118</v>
      </c>
      <c r="M473" s="2" t="s">
        <v>635</v>
      </c>
      <c r="N473" s="6">
        <v>44356.836134259262</v>
      </c>
      <c r="O473" s="4">
        <v>54396051.149999999</v>
      </c>
      <c r="P473" s="2">
        <v>114725</v>
      </c>
      <c r="Q473" s="2" t="s">
        <v>636</v>
      </c>
      <c r="R473" s="2" t="s">
        <v>637</v>
      </c>
      <c r="S473" s="2" t="s">
        <v>77</v>
      </c>
      <c r="T473" s="2" t="s">
        <v>92</v>
      </c>
      <c r="W473" s="4">
        <v>350.83333333333337</v>
      </c>
      <c r="X473" s="4">
        <v>421</v>
      </c>
      <c r="Y473" s="4">
        <f t="shared" ref="Y473" si="524">INDEX(InternalRates,MATCH($S473,InternalRates01,FALSE),2)</f>
        <v>278.98333333333335</v>
      </c>
      <c r="Z473" s="3" t="str">
        <f t="shared" si="478"/>
        <v>Nie</v>
      </c>
      <c r="AA473" s="3" t="str">
        <f t="shared" si="479"/>
        <v>SLA+ZoD</v>
      </c>
      <c r="AB473" s="4">
        <v>2</v>
      </c>
      <c r="AD473" s="3" t="s">
        <v>607</v>
      </c>
      <c r="AE473" s="6">
        <v>44413</v>
      </c>
      <c r="AF473" s="3" t="s">
        <v>639</v>
      </c>
      <c r="AG473" s="3" t="s">
        <v>49</v>
      </c>
      <c r="AH473" s="3">
        <f>YEAR(SrcDB[[#This Row],[Datum_zverejnenia]])</f>
        <v>2021</v>
      </c>
      <c r="AI473" s="3" cm="1">
        <f t="array" ref="AI473">COUNT(_xlfn.UNIQUE(_xlfn._xlws.FILTER(SrcDB[ID],SrcDB[Objednavatel_ICO]=$H473)))</f>
        <v>6</v>
      </c>
      <c r="AJ473" s="3" cm="1">
        <f t="array" ref="AJ473">COUNT(_xlfn.UNIQUE(_xlfn._xlws.FILTER(SrcDB[ID],SrcDB[Dodavatel_ICO]=$K473)))</f>
        <v>9</v>
      </c>
      <c r="AK473" s="3">
        <f t="shared" si="502"/>
        <v>0</v>
      </c>
      <c r="AL473" s="3">
        <f t="shared" si="503"/>
        <v>0</v>
      </c>
      <c r="AM473" s="17" t="str">
        <f>IF(SrcDB[[#This Row],[Pocet zmluv objednavatela]]&gt;3,SrcDB[[#This Row],[Objednavatel]],"Ostatné")</f>
        <v>Ministerstvo financií SR</v>
      </c>
      <c r="AN473" s="17" t="str">
        <f>IF(SrcDB[[#This Row],[Pocet zmluv dodavatela]]&gt;3,SrcDB[[#This Row],[Dodavatel]],"Ostatné")</f>
        <v>DXC Technology Slovakia s.r.o.</v>
      </c>
    </row>
    <row r="474" spans="1:40" x14ac:dyDescent="0.3">
      <c r="A474" s="2" t="s">
        <v>631</v>
      </c>
      <c r="B474" s="2">
        <v>5792258</v>
      </c>
      <c r="C474" s="3" t="str">
        <f t="shared" si="496"/>
        <v>Áno</v>
      </c>
      <c r="D474" s="3" t="str">
        <f t="shared" si="497"/>
        <v>Áno</v>
      </c>
      <c r="E474" s="3" t="s">
        <v>49</v>
      </c>
      <c r="F474" s="3" t="s">
        <v>49</v>
      </c>
      <c r="G474" s="2" t="str">
        <f t="shared" si="498"/>
        <v>Veľké zmluvy</v>
      </c>
      <c r="H474" s="5" t="s">
        <v>632</v>
      </c>
      <c r="I474" s="2" t="s">
        <v>633</v>
      </c>
      <c r="J474" s="2" t="s">
        <v>634</v>
      </c>
      <c r="K474" s="5">
        <v>35785306</v>
      </c>
      <c r="L474" s="2" t="s">
        <v>118</v>
      </c>
      <c r="M474" s="2" t="s">
        <v>635</v>
      </c>
      <c r="N474" s="6">
        <v>44356.836134259262</v>
      </c>
      <c r="O474" s="4">
        <v>54396051.149999999</v>
      </c>
      <c r="P474" s="2">
        <v>114725</v>
      </c>
      <c r="Q474" s="2" t="s">
        <v>636</v>
      </c>
      <c r="R474" s="2" t="s">
        <v>637</v>
      </c>
      <c r="S474" s="2" t="s">
        <v>73</v>
      </c>
      <c r="T474" s="2" t="s">
        <v>90</v>
      </c>
      <c r="W474" s="4">
        <v>480.6</v>
      </c>
      <c r="X474" s="4">
        <v>576.72</v>
      </c>
      <c r="Y474" s="4">
        <f t="shared" ref="Y474" si="525">INDEX(InternalRates,MATCH($S474,InternalRates01,FALSE),2)</f>
        <v>278.98333333333335</v>
      </c>
      <c r="Z474" s="3" t="str">
        <f t="shared" si="478"/>
        <v>Nie</v>
      </c>
      <c r="AA474" s="3" t="str">
        <f t="shared" si="479"/>
        <v>SLA+ZoD</v>
      </c>
      <c r="AB474" s="4">
        <v>59</v>
      </c>
      <c r="AD474" s="3" t="s">
        <v>607</v>
      </c>
      <c r="AE474" s="6">
        <v>44413</v>
      </c>
      <c r="AF474" s="3" t="s">
        <v>639</v>
      </c>
      <c r="AG474" s="3" t="s">
        <v>49</v>
      </c>
      <c r="AH474" s="3">
        <f>YEAR(SrcDB[[#This Row],[Datum_zverejnenia]])</f>
        <v>2021</v>
      </c>
      <c r="AI474" s="3" cm="1">
        <f t="array" ref="AI474">COUNT(_xlfn.UNIQUE(_xlfn._xlws.FILTER(SrcDB[ID],SrcDB[Objednavatel_ICO]=$H474)))</f>
        <v>6</v>
      </c>
      <c r="AJ474" s="3" cm="1">
        <f t="array" ref="AJ474">COUNT(_xlfn.UNIQUE(_xlfn._xlws.FILTER(SrcDB[ID],SrcDB[Dodavatel_ICO]=$K474)))</f>
        <v>9</v>
      </c>
      <c r="AK474" s="3">
        <f t="shared" si="502"/>
        <v>0</v>
      </c>
      <c r="AL474" s="3">
        <f t="shared" si="503"/>
        <v>0</v>
      </c>
      <c r="AM474" s="17" t="str">
        <f>IF(SrcDB[[#This Row],[Pocet zmluv objednavatela]]&gt;3,SrcDB[[#This Row],[Objednavatel]],"Ostatné")</f>
        <v>Ministerstvo financií SR</v>
      </c>
      <c r="AN474" s="17" t="str">
        <f>IF(SrcDB[[#This Row],[Pocet zmluv dodavatela]]&gt;3,SrcDB[[#This Row],[Dodavatel]],"Ostatné")</f>
        <v>DXC Technology Slovakia s.r.o.</v>
      </c>
    </row>
    <row r="475" spans="1:40" x14ac:dyDescent="0.3">
      <c r="A475" s="2" t="s">
        <v>631</v>
      </c>
      <c r="B475" s="2">
        <v>5792258</v>
      </c>
      <c r="C475" s="3" t="str">
        <f t="shared" si="496"/>
        <v>Áno</v>
      </c>
      <c r="D475" s="3" t="str">
        <f t="shared" si="497"/>
        <v>Áno</v>
      </c>
      <c r="E475" s="3" t="s">
        <v>49</v>
      </c>
      <c r="F475" s="3" t="s">
        <v>49</v>
      </c>
      <c r="G475" s="2" t="str">
        <f t="shared" si="498"/>
        <v>Veľké zmluvy</v>
      </c>
      <c r="H475" s="5" t="s">
        <v>632</v>
      </c>
      <c r="I475" s="2" t="s">
        <v>633</v>
      </c>
      <c r="J475" s="2" t="s">
        <v>634</v>
      </c>
      <c r="K475" s="5">
        <v>35785306</v>
      </c>
      <c r="L475" s="2" t="s">
        <v>118</v>
      </c>
      <c r="M475" s="2" t="s">
        <v>635</v>
      </c>
      <c r="N475" s="6">
        <v>44356.836134259262</v>
      </c>
      <c r="O475" s="4">
        <v>54396051.149999999</v>
      </c>
      <c r="P475" s="2">
        <v>114725</v>
      </c>
      <c r="Q475" s="2" t="s">
        <v>636</v>
      </c>
      <c r="R475" s="2" t="s">
        <v>637</v>
      </c>
      <c r="S475" s="2" t="s">
        <v>56</v>
      </c>
      <c r="T475" s="2" t="s">
        <v>286</v>
      </c>
      <c r="U475" s="2" t="s">
        <v>129</v>
      </c>
      <c r="W475" s="4">
        <v>480.6</v>
      </c>
      <c r="X475" s="4">
        <v>576.72</v>
      </c>
      <c r="Y475" s="4">
        <f t="shared" ref="Y475" si="526">INDEX(InternalRates,MATCH($S475,InternalRates01,FALSE),2)</f>
        <v>278.98333333333335</v>
      </c>
      <c r="Z475" s="3" t="str">
        <f t="shared" si="478"/>
        <v>Nie</v>
      </c>
      <c r="AA475" s="3" t="str">
        <f t="shared" si="479"/>
        <v>SLA+ZoD</v>
      </c>
      <c r="AB475" s="4">
        <v>36</v>
      </c>
      <c r="AD475" s="3" t="s">
        <v>607</v>
      </c>
      <c r="AE475" s="6">
        <v>44413</v>
      </c>
      <c r="AF475" s="3" t="s">
        <v>639</v>
      </c>
      <c r="AG475" s="3" t="s">
        <v>49</v>
      </c>
      <c r="AH475" s="3">
        <f>YEAR(SrcDB[[#This Row],[Datum_zverejnenia]])</f>
        <v>2021</v>
      </c>
      <c r="AI475" s="3" cm="1">
        <f t="array" ref="AI475">COUNT(_xlfn.UNIQUE(_xlfn._xlws.FILTER(SrcDB[ID],SrcDB[Objednavatel_ICO]=$H475)))</f>
        <v>6</v>
      </c>
      <c r="AJ475" s="3" cm="1">
        <f t="array" ref="AJ475">COUNT(_xlfn.UNIQUE(_xlfn._xlws.FILTER(SrcDB[ID],SrcDB[Dodavatel_ICO]=$K475)))</f>
        <v>9</v>
      </c>
      <c r="AK475" s="3">
        <f t="shared" si="502"/>
        <v>0</v>
      </c>
      <c r="AL475" s="3">
        <f t="shared" si="503"/>
        <v>0</v>
      </c>
      <c r="AM475" s="17" t="str">
        <f>IF(SrcDB[[#This Row],[Pocet zmluv objednavatela]]&gt;3,SrcDB[[#This Row],[Objednavatel]],"Ostatné")</f>
        <v>Ministerstvo financií SR</v>
      </c>
      <c r="AN475" s="17" t="str">
        <f>IF(SrcDB[[#This Row],[Pocet zmluv dodavatela]]&gt;3,SrcDB[[#This Row],[Dodavatel]],"Ostatné")</f>
        <v>DXC Technology Slovakia s.r.o.</v>
      </c>
    </row>
    <row r="476" spans="1:40" x14ac:dyDescent="0.3">
      <c r="A476" s="2" t="s">
        <v>631</v>
      </c>
      <c r="B476" s="2">
        <v>5792258</v>
      </c>
      <c r="C476" s="3" t="str">
        <f t="shared" si="496"/>
        <v>Áno</v>
      </c>
      <c r="D476" s="3" t="str">
        <f t="shared" si="497"/>
        <v>Áno</v>
      </c>
      <c r="E476" s="3" t="s">
        <v>49</v>
      </c>
      <c r="F476" s="3" t="s">
        <v>49</v>
      </c>
      <c r="G476" s="2" t="str">
        <f t="shared" si="498"/>
        <v>Veľké zmluvy</v>
      </c>
      <c r="H476" s="5" t="s">
        <v>632</v>
      </c>
      <c r="I476" s="2" t="s">
        <v>633</v>
      </c>
      <c r="J476" s="2" t="s">
        <v>634</v>
      </c>
      <c r="K476" s="5">
        <v>35785306</v>
      </c>
      <c r="L476" s="2" t="s">
        <v>118</v>
      </c>
      <c r="M476" s="2" t="s">
        <v>635</v>
      </c>
      <c r="N476" s="6">
        <v>44356.836134259262</v>
      </c>
      <c r="O476" s="4">
        <v>54396051.149999999</v>
      </c>
      <c r="P476" s="2">
        <v>114725</v>
      </c>
      <c r="Q476" s="2" t="s">
        <v>636</v>
      </c>
      <c r="R476" s="2" t="s">
        <v>637</v>
      </c>
      <c r="S476" s="2" t="s">
        <v>79</v>
      </c>
      <c r="T476" s="2" t="s">
        <v>93</v>
      </c>
      <c r="W476" s="4">
        <v>513</v>
      </c>
      <c r="X476" s="4">
        <v>615.6</v>
      </c>
      <c r="Y476" s="4">
        <f t="shared" ref="Y476" si="527">INDEX(InternalRates,MATCH($S476,InternalRates01,FALSE),2)</f>
        <v>278.98333333333335</v>
      </c>
      <c r="Z476" s="3" t="str">
        <f t="shared" si="478"/>
        <v>Nie</v>
      </c>
      <c r="AA476" s="3" t="str">
        <f t="shared" si="479"/>
        <v>SLA+ZoD</v>
      </c>
      <c r="AB476" s="4">
        <v>141</v>
      </c>
      <c r="AD476" s="3" t="s">
        <v>607</v>
      </c>
      <c r="AE476" s="6">
        <v>44413</v>
      </c>
      <c r="AF476" s="3" t="s">
        <v>638</v>
      </c>
      <c r="AG476" s="3" t="s">
        <v>49</v>
      </c>
      <c r="AH476" s="3">
        <f>YEAR(SrcDB[[#This Row],[Datum_zverejnenia]])</f>
        <v>2021</v>
      </c>
      <c r="AI476" s="3" cm="1">
        <f t="array" ref="AI476">COUNT(_xlfn.UNIQUE(_xlfn._xlws.FILTER(SrcDB[ID],SrcDB[Objednavatel_ICO]=$H476)))</f>
        <v>6</v>
      </c>
      <c r="AJ476" s="3" cm="1">
        <f t="array" ref="AJ476">COUNT(_xlfn.UNIQUE(_xlfn._xlws.FILTER(SrcDB[ID],SrcDB[Dodavatel_ICO]=$K476)))</f>
        <v>9</v>
      </c>
      <c r="AK476" s="3">
        <f t="shared" si="502"/>
        <v>0</v>
      </c>
      <c r="AL476" s="3">
        <f t="shared" si="503"/>
        <v>0</v>
      </c>
      <c r="AM476" s="17" t="str">
        <f>IF(SrcDB[[#This Row],[Pocet zmluv objednavatela]]&gt;3,SrcDB[[#This Row],[Objednavatel]],"Ostatné")</f>
        <v>Ministerstvo financií SR</v>
      </c>
      <c r="AN476" s="17" t="str">
        <f>IF(SrcDB[[#This Row],[Pocet zmluv dodavatela]]&gt;3,SrcDB[[#This Row],[Dodavatel]],"Ostatné")</f>
        <v>DXC Technology Slovakia s.r.o.</v>
      </c>
    </row>
    <row r="477" spans="1:40" x14ac:dyDescent="0.3">
      <c r="A477" s="2" t="s">
        <v>631</v>
      </c>
      <c r="B477" s="2">
        <v>5792258</v>
      </c>
      <c r="C477" s="3" t="str">
        <f t="shared" si="496"/>
        <v>Áno</v>
      </c>
      <c r="D477" s="3" t="str">
        <f t="shared" si="497"/>
        <v>Áno</v>
      </c>
      <c r="E477" s="3" t="s">
        <v>49</v>
      </c>
      <c r="F477" s="3" t="s">
        <v>49</v>
      </c>
      <c r="G477" s="2" t="str">
        <f t="shared" si="498"/>
        <v>Veľké zmluvy</v>
      </c>
      <c r="H477" s="5" t="s">
        <v>632</v>
      </c>
      <c r="I477" s="2" t="s">
        <v>633</v>
      </c>
      <c r="J477" s="2" t="s">
        <v>634</v>
      </c>
      <c r="K477" s="5">
        <v>35785306</v>
      </c>
      <c r="L477" s="2" t="s">
        <v>118</v>
      </c>
      <c r="M477" s="2" t="s">
        <v>635</v>
      </c>
      <c r="N477" s="6">
        <v>44356.836134259262</v>
      </c>
      <c r="O477" s="4">
        <v>54396051.149999999</v>
      </c>
      <c r="P477" s="2">
        <v>114725</v>
      </c>
      <c r="Q477" s="2" t="s">
        <v>636</v>
      </c>
      <c r="R477" s="2" t="s">
        <v>637</v>
      </c>
      <c r="S477" s="2" t="s">
        <v>98</v>
      </c>
      <c r="T477" s="2" t="s">
        <v>287</v>
      </c>
      <c r="W477" s="4">
        <v>639</v>
      </c>
      <c r="X477" s="4">
        <v>766.8</v>
      </c>
      <c r="Y477" s="4">
        <f t="shared" ref="Y477" si="528">INDEX(InternalRates,MATCH($S477,InternalRates01,FALSE),2)</f>
        <v>278.98333333333335</v>
      </c>
      <c r="Z477" s="3" t="str">
        <f t="shared" si="478"/>
        <v>Nie</v>
      </c>
      <c r="AA477" s="3" t="str">
        <f t="shared" si="479"/>
        <v>SLA+ZoD</v>
      </c>
      <c r="AB477" s="4">
        <v>33</v>
      </c>
      <c r="AD477" s="3" t="s">
        <v>607</v>
      </c>
      <c r="AE477" s="6">
        <v>44413</v>
      </c>
      <c r="AF477" s="3" t="s">
        <v>638</v>
      </c>
      <c r="AG477" s="3" t="s">
        <v>49</v>
      </c>
      <c r="AH477" s="3">
        <f>YEAR(SrcDB[[#This Row],[Datum_zverejnenia]])</f>
        <v>2021</v>
      </c>
      <c r="AI477" s="3" cm="1">
        <f t="array" ref="AI477">COUNT(_xlfn.UNIQUE(_xlfn._xlws.FILTER(SrcDB[ID],SrcDB[Objednavatel_ICO]=$H477)))</f>
        <v>6</v>
      </c>
      <c r="AJ477" s="3" cm="1">
        <f t="array" ref="AJ477">COUNT(_xlfn.UNIQUE(_xlfn._xlws.FILTER(SrcDB[ID],SrcDB[Dodavatel_ICO]=$K477)))</f>
        <v>9</v>
      </c>
      <c r="AK477" s="3">
        <f t="shared" si="502"/>
        <v>0</v>
      </c>
      <c r="AL477" s="3">
        <f t="shared" si="503"/>
        <v>0</v>
      </c>
      <c r="AM477" s="17" t="str">
        <f>IF(SrcDB[[#This Row],[Pocet zmluv objednavatela]]&gt;3,SrcDB[[#This Row],[Objednavatel]],"Ostatné")</f>
        <v>Ministerstvo financií SR</v>
      </c>
      <c r="AN477" s="17" t="str">
        <f>IF(SrcDB[[#This Row],[Pocet zmluv dodavatela]]&gt;3,SrcDB[[#This Row],[Dodavatel]],"Ostatné")</f>
        <v>DXC Technology Slovakia s.r.o.</v>
      </c>
    </row>
    <row r="478" spans="1:40" x14ac:dyDescent="0.3">
      <c r="A478" s="2" t="s">
        <v>631</v>
      </c>
      <c r="B478" s="2">
        <v>5792258</v>
      </c>
      <c r="C478" s="3" t="str">
        <f t="shared" si="496"/>
        <v>Áno</v>
      </c>
      <c r="D478" s="3" t="str">
        <f t="shared" si="497"/>
        <v>Áno</v>
      </c>
      <c r="E478" s="3" t="s">
        <v>48</v>
      </c>
      <c r="F478" s="3" t="s">
        <v>49</v>
      </c>
      <c r="G478" s="2" t="str">
        <f t="shared" si="498"/>
        <v>Veľké zmluvy</v>
      </c>
      <c r="H478" s="5" t="s">
        <v>632</v>
      </c>
      <c r="I478" s="2" t="s">
        <v>633</v>
      </c>
      <c r="J478" s="2" t="s">
        <v>634</v>
      </c>
      <c r="K478" s="5">
        <v>35785306</v>
      </c>
      <c r="L478" s="2" t="s">
        <v>118</v>
      </c>
      <c r="M478" s="2" t="s">
        <v>635</v>
      </c>
      <c r="N478" s="6">
        <v>44356.836134259262</v>
      </c>
      <c r="O478" s="4">
        <v>54396051.149999999</v>
      </c>
      <c r="P478" s="2">
        <v>114725</v>
      </c>
      <c r="Q478" s="2" t="s">
        <v>636</v>
      </c>
      <c r="R478" s="2" t="s">
        <v>637</v>
      </c>
      <c r="S478" s="2" t="s">
        <v>79</v>
      </c>
      <c r="T478" s="2" t="s">
        <v>93</v>
      </c>
      <c r="W478" s="4">
        <v>307.8</v>
      </c>
      <c r="X478" s="4">
        <v>369.36</v>
      </c>
      <c r="Y478" s="4">
        <f t="shared" ref="Y478" si="529">INDEX(InternalRates,MATCH($S478,InternalRates01,FALSE),2)</f>
        <v>278.98333333333335</v>
      </c>
      <c r="Z478" s="3" t="str">
        <f t="shared" si="478"/>
        <v>Nie</v>
      </c>
      <c r="AA478" s="3" t="str">
        <f t="shared" si="479"/>
        <v>SLA</v>
      </c>
      <c r="AB478" s="4">
        <v>141</v>
      </c>
      <c r="AD478" s="3" t="s">
        <v>607</v>
      </c>
      <c r="AE478" s="6">
        <v>44413</v>
      </c>
      <c r="AF478" s="3" t="s">
        <v>639</v>
      </c>
      <c r="AG478" s="3" t="s">
        <v>49</v>
      </c>
      <c r="AH478" s="3">
        <f>YEAR(SrcDB[[#This Row],[Datum_zverejnenia]])</f>
        <v>2021</v>
      </c>
      <c r="AI478" s="3" cm="1">
        <f t="array" ref="AI478">COUNT(_xlfn.UNIQUE(_xlfn._xlws.FILTER(SrcDB[ID],SrcDB[Objednavatel_ICO]=$H478)))</f>
        <v>6</v>
      </c>
      <c r="AJ478" s="3" cm="1">
        <f t="array" ref="AJ478">COUNT(_xlfn.UNIQUE(_xlfn._xlws.FILTER(SrcDB[ID],SrcDB[Dodavatel_ICO]=$K478)))</f>
        <v>9</v>
      </c>
      <c r="AK478" s="3">
        <f t="shared" si="502"/>
        <v>0</v>
      </c>
      <c r="AL478" s="3">
        <f t="shared" si="503"/>
        <v>0</v>
      </c>
      <c r="AM478" s="17" t="str">
        <f>IF(SrcDB[[#This Row],[Pocet zmluv objednavatela]]&gt;3,SrcDB[[#This Row],[Objednavatel]],"Ostatné")</f>
        <v>Ministerstvo financií SR</v>
      </c>
      <c r="AN478" s="17" t="str">
        <f>IF(SrcDB[[#This Row],[Pocet zmluv dodavatela]]&gt;3,SrcDB[[#This Row],[Dodavatel]],"Ostatné")</f>
        <v>DXC Technology Slovakia s.r.o.</v>
      </c>
    </row>
    <row r="479" spans="1:40" x14ac:dyDescent="0.3">
      <c r="A479" s="2" t="s">
        <v>631</v>
      </c>
      <c r="B479" s="2">
        <v>5792258</v>
      </c>
      <c r="C479" s="3" t="str">
        <f t="shared" si="496"/>
        <v>Áno</v>
      </c>
      <c r="D479" s="3" t="str">
        <f t="shared" si="497"/>
        <v>Áno</v>
      </c>
      <c r="E479" s="3" t="s">
        <v>49</v>
      </c>
      <c r="F479" s="3" t="s">
        <v>49</v>
      </c>
      <c r="G479" s="2" t="str">
        <f t="shared" si="498"/>
        <v>Veľké zmluvy</v>
      </c>
      <c r="H479" s="5" t="s">
        <v>632</v>
      </c>
      <c r="I479" s="2" t="s">
        <v>633</v>
      </c>
      <c r="J479" s="2" t="s">
        <v>634</v>
      </c>
      <c r="K479" s="5">
        <v>35785306</v>
      </c>
      <c r="L479" s="2" t="s">
        <v>118</v>
      </c>
      <c r="M479" s="2" t="s">
        <v>635</v>
      </c>
      <c r="N479" s="6">
        <v>44356.836134259262</v>
      </c>
      <c r="O479" s="4">
        <v>54396051.149999999</v>
      </c>
      <c r="P479" s="2">
        <v>114725</v>
      </c>
      <c r="Q479" s="2" t="s">
        <v>636</v>
      </c>
      <c r="R479" s="2" t="s">
        <v>637</v>
      </c>
      <c r="S479" s="2" t="s">
        <v>98</v>
      </c>
      <c r="T479" s="2" t="s">
        <v>287</v>
      </c>
      <c r="W479" s="4">
        <v>399.6</v>
      </c>
      <c r="X479" s="4">
        <v>479.52</v>
      </c>
      <c r="Y479" s="4">
        <f t="shared" ref="Y479" si="530">INDEX(InternalRates,MATCH($S479,InternalRates01,FALSE),2)</f>
        <v>278.98333333333335</v>
      </c>
      <c r="Z479" s="3" t="str">
        <f t="shared" si="478"/>
        <v>Nie</v>
      </c>
      <c r="AA479" s="3" t="str">
        <f t="shared" si="479"/>
        <v>SLA+ZoD</v>
      </c>
      <c r="AB479" s="4">
        <v>28</v>
      </c>
      <c r="AD479" s="3" t="s">
        <v>607</v>
      </c>
      <c r="AE479" s="6">
        <v>44413</v>
      </c>
      <c r="AF479" s="3" t="s">
        <v>639</v>
      </c>
      <c r="AG479" s="3" t="s">
        <v>49</v>
      </c>
      <c r="AH479" s="3">
        <f>YEAR(SrcDB[[#This Row],[Datum_zverejnenia]])</f>
        <v>2021</v>
      </c>
      <c r="AI479" s="3" cm="1">
        <f t="array" ref="AI479">COUNT(_xlfn.UNIQUE(_xlfn._xlws.FILTER(SrcDB[ID],SrcDB[Objednavatel_ICO]=$H479)))</f>
        <v>6</v>
      </c>
      <c r="AJ479" s="3" cm="1">
        <f t="array" ref="AJ479">COUNT(_xlfn.UNIQUE(_xlfn._xlws.FILTER(SrcDB[ID],SrcDB[Dodavatel_ICO]=$K479)))</f>
        <v>9</v>
      </c>
      <c r="AK479" s="3">
        <f t="shared" si="502"/>
        <v>0</v>
      </c>
      <c r="AL479" s="3">
        <f t="shared" si="503"/>
        <v>0</v>
      </c>
      <c r="AM479" s="17" t="str">
        <f>IF(SrcDB[[#This Row],[Pocet zmluv objednavatela]]&gt;3,SrcDB[[#This Row],[Objednavatel]],"Ostatné")</f>
        <v>Ministerstvo financií SR</v>
      </c>
      <c r="AN479" s="17" t="str">
        <f>IF(SrcDB[[#This Row],[Pocet zmluv dodavatela]]&gt;3,SrcDB[[#This Row],[Dodavatel]],"Ostatné")</f>
        <v>DXC Technology Slovakia s.r.o.</v>
      </c>
    </row>
    <row r="480" spans="1:40" x14ac:dyDescent="0.3">
      <c r="A480" s="2" t="s">
        <v>640</v>
      </c>
      <c r="B480" s="2">
        <v>5795415</v>
      </c>
      <c r="C480" s="3" t="str">
        <f t="shared" si="496"/>
        <v>Nie</v>
      </c>
      <c r="D480" s="3" t="str">
        <f t="shared" si="497"/>
        <v>Áno</v>
      </c>
      <c r="E480" s="3" t="s">
        <v>48</v>
      </c>
      <c r="F480" s="3" t="s">
        <v>49</v>
      </c>
      <c r="G480" s="2" t="str">
        <f t="shared" si="498"/>
        <v>Stredné zmluvy</v>
      </c>
      <c r="H480" s="5" t="s">
        <v>514</v>
      </c>
      <c r="I480" s="2" t="s">
        <v>515</v>
      </c>
      <c r="J480" s="2" t="s">
        <v>641</v>
      </c>
      <c r="K480" s="5">
        <v>31410952</v>
      </c>
      <c r="L480" s="2" t="s">
        <v>361</v>
      </c>
      <c r="M480" s="2" t="s">
        <v>642</v>
      </c>
      <c r="N480" s="6">
        <v>44358.632337962961</v>
      </c>
      <c r="O480" s="4">
        <v>2793600</v>
      </c>
      <c r="P480" s="2">
        <v>114654</v>
      </c>
      <c r="Q480" s="2" t="s">
        <v>643</v>
      </c>
      <c r="R480" s="2" t="s">
        <v>644</v>
      </c>
      <c r="S480" s="2" t="s">
        <v>73</v>
      </c>
      <c r="T480" s="2" t="s">
        <v>73</v>
      </c>
      <c r="W480" s="4">
        <v>525</v>
      </c>
      <c r="X480" s="4">
        <v>630</v>
      </c>
      <c r="Y480" s="4">
        <f t="shared" ref="Y480" si="531">INDEX(InternalRates,MATCH($S480,InternalRates01,FALSE),2)</f>
        <v>278.98333333333335</v>
      </c>
      <c r="Z480" s="3" t="str">
        <f t="shared" si="478"/>
        <v>Nie</v>
      </c>
      <c r="AA480" s="3" t="str">
        <f t="shared" si="479"/>
        <v>SLA</v>
      </c>
      <c r="AD480" s="3" t="s">
        <v>48</v>
      </c>
      <c r="AE480" s="6">
        <v>44413</v>
      </c>
      <c r="AF480" s="3" t="s">
        <v>59</v>
      </c>
      <c r="AG480" s="3" t="s">
        <v>60</v>
      </c>
      <c r="AH480" s="3">
        <f>YEAR(SrcDB[[#This Row],[Datum_zverejnenia]])</f>
        <v>2021</v>
      </c>
      <c r="AI480" s="3" cm="1">
        <f t="array" ref="AI480">COUNT(_xlfn.UNIQUE(_xlfn._xlws.FILTER(SrcDB[ID],SrcDB[Objednavatel_ICO]=$H480)))</f>
        <v>3</v>
      </c>
      <c r="AJ480" s="3" cm="1">
        <f t="array" ref="AJ480">COUNT(_xlfn.UNIQUE(_xlfn._xlws.FILTER(SrcDB[ID],SrcDB[Dodavatel_ICO]=$K480)))</f>
        <v>5</v>
      </c>
      <c r="AK480" s="3">
        <f t="shared" si="502"/>
        <v>1</v>
      </c>
      <c r="AL480" s="3">
        <f t="shared" si="503"/>
        <v>1</v>
      </c>
      <c r="AM480" s="17" t="str">
        <f>IF(SrcDB[[#This Row],[Pocet zmluv objednavatela]]&gt;3,SrcDB[[#This Row],[Objednavatel]],"Ostatné")</f>
        <v>Ostatné</v>
      </c>
      <c r="AN480" s="17" t="str">
        <f>IF(SrcDB[[#This Row],[Pocet zmluv dodavatela]]&gt;3,SrcDB[[#This Row],[Dodavatel]],"Ostatné")</f>
        <v>MICROCOMP – Computersystém s.r.o.</v>
      </c>
    </row>
    <row r="481" spans="1:40" x14ac:dyDescent="0.3">
      <c r="A481" s="2" t="s">
        <v>640</v>
      </c>
      <c r="B481" s="2">
        <v>5795415</v>
      </c>
      <c r="C481" s="3" t="str">
        <f t="shared" si="496"/>
        <v>Nie</v>
      </c>
      <c r="D481" s="3" t="str">
        <f t="shared" si="497"/>
        <v>Áno</v>
      </c>
      <c r="E481" s="3" t="s">
        <v>48</v>
      </c>
      <c r="F481" s="3" t="s">
        <v>49</v>
      </c>
      <c r="G481" s="2" t="str">
        <f t="shared" si="498"/>
        <v>Stredné zmluvy</v>
      </c>
      <c r="H481" s="5" t="s">
        <v>514</v>
      </c>
      <c r="I481" s="2" t="s">
        <v>515</v>
      </c>
      <c r="J481" s="2" t="s">
        <v>641</v>
      </c>
      <c r="K481" s="5">
        <v>31410952</v>
      </c>
      <c r="L481" s="2" t="s">
        <v>361</v>
      </c>
      <c r="M481" s="2" t="s">
        <v>642</v>
      </c>
      <c r="N481" s="6">
        <v>44358.632337962961</v>
      </c>
      <c r="O481" s="4">
        <v>2793600</v>
      </c>
      <c r="P481" s="2">
        <v>114654</v>
      </c>
      <c r="Q481" s="2" t="s">
        <v>643</v>
      </c>
      <c r="R481" s="2" t="s">
        <v>644</v>
      </c>
      <c r="S481" s="2" t="s">
        <v>71</v>
      </c>
      <c r="T481" s="2" t="s">
        <v>196</v>
      </c>
      <c r="W481" s="4">
        <v>525</v>
      </c>
      <c r="X481" s="4">
        <v>630</v>
      </c>
      <c r="Y481" s="4">
        <f t="shared" ref="Y481" si="532">INDEX(InternalRates,MATCH($S481,InternalRates01,FALSE),2)</f>
        <v>354.0333333333333</v>
      </c>
      <c r="Z481" s="3" t="str">
        <f t="shared" si="478"/>
        <v>Nie</v>
      </c>
      <c r="AA481" s="3" t="str">
        <f t="shared" si="479"/>
        <v>SLA</v>
      </c>
      <c r="AD481" s="3" t="s">
        <v>48</v>
      </c>
      <c r="AE481" s="6">
        <v>44413</v>
      </c>
      <c r="AF481" s="3" t="s">
        <v>59</v>
      </c>
      <c r="AG481" s="3" t="s">
        <v>60</v>
      </c>
      <c r="AH481" s="3">
        <f>YEAR(SrcDB[[#This Row],[Datum_zverejnenia]])</f>
        <v>2021</v>
      </c>
      <c r="AI481" s="3" cm="1">
        <f t="array" ref="AI481">COUNT(_xlfn.UNIQUE(_xlfn._xlws.FILTER(SrcDB[ID],SrcDB[Objednavatel_ICO]=$H481)))</f>
        <v>3</v>
      </c>
      <c r="AJ481" s="3" cm="1">
        <f t="array" ref="AJ481">COUNT(_xlfn.UNIQUE(_xlfn._xlws.FILTER(SrcDB[ID],SrcDB[Dodavatel_ICO]=$K481)))</f>
        <v>5</v>
      </c>
      <c r="AK481" s="3">
        <f t="shared" si="502"/>
        <v>0</v>
      </c>
      <c r="AL481" s="3">
        <f t="shared" si="503"/>
        <v>0</v>
      </c>
      <c r="AM481" s="17" t="str">
        <f>IF(SrcDB[[#This Row],[Pocet zmluv objednavatela]]&gt;3,SrcDB[[#This Row],[Objednavatel]],"Ostatné")</f>
        <v>Ostatné</v>
      </c>
      <c r="AN481" s="17" t="str">
        <f>IF(SrcDB[[#This Row],[Pocet zmluv dodavatela]]&gt;3,SrcDB[[#This Row],[Dodavatel]],"Ostatné")</f>
        <v>MICROCOMP – Computersystém s.r.o.</v>
      </c>
    </row>
    <row r="482" spans="1:40" x14ac:dyDescent="0.3">
      <c r="A482" s="2" t="s">
        <v>640</v>
      </c>
      <c r="B482" s="2">
        <v>5795415</v>
      </c>
      <c r="C482" s="3" t="str">
        <f t="shared" si="496"/>
        <v>Nie</v>
      </c>
      <c r="D482" s="3" t="str">
        <f t="shared" si="497"/>
        <v>Áno</v>
      </c>
      <c r="E482" s="3" t="s">
        <v>48</v>
      </c>
      <c r="F482" s="3" t="s">
        <v>49</v>
      </c>
      <c r="G482" s="2" t="str">
        <f t="shared" si="498"/>
        <v>Stredné zmluvy</v>
      </c>
      <c r="H482" s="5" t="s">
        <v>514</v>
      </c>
      <c r="I482" s="2" t="s">
        <v>515</v>
      </c>
      <c r="J482" s="2" t="s">
        <v>641</v>
      </c>
      <c r="K482" s="5">
        <v>31410952</v>
      </c>
      <c r="L482" s="2" t="s">
        <v>361</v>
      </c>
      <c r="M482" s="2" t="s">
        <v>642</v>
      </c>
      <c r="N482" s="6">
        <v>44358.632337962961</v>
      </c>
      <c r="O482" s="4">
        <v>2793600</v>
      </c>
      <c r="P482" s="2">
        <v>114654</v>
      </c>
      <c r="Q482" s="2" t="s">
        <v>643</v>
      </c>
      <c r="R482" s="2" t="s">
        <v>644</v>
      </c>
      <c r="S482" s="2" t="s">
        <v>77</v>
      </c>
      <c r="T482" s="2" t="s">
        <v>77</v>
      </c>
      <c r="W482" s="4">
        <v>525</v>
      </c>
      <c r="X482" s="4">
        <v>630</v>
      </c>
      <c r="Y482" s="4">
        <f t="shared" ref="Y482" si="533">INDEX(InternalRates,MATCH($S482,InternalRates01,FALSE),2)</f>
        <v>278.98333333333335</v>
      </c>
      <c r="Z482" s="3" t="str">
        <f t="shared" si="478"/>
        <v>Nie</v>
      </c>
      <c r="AA482" s="3" t="str">
        <f t="shared" si="479"/>
        <v>SLA</v>
      </c>
      <c r="AD482" s="3" t="s">
        <v>48</v>
      </c>
      <c r="AE482" s="6">
        <v>44413</v>
      </c>
      <c r="AF482" s="3" t="s">
        <v>59</v>
      </c>
      <c r="AG482" s="3" t="s">
        <v>60</v>
      </c>
      <c r="AH482" s="3">
        <f>YEAR(SrcDB[[#This Row],[Datum_zverejnenia]])</f>
        <v>2021</v>
      </c>
      <c r="AI482" s="3" cm="1">
        <f t="array" ref="AI482">COUNT(_xlfn.UNIQUE(_xlfn._xlws.FILTER(SrcDB[ID],SrcDB[Objednavatel_ICO]=$H482)))</f>
        <v>3</v>
      </c>
      <c r="AJ482" s="3" cm="1">
        <f t="array" ref="AJ482">COUNT(_xlfn.UNIQUE(_xlfn._xlws.FILTER(SrcDB[ID],SrcDB[Dodavatel_ICO]=$K482)))</f>
        <v>5</v>
      </c>
      <c r="AK482" s="3">
        <f t="shared" si="502"/>
        <v>0</v>
      </c>
      <c r="AL482" s="3">
        <f t="shared" si="503"/>
        <v>0</v>
      </c>
      <c r="AM482" s="17" t="str">
        <f>IF(SrcDB[[#This Row],[Pocet zmluv objednavatela]]&gt;3,SrcDB[[#This Row],[Objednavatel]],"Ostatné")</f>
        <v>Ostatné</v>
      </c>
      <c r="AN482" s="17" t="str">
        <f>IF(SrcDB[[#This Row],[Pocet zmluv dodavatela]]&gt;3,SrcDB[[#This Row],[Dodavatel]],"Ostatné")</f>
        <v>MICROCOMP – Computersystém s.r.o.</v>
      </c>
    </row>
    <row r="483" spans="1:40" x14ac:dyDescent="0.3">
      <c r="A483" s="2" t="s">
        <v>640</v>
      </c>
      <c r="B483" s="2">
        <v>5795415</v>
      </c>
      <c r="C483" s="3" t="str">
        <f t="shared" si="496"/>
        <v>Nie</v>
      </c>
      <c r="D483" s="3" t="str">
        <f t="shared" si="497"/>
        <v>Áno</v>
      </c>
      <c r="E483" s="3" t="s">
        <v>48</v>
      </c>
      <c r="F483" s="3" t="s">
        <v>49</v>
      </c>
      <c r="G483" s="2" t="str">
        <f t="shared" si="498"/>
        <v>Stredné zmluvy</v>
      </c>
      <c r="H483" s="5" t="s">
        <v>514</v>
      </c>
      <c r="I483" s="2" t="s">
        <v>515</v>
      </c>
      <c r="J483" s="2" t="s">
        <v>641</v>
      </c>
      <c r="K483" s="5">
        <v>31410952</v>
      </c>
      <c r="L483" s="2" t="s">
        <v>361</v>
      </c>
      <c r="M483" s="2" t="s">
        <v>642</v>
      </c>
      <c r="N483" s="6">
        <v>44358.632337962961</v>
      </c>
      <c r="O483" s="4">
        <v>2793600</v>
      </c>
      <c r="P483" s="2">
        <v>114654</v>
      </c>
      <c r="Q483" s="2" t="s">
        <v>643</v>
      </c>
      <c r="R483" s="2" t="s">
        <v>644</v>
      </c>
      <c r="S483" s="2" t="s">
        <v>56</v>
      </c>
      <c r="T483" s="2" t="s">
        <v>521</v>
      </c>
      <c r="U483" s="2" t="s">
        <v>97</v>
      </c>
      <c r="W483" s="4">
        <v>525</v>
      </c>
      <c r="X483" s="4">
        <v>630</v>
      </c>
      <c r="Y483" s="4">
        <f t="shared" ref="Y483" si="534">INDEX(InternalRates,MATCH($S483,InternalRates01,FALSE),2)</f>
        <v>278.98333333333335</v>
      </c>
      <c r="Z483" s="3" t="str">
        <f t="shared" si="478"/>
        <v>Nie</v>
      </c>
      <c r="AA483" s="3" t="str">
        <f t="shared" si="479"/>
        <v>SLA</v>
      </c>
      <c r="AD483" s="3" t="s">
        <v>48</v>
      </c>
      <c r="AE483" s="6">
        <v>44413</v>
      </c>
      <c r="AF483" s="3" t="s">
        <v>59</v>
      </c>
      <c r="AG483" s="3" t="s">
        <v>60</v>
      </c>
      <c r="AH483" s="3">
        <f>YEAR(SrcDB[[#This Row],[Datum_zverejnenia]])</f>
        <v>2021</v>
      </c>
      <c r="AI483" s="3" cm="1">
        <f t="array" ref="AI483">COUNT(_xlfn.UNIQUE(_xlfn._xlws.FILTER(SrcDB[ID],SrcDB[Objednavatel_ICO]=$H483)))</f>
        <v>3</v>
      </c>
      <c r="AJ483" s="3" cm="1">
        <f t="array" ref="AJ483">COUNT(_xlfn.UNIQUE(_xlfn._xlws.FILTER(SrcDB[ID],SrcDB[Dodavatel_ICO]=$K483)))</f>
        <v>5</v>
      </c>
      <c r="AK483" s="3">
        <f t="shared" si="502"/>
        <v>0</v>
      </c>
      <c r="AL483" s="3">
        <f t="shared" si="503"/>
        <v>0</v>
      </c>
      <c r="AM483" s="17" t="str">
        <f>IF(SrcDB[[#This Row],[Pocet zmluv objednavatela]]&gt;3,SrcDB[[#This Row],[Objednavatel]],"Ostatné")</f>
        <v>Ostatné</v>
      </c>
      <c r="AN483" s="17" t="str">
        <f>IF(SrcDB[[#This Row],[Pocet zmluv dodavatela]]&gt;3,SrcDB[[#This Row],[Dodavatel]],"Ostatné")</f>
        <v>MICROCOMP – Computersystém s.r.o.</v>
      </c>
    </row>
    <row r="484" spans="1:40" x14ac:dyDescent="0.3">
      <c r="A484" s="2" t="s">
        <v>640</v>
      </c>
      <c r="B484" s="2">
        <v>5795415</v>
      </c>
      <c r="C484" s="3" t="str">
        <f t="shared" si="496"/>
        <v>Nie</v>
      </c>
      <c r="D484" s="3" t="str">
        <f t="shared" si="497"/>
        <v>Áno</v>
      </c>
      <c r="E484" s="3" t="s">
        <v>48</v>
      </c>
      <c r="F484" s="3" t="s">
        <v>49</v>
      </c>
      <c r="G484" s="2" t="str">
        <f t="shared" si="498"/>
        <v>Stredné zmluvy</v>
      </c>
      <c r="H484" s="5" t="s">
        <v>514</v>
      </c>
      <c r="I484" s="2" t="s">
        <v>515</v>
      </c>
      <c r="J484" s="2" t="s">
        <v>641</v>
      </c>
      <c r="K484" s="5">
        <v>31410952</v>
      </c>
      <c r="L484" s="2" t="s">
        <v>361</v>
      </c>
      <c r="M484" s="2" t="s">
        <v>642</v>
      </c>
      <c r="N484" s="6">
        <v>44358.632337962961</v>
      </c>
      <c r="O484" s="4">
        <v>2793600</v>
      </c>
      <c r="P484" s="2">
        <v>114654</v>
      </c>
      <c r="Q484" s="2" t="s">
        <v>643</v>
      </c>
      <c r="R484" s="2" t="s">
        <v>644</v>
      </c>
      <c r="S484" s="2" t="s">
        <v>98</v>
      </c>
      <c r="T484" s="2" t="s">
        <v>461</v>
      </c>
      <c r="W484" s="4">
        <v>525</v>
      </c>
      <c r="X484" s="4">
        <v>630</v>
      </c>
      <c r="Y484" s="4">
        <f t="shared" ref="Y484" si="535">INDEX(InternalRates,MATCH($S484,InternalRates01,FALSE),2)</f>
        <v>278.98333333333335</v>
      </c>
      <c r="Z484" s="3" t="str">
        <f t="shared" si="478"/>
        <v>Nie</v>
      </c>
      <c r="AA484" s="3" t="str">
        <f t="shared" si="479"/>
        <v>SLA</v>
      </c>
      <c r="AD484" s="3" t="s">
        <v>48</v>
      </c>
      <c r="AE484" s="6">
        <v>44413</v>
      </c>
      <c r="AF484" s="3" t="s">
        <v>59</v>
      </c>
      <c r="AG484" s="3" t="s">
        <v>60</v>
      </c>
      <c r="AH484" s="3">
        <f>YEAR(SrcDB[[#This Row],[Datum_zverejnenia]])</f>
        <v>2021</v>
      </c>
      <c r="AI484" s="3" cm="1">
        <f t="array" ref="AI484">COUNT(_xlfn.UNIQUE(_xlfn._xlws.FILTER(SrcDB[ID],SrcDB[Objednavatel_ICO]=$H484)))</f>
        <v>3</v>
      </c>
      <c r="AJ484" s="3" cm="1">
        <f t="array" ref="AJ484">COUNT(_xlfn.UNIQUE(_xlfn._xlws.FILTER(SrcDB[ID],SrcDB[Dodavatel_ICO]=$K484)))</f>
        <v>5</v>
      </c>
      <c r="AK484" s="3">
        <f t="shared" si="502"/>
        <v>0</v>
      </c>
      <c r="AL484" s="3">
        <f t="shared" si="503"/>
        <v>0</v>
      </c>
      <c r="AM484" s="17" t="str">
        <f>IF(SrcDB[[#This Row],[Pocet zmluv objednavatela]]&gt;3,SrcDB[[#This Row],[Objednavatel]],"Ostatné")</f>
        <v>Ostatné</v>
      </c>
      <c r="AN484" s="17" t="str">
        <f>IF(SrcDB[[#This Row],[Pocet zmluv dodavatela]]&gt;3,SrcDB[[#This Row],[Dodavatel]],"Ostatné")</f>
        <v>MICROCOMP – Computersystém s.r.o.</v>
      </c>
    </row>
    <row r="485" spans="1:40" x14ac:dyDescent="0.3">
      <c r="A485" s="2" t="s">
        <v>640</v>
      </c>
      <c r="B485" s="2">
        <v>5795415</v>
      </c>
      <c r="C485" s="3" t="str">
        <f t="shared" si="496"/>
        <v>Nie</v>
      </c>
      <c r="D485" s="3" t="str">
        <f t="shared" si="497"/>
        <v>Áno</v>
      </c>
      <c r="E485" s="3" t="s">
        <v>48</v>
      </c>
      <c r="F485" s="3" t="s">
        <v>49</v>
      </c>
      <c r="G485" s="2" t="str">
        <f t="shared" si="498"/>
        <v>Stredné zmluvy</v>
      </c>
      <c r="H485" s="5" t="s">
        <v>514</v>
      </c>
      <c r="I485" s="2" t="s">
        <v>515</v>
      </c>
      <c r="J485" s="2" t="s">
        <v>641</v>
      </c>
      <c r="K485" s="5">
        <v>31410952</v>
      </c>
      <c r="L485" s="2" t="s">
        <v>361</v>
      </c>
      <c r="M485" s="2" t="s">
        <v>642</v>
      </c>
      <c r="N485" s="6">
        <v>44358.632337962961</v>
      </c>
      <c r="O485" s="4">
        <v>2793600</v>
      </c>
      <c r="P485" s="2">
        <v>114654</v>
      </c>
      <c r="Q485" s="2" t="s">
        <v>643</v>
      </c>
      <c r="R485" s="2" t="s">
        <v>644</v>
      </c>
      <c r="S485" s="2" t="s">
        <v>79</v>
      </c>
      <c r="T485" s="2" t="s">
        <v>79</v>
      </c>
      <c r="W485" s="4">
        <v>525</v>
      </c>
      <c r="X485" s="4">
        <v>630</v>
      </c>
      <c r="Y485" s="4">
        <f t="shared" ref="Y485" si="536">INDEX(InternalRates,MATCH($S485,InternalRates01,FALSE),2)</f>
        <v>278.98333333333335</v>
      </c>
      <c r="Z485" s="3" t="str">
        <f t="shared" si="478"/>
        <v>Nie</v>
      </c>
      <c r="AA485" s="3" t="str">
        <f t="shared" si="479"/>
        <v>SLA</v>
      </c>
      <c r="AD485" s="3" t="s">
        <v>48</v>
      </c>
      <c r="AE485" s="6">
        <v>44413</v>
      </c>
      <c r="AF485" s="3" t="s">
        <v>59</v>
      </c>
      <c r="AG485" s="3" t="s">
        <v>60</v>
      </c>
      <c r="AH485" s="3">
        <f>YEAR(SrcDB[[#This Row],[Datum_zverejnenia]])</f>
        <v>2021</v>
      </c>
      <c r="AI485" s="3" cm="1">
        <f t="array" ref="AI485">COUNT(_xlfn.UNIQUE(_xlfn._xlws.FILTER(SrcDB[ID],SrcDB[Objednavatel_ICO]=$H485)))</f>
        <v>3</v>
      </c>
      <c r="AJ485" s="3" cm="1">
        <f t="array" ref="AJ485">COUNT(_xlfn.UNIQUE(_xlfn._xlws.FILTER(SrcDB[ID],SrcDB[Dodavatel_ICO]=$K485)))</f>
        <v>5</v>
      </c>
      <c r="AK485" s="3">
        <f t="shared" si="502"/>
        <v>0</v>
      </c>
      <c r="AL485" s="3">
        <f t="shared" si="503"/>
        <v>0</v>
      </c>
      <c r="AM485" s="17" t="str">
        <f>IF(SrcDB[[#This Row],[Pocet zmluv objednavatela]]&gt;3,SrcDB[[#This Row],[Objednavatel]],"Ostatné")</f>
        <v>Ostatné</v>
      </c>
      <c r="AN485" s="17" t="str">
        <f>IF(SrcDB[[#This Row],[Pocet zmluv dodavatela]]&gt;3,SrcDB[[#This Row],[Dodavatel]],"Ostatné")</f>
        <v>MICROCOMP – Computersystém s.r.o.</v>
      </c>
    </row>
    <row r="486" spans="1:40" x14ac:dyDescent="0.3">
      <c r="A486" s="2" t="s">
        <v>640</v>
      </c>
      <c r="B486" s="2">
        <v>5795415</v>
      </c>
      <c r="C486" s="3" t="str">
        <f t="shared" si="496"/>
        <v>Nie</v>
      </c>
      <c r="D486" s="3" t="str">
        <f t="shared" si="497"/>
        <v>Áno</v>
      </c>
      <c r="E486" s="3" t="s">
        <v>48</v>
      </c>
      <c r="F486" s="3" t="s">
        <v>49</v>
      </c>
      <c r="G486" s="2" t="str">
        <f t="shared" si="498"/>
        <v>Stredné zmluvy</v>
      </c>
      <c r="H486" s="5" t="s">
        <v>514</v>
      </c>
      <c r="I486" s="2" t="s">
        <v>515</v>
      </c>
      <c r="J486" s="2" t="s">
        <v>641</v>
      </c>
      <c r="K486" s="5">
        <v>31410952</v>
      </c>
      <c r="L486" s="2" t="s">
        <v>361</v>
      </c>
      <c r="M486" s="2" t="s">
        <v>642</v>
      </c>
      <c r="N486" s="6">
        <v>44358.632337962961</v>
      </c>
      <c r="O486" s="4">
        <v>2793600</v>
      </c>
      <c r="P486" s="2">
        <v>114654</v>
      </c>
      <c r="Q486" s="2" t="s">
        <v>643</v>
      </c>
      <c r="R486" s="2" t="s">
        <v>644</v>
      </c>
      <c r="S486" s="2" t="s">
        <v>162</v>
      </c>
      <c r="T486" s="2" t="s">
        <v>645</v>
      </c>
      <c r="W486" s="4">
        <v>525</v>
      </c>
      <c r="X486" s="4">
        <v>630</v>
      </c>
      <c r="Y486" s="4">
        <f t="shared" ref="Y486" si="537">INDEX(InternalRates,MATCH($S486,InternalRates01,FALSE),2)</f>
        <v>231.85833333333335</v>
      </c>
      <c r="Z486" s="3" t="str">
        <f t="shared" si="478"/>
        <v>Nie</v>
      </c>
      <c r="AA486" s="3" t="str">
        <f t="shared" si="479"/>
        <v>SLA</v>
      </c>
      <c r="AD486" s="3" t="s">
        <v>48</v>
      </c>
      <c r="AE486" s="6">
        <v>44413</v>
      </c>
      <c r="AF486" s="3" t="s">
        <v>59</v>
      </c>
      <c r="AG486" s="3" t="s">
        <v>60</v>
      </c>
      <c r="AH486" s="3">
        <f>YEAR(SrcDB[[#This Row],[Datum_zverejnenia]])</f>
        <v>2021</v>
      </c>
      <c r="AI486" s="3" cm="1">
        <f t="array" ref="AI486">COUNT(_xlfn.UNIQUE(_xlfn._xlws.FILTER(SrcDB[ID],SrcDB[Objednavatel_ICO]=$H486)))</f>
        <v>3</v>
      </c>
      <c r="AJ486" s="3" cm="1">
        <f t="array" ref="AJ486">COUNT(_xlfn.UNIQUE(_xlfn._xlws.FILTER(SrcDB[ID],SrcDB[Dodavatel_ICO]=$K486)))</f>
        <v>5</v>
      </c>
      <c r="AK486" s="3">
        <f t="shared" si="502"/>
        <v>0</v>
      </c>
      <c r="AL486" s="3">
        <f t="shared" si="503"/>
        <v>0</v>
      </c>
      <c r="AM486" s="17" t="str">
        <f>IF(SrcDB[[#This Row],[Pocet zmluv objednavatela]]&gt;3,SrcDB[[#This Row],[Objednavatel]],"Ostatné")</f>
        <v>Ostatné</v>
      </c>
      <c r="AN486" s="17" t="str">
        <f>IF(SrcDB[[#This Row],[Pocet zmluv dodavatela]]&gt;3,SrcDB[[#This Row],[Dodavatel]],"Ostatné")</f>
        <v>MICROCOMP – Computersystém s.r.o.</v>
      </c>
    </row>
    <row r="487" spans="1:40" x14ac:dyDescent="0.3">
      <c r="A487" s="2" t="s">
        <v>640</v>
      </c>
      <c r="B487" s="2">
        <v>5795415</v>
      </c>
      <c r="C487" s="3" t="str">
        <f t="shared" si="496"/>
        <v>Nie</v>
      </c>
      <c r="D487" s="3" t="str">
        <f t="shared" si="497"/>
        <v>Áno</v>
      </c>
      <c r="E487" s="3" t="s">
        <v>48</v>
      </c>
      <c r="F487" s="3" t="s">
        <v>49</v>
      </c>
      <c r="G487" s="2" t="str">
        <f t="shared" si="498"/>
        <v>Stredné zmluvy</v>
      </c>
      <c r="H487" s="5" t="s">
        <v>514</v>
      </c>
      <c r="I487" s="2" t="s">
        <v>515</v>
      </c>
      <c r="J487" s="2" t="s">
        <v>641</v>
      </c>
      <c r="K487" s="5">
        <v>31410952</v>
      </c>
      <c r="L487" s="2" t="s">
        <v>361</v>
      </c>
      <c r="M487" s="2" t="s">
        <v>642</v>
      </c>
      <c r="N487" s="6">
        <v>44358.632337962961</v>
      </c>
      <c r="O487" s="4">
        <v>2793600</v>
      </c>
      <c r="P487" s="2">
        <v>114654</v>
      </c>
      <c r="Q487" s="2" t="s">
        <v>643</v>
      </c>
      <c r="R487" s="2" t="s">
        <v>644</v>
      </c>
      <c r="S487" s="2" t="s">
        <v>56</v>
      </c>
      <c r="T487" s="2" t="s">
        <v>646</v>
      </c>
      <c r="U487" s="2" t="s">
        <v>95</v>
      </c>
      <c r="W487" s="4">
        <v>525</v>
      </c>
      <c r="X487" s="4">
        <v>630</v>
      </c>
      <c r="Y487" s="4">
        <f t="shared" ref="Y487" si="538">INDEX(InternalRates,MATCH($S487,InternalRates01,FALSE),2)</f>
        <v>278.98333333333335</v>
      </c>
      <c r="Z487" s="3" t="str">
        <f t="shared" si="478"/>
        <v>Nie</v>
      </c>
      <c r="AA487" s="3" t="str">
        <f t="shared" si="479"/>
        <v>SLA</v>
      </c>
      <c r="AD487" s="3" t="s">
        <v>48</v>
      </c>
      <c r="AE487" s="6">
        <v>44413</v>
      </c>
      <c r="AF487" s="3" t="s">
        <v>59</v>
      </c>
      <c r="AG487" s="3" t="s">
        <v>60</v>
      </c>
      <c r="AH487" s="3">
        <f>YEAR(SrcDB[[#This Row],[Datum_zverejnenia]])</f>
        <v>2021</v>
      </c>
      <c r="AI487" s="3" cm="1">
        <f t="array" ref="AI487">COUNT(_xlfn.UNIQUE(_xlfn._xlws.FILTER(SrcDB[ID],SrcDB[Objednavatel_ICO]=$H487)))</f>
        <v>3</v>
      </c>
      <c r="AJ487" s="3" cm="1">
        <f t="array" ref="AJ487">COUNT(_xlfn.UNIQUE(_xlfn._xlws.FILTER(SrcDB[ID],SrcDB[Dodavatel_ICO]=$K487)))</f>
        <v>5</v>
      </c>
      <c r="AK487" s="3">
        <f t="shared" si="502"/>
        <v>0</v>
      </c>
      <c r="AL487" s="3">
        <f t="shared" si="503"/>
        <v>0</v>
      </c>
      <c r="AM487" s="17" t="str">
        <f>IF(SrcDB[[#This Row],[Pocet zmluv objednavatela]]&gt;3,SrcDB[[#This Row],[Objednavatel]],"Ostatné")</f>
        <v>Ostatné</v>
      </c>
      <c r="AN487" s="17" t="str">
        <f>IF(SrcDB[[#This Row],[Pocet zmluv dodavatela]]&gt;3,SrcDB[[#This Row],[Dodavatel]],"Ostatné")</f>
        <v>MICROCOMP – Computersystém s.r.o.</v>
      </c>
    </row>
    <row r="488" spans="1:40" x14ac:dyDescent="0.3">
      <c r="A488" s="2" t="s">
        <v>640</v>
      </c>
      <c r="B488" s="2">
        <v>5795415</v>
      </c>
      <c r="C488" s="3" t="str">
        <f t="shared" si="496"/>
        <v>Nie</v>
      </c>
      <c r="D488" s="3" t="str">
        <f t="shared" si="497"/>
        <v>Áno</v>
      </c>
      <c r="E488" s="3" t="s">
        <v>48</v>
      </c>
      <c r="F488" s="3" t="s">
        <v>49</v>
      </c>
      <c r="G488" s="2" t="str">
        <f t="shared" si="498"/>
        <v>Stredné zmluvy</v>
      </c>
      <c r="H488" s="5" t="s">
        <v>514</v>
      </c>
      <c r="I488" s="2" t="s">
        <v>515</v>
      </c>
      <c r="J488" s="2" t="s">
        <v>641</v>
      </c>
      <c r="K488" s="5">
        <v>31410952</v>
      </c>
      <c r="L488" s="2" t="s">
        <v>361</v>
      </c>
      <c r="M488" s="2" t="s">
        <v>642</v>
      </c>
      <c r="N488" s="6">
        <v>44358.632337962961</v>
      </c>
      <c r="O488" s="4">
        <v>2793600</v>
      </c>
      <c r="P488" s="2">
        <v>114654</v>
      </c>
      <c r="Q488" s="2" t="s">
        <v>643</v>
      </c>
      <c r="R488" s="2" t="s">
        <v>644</v>
      </c>
      <c r="S488" s="2" t="s">
        <v>69</v>
      </c>
      <c r="T488" s="2" t="s">
        <v>647</v>
      </c>
      <c r="W488" s="4">
        <v>525</v>
      </c>
      <c r="X488" s="4">
        <v>630</v>
      </c>
      <c r="Y488" s="4">
        <f t="shared" ref="Y488" si="539">INDEX(InternalRates,MATCH($S488,InternalRates01,FALSE),2)</f>
        <v>278.98333333333335</v>
      </c>
      <c r="Z488" s="3" t="str">
        <f t="shared" si="478"/>
        <v>Nie</v>
      </c>
      <c r="AA488" s="3" t="str">
        <f t="shared" si="479"/>
        <v>SLA</v>
      </c>
      <c r="AD488" s="3" t="s">
        <v>48</v>
      </c>
      <c r="AE488" s="6">
        <v>44413</v>
      </c>
      <c r="AF488" s="3" t="s">
        <v>59</v>
      </c>
      <c r="AG488" s="3" t="s">
        <v>60</v>
      </c>
      <c r="AH488" s="3">
        <f>YEAR(SrcDB[[#This Row],[Datum_zverejnenia]])</f>
        <v>2021</v>
      </c>
      <c r="AI488" s="3" cm="1">
        <f t="array" ref="AI488">COUNT(_xlfn.UNIQUE(_xlfn._xlws.FILTER(SrcDB[ID],SrcDB[Objednavatel_ICO]=$H488)))</f>
        <v>3</v>
      </c>
      <c r="AJ488" s="3" cm="1">
        <f t="array" ref="AJ488">COUNT(_xlfn.UNIQUE(_xlfn._xlws.FILTER(SrcDB[ID],SrcDB[Dodavatel_ICO]=$K488)))</f>
        <v>5</v>
      </c>
      <c r="AK488" s="3">
        <f t="shared" si="502"/>
        <v>0</v>
      </c>
      <c r="AL488" s="3">
        <f t="shared" si="503"/>
        <v>0</v>
      </c>
      <c r="AM488" s="17" t="str">
        <f>IF(SrcDB[[#This Row],[Pocet zmluv objednavatela]]&gt;3,SrcDB[[#This Row],[Objednavatel]],"Ostatné")</f>
        <v>Ostatné</v>
      </c>
      <c r="AN488" s="17" t="str">
        <f>IF(SrcDB[[#This Row],[Pocet zmluv dodavatela]]&gt;3,SrcDB[[#This Row],[Dodavatel]],"Ostatné")</f>
        <v>MICROCOMP – Computersystém s.r.o.</v>
      </c>
    </row>
    <row r="489" spans="1:40" x14ac:dyDescent="0.3">
      <c r="A489" s="2" t="s">
        <v>640</v>
      </c>
      <c r="B489" s="2">
        <v>5795415</v>
      </c>
      <c r="C489" s="3" t="str">
        <f t="shared" si="496"/>
        <v>Nie</v>
      </c>
      <c r="D489" s="3" t="str">
        <f t="shared" si="497"/>
        <v>Áno</v>
      </c>
      <c r="E489" s="3" t="s">
        <v>48</v>
      </c>
      <c r="F489" s="3" t="s">
        <v>49</v>
      </c>
      <c r="G489" s="2" t="str">
        <f t="shared" si="498"/>
        <v>Stredné zmluvy</v>
      </c>
      <c r="H489" s="5" t="s">
        <v>514</v>
      </c>
      <c r="I489" s="2" t="s">
        <v>515</v>
      </c>
      <c r="J489" s="2" t="s">
        <v>641</v>
      </c>
      <c r="K489" s="5">
        <v>31410952</v>
      </c>
      <c r="L489" s="2" t="s">
        <v>361</v>
      </c>
      <c r="M489" s="2" t="s">
        <v>642</v>
      </c>
      <c r="N489" s="6">
        <v>44358.632337962961</v>
      </c>
      <c r="O489" s="4">
        <v>2793600</v>
      </c>
      <c r="P489" s="2">
        <v>114654</v>
      </c>
      <c r="Q489" s="2" t="s">
        <v>643</v>
      </c>
      <c r="R489" s="2" t="s">
        <v>644</v>
      </c>
      <c r="S489" s="2" t="s">
        <v>56</v>
      </c>
      <c r="T489" s="2" t="s">
        <v>648</v>
      </c>
      <c r="U489" s="2" t="s">
        <v>289</v>
      </c>
      <c r="W489" s="4">
        <v>525</v>
      </c>
      <c r="X489" s="4">
        <v>630</v>
      </c>
      <c r="Y489" s="4">
        <f t="shared" ref="Y489" si="540">INDEX(InternalRates,MATCH($S489,InternalRates01,FALSE),2)</f>
        <v>278.98333333333335</v>
      </c>
      <c r="Z489" s="3" t="str">
        <f t="shared" si="478"/>
        <v>Nie</v>
      </c>
      <c r="AA489" s="3" t="str">
        <f t="shared" si="479"/>
        <v>SLA</v>
      </c>
      <c r="AD489" s="3" t="s">
        <v>48</v>
      </c>
      <c r="AE489" s="6">
        <v>44413</v>
      </c>
      <c r="AF489" s="3" t="s">
        <v>59</v>
      </c>
      <c r="AG489" s="3" t="s">
        <v>60</v>
      </c>
      <c r="AH489" s="3">
        <f>YEAR(SrcDB[[#This Row],[Datum_zverejnenia]])</f>
        <v>2021</v>
      </c>
      <c r="AI489" s="3" cm="1">
        <f t="array" ref="AI489">COUNT(_xlfn.UNIQUE(_xlfn._xlws.FILTER(SrcDB[ID],SrcDB[Objednavatel_ICO]=$H489)))</f>
        <v>3</v>
      </c>
      <c r="AJ489" s="3" cm="1">
        <f t="array" ref="AJ489">COUNT(_xlfn.UNIQUE(_xlfn._xlws.FILTER(SrcDB[ID],SrcDB[Dodavatel_ICO]=$K489)))</f>
        <v>5</v>
      </c>
      <c r="AK489" s="3">
        <f t="shared" si="502"/>
        <v>0</v>
      </c>
      <c r="AL489" s="3">
        <f t="shared" si="503"/>
        <v>0</v>
      </c>
      <c r="AM489" s="17" t="str">
        <f>IF(SrcDB[[#This Row],[Pocet zmluv objednavatela]]&gt;3,SrcDB[[#This Row],[Objednavatel]],"Ostatné")</f>
        <v>Ostatné</v>
      </c>
      <c r="AN489" s="17" t="str">
        <f>IF(SrcDB[[#This Row],[Pocet zmluv dodavatela]]&gt;3,SrcDB[[#This Row],[Dodavatel]],"Ostatné")</f>
        <v>MICROCOMP – Computersystém s.r.o.</v>
      </c>
    </row>
    <row r="490" spans="1:40" x14ac:dyDescent="0.3">
      <c r="A490" s="2" t="s">
        <v>649</v>
      </c>
      <c r="B490" s="2">
        <v>5804388</v>
      </c>
      <c r="C490" s="3" t="str">
        <f t="shared" si="496"/>
        <v>Nie</v>
      </c>
      <c r="D490" s="3" t="str">
        <f t="shared" si="497"/>
        <v>Áno</v>
      </c>
      <c r="E490" s="3" t="s">
        <v>48</v>
      </c>
      <c r="F490" s="3" t="s">
        <v>49</v>
      </c>
      <c r="G490" s="2" t="str">
        <f t="shared" si="498"/>
        <v>Malé zmluvy</v>
      </c>
      <c r="H490" s="5">
        <v>35823542</v>
      </c>
      <c r="I490" s="2" t="s">
        <v>650</v>
      </c>
      <c r="J490" s="2" t="s">
        <v>651</v>
      </c>
      <c r="K490" s="5" t="s">
        <v>420</v>
      </c>
      <c r="L490" s="2" t="s">
        <v>421</v>
      </c>
      <c r="M490" s="2" t="s">
        <v>652</v>
      </c>
      <c r="N490" s="6">
        <v>44364.540613425925</v>
      </c>
      <c r="O490" s="4">
        <v>118800</v>
      </c>
      <c r="P490" s="2">
        <v>114499</v>
      </c>
      <c r="Q490" s="2" t="s">
        <v>653</v>
      </c>
      <c r="R490" s="2" t="s">
        <v>654</v>
      </c>
      <c r="S490" s="2" t="s">
        <v>79</v>
      </c>
      <c r="T490" s="2" t="s">
        <v>79</v>
      </c>
      <c r="W490" s="4">
        <v>500</v>
      </c>
      <c r="X490" s="4">
        <v>600</v>
      </c>
      <c r="Y490" s="4">
        <f t="shared" ref="Y490" si="541">INDEX(InternalRates,MATCH($S490,InternalRates01,FALSE),2)</f>
        <v>278.98333333333335</v>
      </c>
      <c r="Z490" s="3" t="str">
        <f t="shared" si="478"/>
        <v>Nie</v>
      </c>
      <c r="AA490" s="3" t="str">
        <f t="shared" si="479"/>
        <v>SLA</v>
      </c>
      <c r="AD490" s="3" t="s">
        <v>48</v>
      </c>
      <c r="AE490" s="6">
        <v>44510</v>
      </c>
      <c r="AF490" s="3" t="s">
        <v>59</v>
      </c>
      <c r="AG490" s="3" t="s">
        <v>48</v>
      </c>
      <c r="AH490" s="3">
        <f>YEAR(SrcDB[[#This Row],[Datum_zverejnenia]])</f>
        <v>2021</v>
      </c>
      <c r="AI490" s="3" cm="1">
        <f t="array" ref="AI490">COUNT(_xlfn.UNIQUE(_xlfn._xlws.FILTER(SrcDB[ID],SrcDB[Objednavatel_ICO]=$H490)))</f>
        <v>1</v>
      </c>
      <c r="AJ490" s="3" cm="1">
        <f t="array" ref="AJ490">COUNT(_xlfn.UNIQUE(_xlfn._xlws.FILTER(SrcDB[ID],SrcDB[Dodavatel_ICO]=$K490)))</f>
        <v>6</v>
      </c>
      <c r="AK490" s="3">
        <f t="shared" si="502"/>
        <v>1</v>
      </c>
      <c r="AL490" s="3">
        <f t="shared" si="503"/>
        <v>1</v>
      </c>
      <c r="AM490" s="17" t="str">
        <f>IF(SrcDB[[#This Row],[Pocet zmluv objednavatela]]&gt;3,SrcDB[[#This Row],[Objednavatel]],"Ostatné")</f>
        <v>Ostatné</v>
      </c>
      <c r="AN490" s="17" t="str">
        <f>IF(SrcDB[[#This Row],[Pocet zmluv dodavatela]]&gt;3,SrcDB[[#This Row],[Dodavatel]],"Ostatné")</f>
        <v>NESS Slovensko, a.s.</v>
      </c>
    </row>
    <row r="491" spans="1:40" x14ac:dyDescent="0.3">
      <c r="A491" s="2" t="s">
        <v>649</v>
      </c>
      <c r="B491" s="2">
        <v>5804388</v>
      </c>
      <c r="C491" s="3" t="str">
        <f t="shared" si="496"/>
        <v>Nie</v>
      </c>
      <c r="D491" s="3" t="str">
        <f t="shared" si="497"/>
        <v>Áno</v>
      </c>
      <c r="E491" s="3" t="s">
        <v>48</v>
      </c>
      <c r="F491" s="3" t="s">
        <v>49</v>
      </c>
      <c r="G491" s="2" t="str">
        <f t="shared" si="498"/>
        <v>Malé zmluvy</v>
      </c>
      <c r="H491" s="5">
        <v>35823542</v>
      </c>
      <c r="I491" s="2" t="s">
        <v>650</v>
      </c>
      <c r="J491" s="2" t="s">
        <v>651</v>
      </c>
      <c r="K491" s="5" t="s">
        <v>420</v>
      </c>
      <c r="L491" s="2" t="s">
        <v>421</v>
      </c>
      <c r="M491" s="2" t="s">
        <v>652</v>
      </c>
      <c r="N491" s="6">
        <v>44364.540613425925</v>
      </c>
      <c r="O491" s="4">
        <v>118800</v>
      </c>
      <c r="P491" s="2">
        <v>114499</v>
      </c>
      <c r="Q491" s="2" t="s">
        <v>653</v>
      </c>
      <c r="R491" s="2" t="s">
        <v>654</v>
      </c>
      <c r="S491" s="2" t="s">
        <v>77</v>
      </c>
      <c r="T491" s="2" t="s">
        <v>77</v>
      </c>
      <c r="W491" s="4">
        <v>600</v>
      </c>
      <c r="X491" s="4">
        <v>720</v>
      </c>
      <c r="Y491" s="4">
        <f t="shared" ref="Y491" si="542">INDEX(InternalRates,MATCH($S491,InternalRates01,FALSE),2)</f>
        <v>278.98333333333335</v>
      </c>
      <c r="Z491" s="3" t="str">
        <f t="shared" si="478"/>
        <v>Nie</v>
      </c>
      <c r="AA491" s="3" t="str">
        <f t="shared" si="479"/>
        <v>SLA</v>
      </c>
      <c r="AD491" s="3" t="s">
        <v>48</v>
      </c>
      <c r="AE491" s="6">
        <v>44510</v>
      </c>
      <c r="AF491" s="3" t="s">
        <v>59</v>
      </c>
      <c r="AG491" s="3" t="s">
        <v>48</v>
      </c>
      <c r="AH491" s="3">
        <f>YEAR(SrcDB[[#This Row],[Datum_zverejnenia]])</f>
        <v>2021</v>
      </c>
      <c r="AI491" s="3" cm="1">
        <f t="array" ref="AI491">COUNT(_xlfn.UNIQUE(_xlfn._xlws.FILTER(SrcDB[ID],SrcDB[Objednavatel_ICO]=$H491)))</f>
        <v>1</v>
      </c>
      <c r="AJ491" s="3" cm="1">
        <f t="array" ref="AJ491">COUNT(_xlfn.UNIQUE(_xlfn._xlws.FILTER(SrcDB[ID],SrcDB[Dodavatel_ICO]=$K491)))</f>
        <v>6</v>
      </c>
      <c r="AK491" s="3">
        <f t="shared" si="502"/>
        <v>0</v>
      </c>
      <c r="AL491" s="3">
        <f t="shared" si="503"/>
        <v>0</v>
      </c>
      <c r="AM491" s="17" t="str">
        <f>IF(SrcDB[[#This Row],[Pocet zmluv objednavatela]]&gt;3,SrcDB[[#This Row],[Objednavatel]],"Ostatné")</f>
        <v>Ostatné</v>
      </c>
      <c r="AN491" s="17" t="str">
        <f>IF(SrcDB[[#This Row],[Pocet zmluv dodavatela]]&gt;3,SrcDB[[#This Row],[Dodavatel]],"Ostatné")</f>
        <v>NESS Slovensko, a.s.</v>
      </c>
    </row>
    <row r="492" spans="1:40" x14ac:dyDescent="0.3">
      <c r="A492" s="2" t="s">
        <v>649</v>
      </c>
      <c r="B492" s="2">
        <v>5804388</v>
      </c>
      <c r="C492" s="3" t="str">
        <f t="shared" si="496"/>
        <v>Nie</v>
      </c>
      <c r="D492" s="3" t="str">
        <f t="shared" si="497"/>
        <v>Áno</v>
      </c>
      <c r="E492" s="3" t="s">
        <v>48</v>
      </c>
      <c r="F492" s="3" t="s">
        <v>49</v>
      </c>
      <c r="G492" s="2" t="str">
        <f t="shared" si="498"/>
        <v>Malé zmluvy</v>
      </c>
      <c r="H492" s="5">
        <v>35823542</v>
      </c>
      <c r="I492" s="2" t="s">
        <v>650</v>
      </c>
      <c r="J492" s="2" t="s">
        <v>651</v>
      </c>
      <c r="K492" s="5" t="s">
        <v>420</v>
      </c>
      <c r="L492" s="2" t="s">
        <v>421</v>
      </c>
      <c r="M492" s="2" t="s">
        <v>652</v>
      </c>
      <c r="N492" s="6">
        <v>44364.540613425925</v>
      </c>
      <c r="O492" s="4">
        <v>118800</v>
      </c>
      <c r="P492" s="2">
        <v>114499</v>
      </c>
      <c r="Q492" s="2" t="s">
        <v>653</v>
      </c>
      <c r="R492" s="2" t="s">
        <v>654</v>
      </c>
      <c r="S492" s="2" t="s">
        <v>162</v>
      </c>
      <c r="T492" s="2" t="s">
        <v>162</v>
      </c>
      <c r="W492" s="4">
        <v>360</v>
      </c>
      <c r="X492" s="4">
        <v>432</v>
      </c>
      <c r="Y492" s="4">
        <f t="shared" ref="Y492" si="543">INDEX(InternalRates,MATCH($S492,InternalRates01,FALSE),2)</f>
        <v>231.85833333333335</v>
      </c>
      <c r="Z492" s="3" t="str">
        <f t="shared" si="478"/>
        <v>Nie</v>
      </c>
      <c r="AA492" s="3" t="str">
        <f t="shared" si="479"/>
        <v>SLA</v>
      </c>
      <c r="AD492" s="3" t="s">
        <v>48</v>
      </c>
      <c r="AE492" s="6">
        <v>44510</v>
      </c>
      <c r="AF492" s="3" t="s">
        <v>59</v>
      </c>
      <c r="AG492" s="3" t="s">
        <v>48</v>
      </c>
      <c r="AH492" s="3">
        <f>YEAR(SrcDB[[#This Row],[Datum_zverejnenia]])</f>
        <v>2021</v>
      </c>
      <c r="AI492" s="3" cm="1">
        <f t="array" ref="AI492">COUNT(_xlfn.UNIQUE(_xlfn._xlws.FILTER(SrcDB[ID],SrcDB[Objednavatel_ICO]=$H492)))</f>
        <v>1</v>
      </c>
      <c r="AJ492" s="3" cm="1">
        <f t="array" ref="AJ492">COUNT(_xlfn.UNIQUE(_xlfn._xlws.FILTER(SrcDB[ID],SrcDB[Dodavatel_ICO]=$K492)))</f>
        <v>6</v>
      </c>
      <c r="AK492" s="3">
        <f t="shared" si="502"/>
        <v>0</v>
      </c>
      <c r="AL492" s="3">
        <f t="shared" si="503"/>
        <v>0</v>
      </c>
      <c r="AM492" s="17" t="str">
        <f>IF(SrcDB[[#This Row],[Pocet zmluv objednavatela]]&gt;3,SrcDB[[#This Row],[Objednavatel]],"Ostatné")</f>
        <v>Ostatné</v>
      </c>
      <c r="AN492" s="17" t="str">
        <f>IF(SrcDB[[#This Row],[Pocet zmluv dodavatela]]&gt;3,SrcDB[[#This Row],[Dodavatel]],"Ostatné")</f>
        <v>NESS Slovensko, a.s.</v>
      </c>
    </row>
    <row r="493" spans="1:40" x14ac:dyDescent="0.3">
      <c r="A493" s="2" t="s">
        <v>649</v>
      </c>
      <c r="B493" s="2">
        <v>5804388</v>
      </c>
      <c r="C493" s="3" t="str">
        <f t="shared" si="496"/>
        <v>Nie</v>
      </c>
      <c r="D493" s="3" t="str">
        <f t="shared" si="497"/>
        <v>Áno</v>
      </c>
      <c r="E493" s="3" t="s">
        <v>48</v>
      </c>
      <c r="F493" s="3" t="s">
        <v>49</v>
      </c>
      <c r="G493" s="2" t="str">
        <f t="shared" si="498"/>
        <v>Malé zmluvy</v>
      </c>
      <c r="H493" s="5">
        <v>35823542</v>
      </c>
      <c r="I493" s="2" t="s">
        <v>650</v>
      </c>
      <c r="J493" s="2" t="s">
        <v>651</v>
      </c>
      <c r="K493" s="5" t="s">
        <v>420</v>
      </c>
      <c r="L493" s="2" t="s">
        <v>421</v>
      </c>
      <c r="M493" s="2" t="s">
        <v>652</v>
      </c>
      <c r="N493" s="6">
        <v>44364.540613425925</v>
      </c>
      <c r="O493" s="4">
        <v>118800</v>
      </c>
      <c r="P493" s="2">
        <v>114499</v>
      </c>
      <c r="Q493" s="2" t="s">
        <v>653</v>
      </c>
      <c r="R493" s="2" t="s">
        <v>654</v>
      </c>
      <c r="S493" s="2" t="s">
        <v>69</v>
      </c>
      <c r="T493" s="2" t="s">
        <v>70</v>
      </c>
      <c r="W493" s="4">
        <v>680</v>
      </c>
      <c r="X493" s="4">
        <v>816</v>
      </c>
      <c r="Y493" s="4">
        <f t="shared" ref="Y493" si="544">INDEX(InternalRates,MATCH($S493,InternalRates01,FALSE),2)</f>
        <v>278.98333333333335</v>
      </c>
      <c r="Z493" s="3" t="str">
        <f t="shared" si="478"/>
        <v>Nie</v>
      </c>
      <c r="AA493" s="3" t="str">
        <f t="shared" si="479"/>
        <v>SLA</v>
      </c>
      <c r="AD493" s="3" t="s">
        <v>48</v>
      </c>
      <c r="AE493" s="6">
        <v>44510</v>
      </c>
      <c r="AF493" s="3" t="s">
        <v>59</v>
      </c>
      <c r="AG493" s="3" t="s">
        <v>48</v>
      </c>
      <c r="AH493" s="3">
        <f>YEAR(SrcDB[[#This Row],[Datum_zverejnenia]])</f>
        <v>2021</v>
      </c>
      <c r="AI493" s="3" cm="1">
        <f t="array" ref="AI493">COUNT(_xlfn.UNIQUE(_xlfn._xlws.FILTER(SrcDB[ID],SrcDB[Objednavatel_ICO]=$H493)))</f>
        <v>1</v>
      </c>
      <c r="AJ493" s="3" cm="1">
        <f t="array" ref="AJ493">COUNT(_xlfn.UNIQUE(_xlfn._xlws.FILTER(SrcDB[ID],SrcDB[Dodavatel_ICO]=$K493)))</f>
        <v>6</v>
      </c>
      <c r="AK493" s="3">
        <f t="shared" si="502"/>
        <v>0</v>
      </c>
      <c r="AL493" s="3">
        <f t="shared" si="503"/>
        <v>0</v>
      </c>
      <c r="AM493" s="17" t="str">
        <f>IF(SrcDB[[#This Row],[Pocet zmluv objednavatela]]&gt;3,SrcDB[[#This Row],[Objednavatel]],"Ostatné")</f>
        <v>Ostatné</v>
      </c>
      <c r="AN493" s="17" t="str">
        <f>IF(SrcDB[[#This Row],[Pocet zmluv dodavatela]]&gt;3,SrcDB[[#This Row],[Dodavatel]],"Ostatné")</f>
        <v>NESS Slovensko, a.s.</v>
      </c>
    </row>
    <row r="494" spans="1:40" x14ac:dyDescent="0.3">
      <c r="A494" s="2" t="s">
        <v>649</v>
      </c>
      <c r="B494" s="2">
        <v>5804388</v>
      </c>
      <c r="C494" s="3" t="str">
        <f t="shared" si="496"/>
        <v>Nie</v>
      </c>
      <c r="D494" s="3" t="str">
        <f t="shared" si="497"/>
        <v>Áno</v>
      </c>
      <c r="E494" s="3" t="s">
        <v>48</v>
      </c>
      <c r="F494" s="3" t="s">
        <v>49</v>
      </c>
      <c r="G494" s="2" t="str">
        <f t="shared" si="498"/>
        <v>Malé zmluvy</v>
      </c>
      <c r="H494" s="5">
        <v>35823542</v>
      </c>
      <c r="I494" s="2" t="s">
        <v>650</v>
      </c>
      <c r="J494" s="2" t="s">
        <v>651</v>
      </c>
      <c r="K494" s="5" t="s">
        <v>420</v>
      </c>
      <c r="L494" s="2" t="s">
        <v>421</v>
      </c>
      <c r="M494" s="2" t="s">
        <v>652</v>
      </c>
      <c r="N494" s="6">
        <v>44364.540613425925</v>
      </c>
      <c r="O494" s="4">
        <v>118800</v>
      </c>
      <c r="P494" s="2">
        <v>114499</v>
      </c>
      <c r="Q494" s="2" t="s">
        <v>653</v>
      </c>
      <c r="R494" s="2" t="s">
        <v>654</v>
      </c>
      <c r="S494" s="2" t="s">
        <v>71</v>
      </c>
      <c r="T494" s="2" t="s">
        <v>71</v>
      </c>
      <c r="W494" s="4">
        <v>700</v>
      </c>
      <c r="X494" s="4">
        <v>840</v>
      </c>
      <c r="Y494" s="4">
        <f t="shared" ref="Y494" si="545">INDEX(InternalRates,MATCH($S494,InternalRates01,FALSE),2)</f>
        <v>354.0333333333333</v>
      </c>
      <c r="Z494" s="3" t="str">
        <f t="shared" si="478"/>
        <v>Nie</v>
      </c>
      <c r="AA494" s="3" t="str">
        <f t="shared" si="479"/>
        <v>SLA</v>
      </c>
      <c r="AD494" s="3" t="s">
        <v>48</v>
      </c>
      <c r="AE494" s="6">
        <v>44510</v>
      </c>
      <c r="AF494" s="3" t="s">
        <v>59</v>
      </c>
      <c r="AG494" s="3" t="s">
        <v>48</v>
      </c>
      <c r="AH494" s="3">
        <f>YEAR(SrcDB[[#This Row],[Datum_zverejnenia]])</f>
        <v>2021</v>
      </c>
      <c r="AI494" s="3" cm="1">
        <f t="array" ref="AI494">COUNT(_xlfn.UNIQUE(_xlfn._xlws.FILTER(SrcDB[ID],SrcDB[Objednavatel_ICO]=$H494)))</f>
        <v>1</v>
      </c>
      <c r="AJ494" s="3" cm="1">
        <f t="array" ref="AJ494">COUNT(_xlfn.UNIQUE(_xlfn._xlws.FILTER(SrcDB[ID],SrcDB[Dodavatel_ICO]=$K494)))</f>
        <v>6</v>
      </c>
      <c r="AK494" s="3">
        <f t="shared" si="502"/>
        <v>0</v>
      </c>
      <c r="AL494" s="3">
        <f t="shared" si="503"/>
        <v>0</v>
      </c>
      <c r="AM494" s="17" t="str">
        <f>IF(SrcDB[[#This Row],[Pocet zmluv objednavatela]]&gt;3,SrcDB[[#This Row],[Objednavatel]],"Ostatné")</f>
        <v>Ostatné</v>
      </c>
      <c r="AN494" s="17" t="str">
        <f>IF(SrcDB[[#This Row],[Pocet zmluv dodavatela]]&gt;3,SrcDB[[#This Row],[Dodavatel]],"Ostatné")</f>
        <v>NESS Slovensko, a.s.</v>
      </c>
    </row>
    <row r="495" spans="1:40" x14ac:dyDescent="0.3">
      <c r="A495" s="2" t="s">
        <v>649</v>
      </c>
      <c r="B495" s="2">
        <v>5804388</v>
      </c>
      <c r="C495" s="3" t="str">
        <f t="shared" si="496"/>
        <v>Nie</v>
      </c>
      <c r="D495" s="3" t="str">
        <f t="shared" si="497"/>
        <v>Áno</v>
      </c>
      <c r="E495" s="3" t="s">
        <v>48</v>
      </c>
      <c r="F495" s="3" t="s">
        <v>49</v>
      </c>
      <c r="G495" s="2" t="str">
        <f t="shared" si="498"/>
        <v>Malé zmluvy</v>
      </c>
      <c r="H495" s="5">
        <v>35823542</v>
      </c>
      <c r="I495" s="2" t="s">
        <v>650</v>
      </c>
      <c r="J495" s="2" t="s">
        <v>651</v>
      </c>
      <c r="K495" s="5" t="s">
        <v>420</v>
      </c>
      <c r="L495" s="2" t="s">
        <v>421</v>
      </c>
      <c r="M495" s="2" t="s">
        <v>652</v>
      </c>
      <c r="N495" s="6">
        <v>44364.540613425925</v>
      </c>
      <c r="O495" s="4">
        <v>118800</v>
      </c>
      <c r="P495" s="2">
        <v>114499</v>
      </c>
      <c r="Q495" s="2" t="s">
        <v>653</v>
      </c>
      <c r="R495" s="2" t="s">
        <v>654</v>
      </c>
      <c r="S495" s="2" t="s">
        <v>56</v>
      </c>
      <c r="T495" s="2" t="s">
        <v>655</v>
      </c>
      <c r="U495" s="2" t="s">
        <v>129</v>
      </c>
      <c r="W495" s="4">
        <v>680</v>
      </c>
      <c r="X495" s="4">
        <v>816</v>
      </c>
      <c r="Y495" s="4">
        <f t="shared" ref="Y495" si="546">INDEX(InternalRates,MATCH($S495,InternalRates01,FALSE),2)</f>
        <v>278.98333333333335</v>
      </c>
      <c r="Z495" s="3" t="str">
        <f t="shared" si="478"/>
        <v>Nie</v>
      </c>
      <c r="AA495" s="3" t="str">
        <f t="shared" si="479"/>
        <v>SLA</v>
      </c>
      <c r="AD495" s="3" t="s">
        <v>48</v>
      </c>
      <c r="AE495" s="6">
        <v>44510</v>
      </c>
      <c r="AF495" s="3" t="s">
        <v>59</v>
      </c>
      <c r="AG495" s="3" t="s">
        <v>48</v>
      </c>
      <c r="AH495" s="3">
        <f>YEAR(SrcDB[[#This Row],[Datum_zverejnenia]])</f>
        <v>2021</v>
      </c>
      <c r="AI495" s="3" cm="1">
        <f t="array" ref="AI495">COUNT(_xlfn.UNIQUE(_xlfn._xlws.FILTER(SrcDB[ID],SrcDB[Objednavatel_ICO]=$H495)))</f>
        <v>1</v>
      </c>
      <c r="AJ495" s="3" cm="1">
        <f t="array" ref="AJ495">COUNT(_xlfn.UNIQUE(_xlfn._xlws.FILTER(SrcDB[ID],SrcDB[Dodavatel_ICO]=$K495)))</f>
        <v>6</v>
      </c>
      <c r="AK495" s="3">
        <f t="shared" si="502"/>
        <v>0</v>
      </c>
      <c r="AL495" s="3">
        <f t="shared" si="503"/>
        <v>0</v>
      </c>
      <c r="AM495" s="17" t="str">
        <f>IF(SrcDB[[#This Row],[Pocet zmluv objednavatela]]&gt;3,SrcDB[[#This Row],[Objednavatel]],"Ostatné")</f>
        <v>Ostatné</v>
      </c>
      <c r="AN495" s="17" t="str">
        <f>IF(SrcDB[[#This Row],[Pocet zmluv dodavatela]]&gt;3,SrcDB[[#This Row],[Dodavatel]],"Ostatné")</f>
        <v>NESS Slovensko, a.s.</v>
      </c>
    </row>
    <row r="496" spans="1:40" x14ac:dyDescent="0.3">
      <c r="A496" s="2" t="s">
        <v>656</v>
      </c>
      <c r="B496" s="2">
        <v>5826343</v>
      </c>
      <c r="C496" s="3" t="str">
        <f t="shared" si="496"/>
        <v>Nie</v>
      </c>
      <c r="D496" s="3" t="str">
        <f t="shared" si="497"/>
        <v>Áno</v>
      </c>
      <c r="E496" s="3" t="s">
        <v>48</v>
      </c>
      <c r="F496" s="3" t="s">
        <v>49</v>
      </c>
      <c r="G496" s="2" t="str">
        <f t="shared" si="498"/>
        <v>Malé zmluvy</v>
      </c>
      <c r="H496" s="5">
        <v>30845572</v>
      </c>
      <c r="I496" s="2" t="s">
        <v>116</v>
      </c>
      <c r="J496" s="2" t="s">
        <v>117</v>
      </c>
      <c r="K496" s="5">
        <v>35785306</v>
      </c>
      <c r="L496" s="2" t="s">
        <v>118</v>
      </c>
      <c r="M496" s="2" t="s">
        <v>119</v>
      </c>
      <c r="N496" s="6">
        <v>44377.637372685182</v>
      </c>
      <c r="O496" s="4">
        <v>330000</v>
      </c>
      <c r="P496" s="2">
        <v>114495</v>
      </c>
      <c r="Q496" s="2" t="s">
        <v>657</v>
      </c>
      <c r="R496" s="2" t="s">
        <v>658</v>
      </c>
      <c r="S496" s="2" t="s">
        <v>73</v>
      </c>
      <c r="T496" s="2" t="s">
        <v>122</v>
      </c>
      <c r="W496" s="4">
        <v>932</v>
      </c>
      <c r="X496" s="4">
        <v>1118.4000000000001</v>
      </c>
      <c r="Y496" s="4">
        <f t="shared" ref="Y496" si="547">INDEX(InternalRates,MATCH($S496,InternalRates01,FALSE),2)</f>
        <v>278.98333333333335</v>
      </c>
      <c r="Z496" s="3" t="str">
        <f t="shared" si="478"/>
        <v>Nie</v>
      </c>
      <c r="AA496" s="3" t="str">
        <f t="shared" si="479"/>
        <v>SLA</v>
      </c>
      <c r="AD496" s="3" t="s">
        <v>48</v>
      </c>
      <c r="AE496" s="6">
        <v>44412</v>
      </c>
      <c r="AF496" s="3" t="s">
        <v>59</v>
      </c>
      <c r="AG496" s="3" t="s">
        <v>60</v>
      </c>
      <c r="AH496" s="3">
        <f>YEAR(SrcDB[[#This Row],[Datum_zverejnenia]])</f>
        <v>2021</v>
      </c>
      <c r="AI496" s="3" cm="1">
        <f t="array" ref="AI496">COUNT(_xlfn.UNIQUE(_xlfn._xlws.FILTER(SrcDB[ID],SrcDB[Objednavatel_ICO]=$H496)))</f>
        <v>3</v>
      </c>
      <c r="AJ496" s="3" cm="1">
        <f t="array" ref="AJ496">COUNT(_xlfn.UNIQUE(_xlfn._xlws.FILTER(SrcDB[ID],SrcDB[Dodavatel_ICO]=$K496)))</f>
        <v>9</v>
      </c>
      <c r="AK496" s="3">
        <f t="shared" si="502"/>
        <v>1</v>
      </c>
      <c r="AL496" s="3">
        <f t="shared" si="503"/>
        <v>1</v>
      </c>
      <c r="AM496" s="17" t="str">
        <f>IF(SrcDB[[#This Row],[Pocet zmluv objednavatela]]&gt;3,SrcDB[[#This Row],[Objednavatel]],"Ostatné")</f>
        <v>Ostatné</v>
      </c>
      <c r="AN496" s="17" t="str">
        <f>IF(SrcDB[[#This Row],[Pocet zmluv dodavatela]]&gt;3,SrcDB[[#This Row],[Dodavatel]],"Ostatné")</f>
        <v>DXC Technology Slovakia s.r.o.</v>
      </c>
    </row>
    <row r="497" spans="1:40" x14ac:dyDescent="0.3">
      <c r="A497" s="2" t="s">
        <v>656</v>
      </c>
      <c r="B497" s="2">
        <v>5826343</v>
      </c>
      <c r="C497" s="3" t="str">
        <f t="shared" si="496"/>
        <v>Nie</v>
      </c>
      <c r="D497" s="3" t="str">
        <f t="shared" si="497"/>
        <v>Áno</v>
      </c>
      <c r="E497" s="3" t="s">
        <v>48</v>
      </c>
      <c r="F497" s="3" t="s">
        <v>49</v>
      </c>
      <c r="G497" s="2" t="str">
        <f t="shared" si="498"/>
        <v>Malé zmluvy</v>
      </c>
      <c r="H497" s="5">
        <v>30845572</v>
      </c>
      <c r="I497" s="2" t="s">
        <v>116</v>
      </c>
      <c r="J497" s="2" t="s">
        <v>117</v>
      </c>
      <c r="K497" s="5">
        <v>35785306</v>
      </c>
      <c r="L497" s="2" t="s">
        <v>118</v>
      </c>
      <c r="M497" s="2" t="s">
        <v>119</v>
      </c>
      <c r="N497" s="6">
        <v>44377.637372685182</v>
      </c>
      <c r="O497" s="4">
        <v>330000</v>
      </c>
      <c r="P497" s="2">
        <v>114495</v>
      </c>
      <c r="Q497" s="2" t="s">
        <v>657</v>
      </c>
      <c r="R497" s="2" t="s">
        <v>658</v>
      </c>
      <c r="S497" s="2" t="s">
        <v>123</v>
      </c>
      <c r="T497" s="2" t="s">
        <v>659</v>
      </c>
      <c r="V497" s="2" t="s">
        <v>58</v>
      </c>
      <c r="W497" s="4">
        <v>932</v>
      </c>
      <c r="X497" s="4">
        <v>1118.4000000000001</v>
      </c>
      <c r="Y497" s="4">
        <f t="shared" ref="Y497" si="548">INDEX(InternalRates,MATCH($S497,InternalRates01,FALSE),2)</f>
        <v>231.85833333333335</v>
      </c>
      <c r="Z497" s="3" t="str">
        <f t="shared" ref="Z497:Z552" si="549">IF(W497&gt;0,IF(Y497&gt;W497,"Áno","Nie"),"Nie")</f>
        <v>Nie</v>
      </c>
      <c r="AA497" s="3" t="str">
        <f t="shared" ref="AA497:AA552" si="550">IF(E497="Nie","SLA",IF(F497="Nie","ZoD","SLA+ZoD"))</f>
        <v>SLA</v>
      </c>
      <c r="AD497" s="3" t="s">
        <v>48</v>
      </c>
      <c r="AE497" s="6">
        <v>44412</v>
      </c>
      <c r="AF497" s="3" t="s">
        <v>59</v>
      </c>
      <c r="AG497" s="3" t="s">
        <v>60</v>
      </c>
      <c r="AH497" s="3">
        <f>YEAR(SrcDB[[#This Row],[Datum_zverejnenia]])</f>
        <v>2021</v>
      </c>
      <c r="AI497" s="3" cm="1">
        <f t="array" ref="AI497">COUNT(_xlfn.UNIQUE(_xlfn._xlws.FILTER(SrcDB[ID],SrcDB[Objednavatel_ICO]=$H497)))</f>
        <v>3</v>
      </c>
      <c r="AJ497" s="3" cm="1">
        <f t="array" ref="AJ497">COUNT(_xlfn.UNIQUE(_xlfn._xlws.FILTER(SrcDB[ID],SrcDB[Dodavatel_ICO]=$K497)))</f>
        <v>9</v>
      </c>
      <c r="AK497" s="3">
        <f t="shared" si="502"/>
        <v>0</v>
      </c>
      <c r="AL497" s="3">
        <f t="shared" si="503"/>
        <v>0</v>
      </c>
      <c r="AM497" s="17" t="str">
        <f>IF(SrcDB[[#This Row],[Pocet zmluv objednavatela]]&gt;3,SrcDB[[#This Row],[Objednavatel]],"Ostatné")</f>
        <v>Ostatné</v>
      </c>
      <c r="AN497" s="17" t="str">
        <f>IF(SrcDB[[#This Row],[Pocet zmluv dodavatela]]&gt;3,SrcDB[[#This Row],[Dodavatel]],"Ostatné")</f>
        <v>DXC Technology Slovakia s.r.o.</v>
      </c>
    </row>
    <row r="498" spans="1:40" x14ac:dyDescent="0.3">
      <c r="A498" s="2" t="s">
        <v>656</v>
      </c>
      <c r="B498" s="2">
        <v>5826343</v>
      </c>
      <c r="C498" s="3" t="str">
        <f t="shared" si="496"/>
        <v>Nie</v>
      </c>
      <c r="D498" s="3" t="str">
        <f t="shared" si="497"/>
        <v>Áno</v>
      </c>
      <c r="E498" s="3" t="s">
        <v>48</v>
      </c>
      <c r="F498" s="3" t="s">
        <v>49</v>
      </c>
      <c r="G498" s="2" t="str">
        <f t="shared" si="498"/>
        <v>Malé zmluvy</v>
      </c>
      <c r="H498" s="5">
        <v>30845572</v>
      </c>
      <c r="I498" s="2" t="s">
        <v>116</v>
      </c>
      <c r="J498" s="2" t="s">
        <v>117</v>
      </c>
      <c r="K498" s="5">
        <v>35785306</v>
      </c>
      <c r="L498" s="2" t="s">
        <v>118</v>
      </c>
      <c r="M498" s="2" t="s">
        <v>119</v>
      </c>
      <c r="N498" s="6">
        <v>44377.637372685182</v>
      </c>
      <c r="O498" s="4">
        <v>330000</v>
      </c>
      <c r="P498" s="2">
        <v>114495</v>
      </c>
      <c r="Q498" s="2" t="s">
        <v>657</v>
      </c>
      <c r="R498" s="2" t="s">
        <v>658</v>
      </c>
      <c r="S498" s="2" t="s">
        <v>77</v>
      </c>
      <c r="T498" s="2" t="s">
        <v>126</v>
      </c>
      <c r="W498" s="4">
        <v>419</v>
      </c>
      <c r="X498" s="4">
        <v>502.8</v>
      </c>
      <c r="Y498" s="4">
        <f t="shared" ref="Y498" si="551">INDEX(InternalRates,MATCH($S498,InternalRates01,FALSE),2)</f>
        <v>278.98333333333335</v>
      </c>
      <c r="Z498" s="3" t="str">
        <f t="shared" si="549"/>
        <v>Nie</v>
      </c>
      <c r="AA498" s="3" t="str">
        <f t="shared" si="550"/>
        <v>SLA</v>
      </c>
      <c r="AD498" s="3" t="s">
        <v>48</v>
      </c>
      <c r="AE498" s="6">
        <v>44412</v>
      </c>
      <c r="AF498" s="3" t="s">
        <v>59</v>
      </c>
      <c r="AG498" s="3" t="s">
        <v>60</v>
      </c>
      <c r="AH498" s="3">
        <f>YEAR(SrcDB[[#This Row],[Datum_zverejnenia]])</f>
        <v>2021</v>
      </c>
      <c r="AI498" s="3" cm="1">
        <f t="array" ref="AI498">COUNT(_xlfn.UNIQUE(_xlfn._xlws.FILTER(SrcDB[ID],SrcDB[Objednavatel_ICO]=$H498)))</f>
        <v>3</v>
      </c>
      <c r="AJ498" s="3" cm="1">
        <f t="array" ref="AJ498">COUNT(_xlfn.UNIQUE(_xlfn._xlws.FILTER(SrcDB[ID],SrcDB[Dodavatel_ICO]=$K498)))</f>
        <v>9</v>
      </c>
      <c r="AK498" s="3">
        <f t="shared" si="502"/>
        <v>0</v>
      </c>
      <c r="AL498" s="3">
        <f t="shared" si="503"/>
        <v>0</v>
      </c>
      <c r="AM498" s="17" t="str">
        <f>IF(SrcDB[[#This Row],[Pocet zmluv objednavatela]]&gt;3,SrcDB[[#This Row],[Objednavatel]],"Ostatné")</f>
        <v>Ostatné</v>
      </c>
      <c r="AN498" s="17" t="str">
        <f>IF(SrcDB[[#This Row],[Pocet zmluv dodavatela]]&gt;3,SrcDB[[#This Row],[Dodavatel]],"Ostatné")</f>
        <v>DXC Technology Slovakia s.r.o.</v>
      </c>
    </row>
    <row r="499" spans="1:40" x14ac:dyDescent="0.3">
      <c r="A499" s="2" t="s">
        <v>656</v>
      </c>
      <c r="B499" s="2">
        <v>5826343</v>
      </c>
      <c r="C499" s="3" t="str">
        <f t="shared" si="496"/>
        <v>Nie</v>
      </c>
      <c r="D499" s="3" t="str">
        <f t="shared" si="497"/>
        <v>Áno</v>
      </c>
      <c r="E499" s="3" t="s">
        <v>48</v>
      </c>
      <c r="F499" s="3" t="s">
        <v>49</v>
      </c>
      <c r="G499" s="2" t="str">
        <f t="shared" si="498"/>
        <v>Malé zmluvy</v>
      </c>
      <c r="H499" s="5">
        <v>30845572</v>
      </c>
      <c r="I499" s="2" t="s">
        <v>116</v>
      </c>
      <c r="J499" s="2" t="s">
        <v>117</v>
      </c>
      <c r="K499" s="5">
        <v>35785306</v>
      </c>
      <c r="L499" s="2" t="s">
        <v>118</v>
      </c>
      <c r="M499" s="2" t="s">
        <v>119</v>
      </c>
      <c r="N499" s="6">
        <v>44377.637372685182</v>
      </c>
      <c r="O499" s="4">
        <v>330000</v>
      </c>
      <c r="P499" s="2">
        <v>114495</v>
      </c>
      <c r="Q499" s="2" t="s">
        <v>657</v>
      </c>
      <c r="R499" s="2" t="s">
        <v>658</v>
      </c>
      <c r="S499" s="2" t="s">
        <v>77</v>
      </c>
      <c r="T499" s="2" t="s">
        <v>660</v>
      </c>
      <c r="W499" s="4">
        <v>419</v>
      </c>
      <c r="X499" s="4">
        <v>502.8</v>
      </c>
      <c r="Y499" s="4">
        <f t="shared" ref="Y499" si="552">INDEX(InternalRates,MATCH($S499,InternalRates01,FALSE),2)</f>
        <v>278.98333333333335</v>
      </c>
      <c r="Z499" s="3" t="str">
        <f t="shared" si="549"/>
        <v>Nie</v>
      </c>
      <c r="AA499" s="3" t="str">
        <f t="shared" si="550"/>
        <v>SLA</v>
      </c>
      <c r="AD499" s="3" t="s">
        <v>48</v>
      </c>
      <c r="AE499" s="6">
        <v>44412</v>
      </c>
      <c r="AF499" s="3" t="s">
        <v>59</v>
      </c>
      <c r="AG499" s="3" t="s">
        <v>60</v>
      </c>
      <c r="AH499" s="3">
        <f>YEAR(SrcDB[[#This Row],[Datum_zverejnenia]])</f>
        <v>2021</v>
      </c>
      <c r="AI499" s="3" cm="1">
        <f t="array" ref="AI499">COUNT(_xlfn.UNIQUE(_xlfn._xlws.FILTER(SrcDB[ID],SrcDB[Objednavatel_ICO]=$H499)))</f>
        <v>3</v>
      </c>
      <c r="AJ499" s="3" cm="1">
        <f t="array" ref="AJ499">COUNT(_xlfn.UNIQUE(_xlfn._xlws.FILTER(SrcDB[ID],SrcDB[Dodavatel_ICO]=$K499)))</f>
        <v>9</v>
      </c>
      <c r="AK499" s="3">
        <f t="shared" si="502"/>
        <v>0</v>
      </c>
      <c r="AL499" s="3">
        <f t="shared" si="503"/>
        <v>0</v>
      </c>
      <c r="AM499" s="17" t="str">
        <f>IF(SrcDB[[#This Row],[Pocet zmluv objednavatela]]&gt;3,SrcDB[[#This Row],[Objednavatel]],"Ostatné")</f>
        <v>Ostatné</v>
      </c>
      <c r="AN499" s="17" t="str">
        <f>IF(SrcDB[[#This Row],[Pocet zmluv dodavatela]]&gt;3,SrcDB[[#This Row],[Dodavatel]],"Ostatné")</f>
        <v>DXC Technology Slovakia s.r.o.</v>
      </c>
    </row>
    <row r="500" spans="1:40" x14ac:dyDescent="0.3">
      <c r="A500" s="2" t="s">
        <v>656</v>
      </c>
      <c r="B500" s="2">
        <v>5826343</v>
      </c>
      <c r="C500" s="3" t="str">
        <f t="shared" si="496"/>
        <v>Nie</v>
      </c>
      <c r="D500" s="3" t="str">
        <f t="shared" si="497"/>
        <v>Áno</v>
      </c>
      <c r="E500" s="3" t="s">
        <v>48</v>
      </c>
      <c r="F500" s="3" t="s">
        <v>49</v>
      </c>
      <c r="G500" s="2" t="str">
        <f t="shared" si="498"/>
        <v>Malé zmluvy</v>
      </c>
      <c r="H500" s="5">
        <v>30845572</v>
      </c>
      <c r="I500" s="2" t="s">
        <v>116</v>
      </c>
      <c r="J500" s="2" t="s">
        <v>117</v>
      </c>
      <c r="K500" s="5">
        <v>35785306</v>
      </c>
      <c r="L500" s="2" t="s">
        <v>118</v>
      </c>
      <c r="M500" s="2" t="s">
        <v>119</v>
      </c>
      <c r="N500" s="6">
        <v>44377.637372685182</v>
      </c>
      <c r="O500" s="4">
        <v>330000</v>
      </c>
      <c r="P500" s="2">
        <v>114495</v>
      </c>
      <c r="Q500" s="2" t="s">
        <v>657</v>
      </c>
      <c r="R500" s="2" t="s">
        <v>658</v>
      </c>
      <c r="S500" s="2" t="s">
        <v>56</v>
      </c>
      <c r="T500" s="2" t="s">
        <v>661</v>
      </c>
      <c r="U500" s="2" t="s">
        <v>129</v>
      </c>
      <c r="W500" s="4">
        <v>932</v>
      </c>
      <c r="X500" s="4">
        <v>1118.4000000000001</v>
      </c>
      <c r="Y500" s="4">
        <f t="shared" ref="Y500" si="553">INDEX(InternalRates,MATCH($S500,InternalRates01,FALSE),2)</f>
        <v>278.98333333333335</v>
      </c>
      <c r="Z500" s="3" t="str">
        <f t="shared" si="549"/>
        <v>Nie</v>
      </c>
      <c r="AA500" s="3" t="str">
        <f t="shared" si="550"/>
        <v>SLA</v>
      </c>
      <c r="AD500" s="3" t="s">
        <v>48</v>
      </c>
      <c r="AE500" s="6">
        <v>44412</v>
      </c>
      <c r="AF500" s="3" t="s">
        <v>59</v>
      </c>
      <c r="AG500" s="3" t="s">
        <v>60</v>
      </c>
      <c r="AH500" s="3">
        <f>YEAR(SrcDB[[#This Row],[Datum_zverejnenia]])</f>
        <v>2021</v>
      </c>
      <c r="AI500" s="3" cm="1">
        <f t="array" ref="AI500">COUNT(_xlfn.UNIQUE(_xlfn._xlws.FILTER(SrcDB[ID],SrcDB[Objednavatel_ICO]=$H500)))</f>
        <v>3</v>
      </c>
      <c r="AJ500" s="3" cm="1">
        <f t="array" ref="AJ500">COUNT(_xlfn.UNIQUE(_xlfn._xlws.FILTER(SrcDB[ID],SrcDB[Dodavatel_ICO]=$K500)))</f>
        <v>9</v>
      </c>
      <c r="AK500" s="3">
        <f t="shared" si="502"/>
        <v>0</v>
      </c>
      <c r="AL500" s="3">
        <f t="shared" si="503"/>
        <v>0</v>
      </c>
      <c r="AM500" s="17" t="str">
        <f>IF(SrcDB[[#This Row],[Pocet zmluv objednavatela]]&gt;3,SrcDB[[#This Row],[Objednavatel]],"Ostatné")</f>
        <v>Ostatné</v>
      </c>
      <c r="AN500" s="17" t="str">
        <f>IF(SrcDB[[#This Row],[Pocet zmluv dodavatela]]&gt;3,SrcDB[[#This Row],[Dodavatel]],"Ostatné")</f>
        <v>DXC Technology Slovakia s.r.o.</v>
      </c>
    </row>
    <row r="501" spans="1:40" x14ac:dyDescent="0.3">
      <c r="A501" s="2" t="s">
        <v>656</v>
      </c>
      <c r="B501" s="2">
        <v>5826343</v>
      </c>
      <c r="C501" s="3" t="str">
        <f t="shared" si="496"/>
        <v>Nie</v>
      </c>
      <c r="D501" s="3" t="str">
        <f t="shared" si="497"/>
        <v>Áno</v>
      </c>
      <c r="E501" s="3" t="s">
        <v>48</v>
      </c>
      <c r="F501" s="3" t="s">
        <v>49</v>
      </c>
      <c r="G501" s="2" t="str">
        <f t="shared" si="498"/>
        <v>Malé zmluvy</v>
      </c>
      <c r="H501" s="5">
        <v>30845572</v>
      </c>
      <c r="I501" s="2" t="s">
        <v>116</v>
      </c>
      <c r="J501" s="2" t="s">
        <v>117</v>
      </c>
      <c r="K501" s="5">
        <v>35785306</v>
      </c>
      <c r="L501" s="2" t="s">
        <v>118</v>
      </c>
      <c r="M501" s="2" t="s">
        <v>119</v>
      </c>
      <c r="N501" s="6">
        <v>44377.637372685182</v>
      </c>
      <c r="O501" s="4">
        <v>330000</v>
      </c>
      <c r="P501" s="2">
        <v>114495</v>
      </c>
      <c r="Q501" s="2" t="s">
        <v>657</v>
      </c>
      <c r="R501" s="2" t="s">
        <v>658</v>
      </c>
      <c r="S501" s="2" t="s">
        <v>98</v>
      </c>
      <c r="T501" s="2" t="s">
        <v>130</v>
      </c>
      <c r="W501" s="4">
        <v>419</v>
      </c>
      <c r="X501" s="4">
        <v>502.8</v>
      </c>
      <c r="Y501" s="4">
        <f t="shared" ref="Y501" si="554">INDEX(InternalRates,MATCH($S501,InternalRates01,FALSE),2)</f>
        <v>278.98333333333335</v>
      </c>
      <c r="Z501" s="3" t="str">
        <f t="shared" si="549"/>
        <v>Nie</v>
      </c>
      <c r="AA501" s="3" t="str">
        <f t="shared" si="550"/>
        <v>SLA</v>
      </c>
      <c r="AD501" s="3" t="s">
        <v>48</v>
      </c>
      <c r="AE501" s="6">
        <v>44412</v>
      </c>
      <c r="AF501" s="3" t="s">
        <v>59</v>
      </c>
      <c r="AG501" s="3" t="s">
        <v>60</v>
      </c>
      <c r="AH501" s="3">
        <f>YEAR(SrcDB[[#This Row],[Datum_zverejnenia]])</f>
        <v>2021</v>
      </c>
      <c r="AI501" s="3" cm="1">
        <f t="array" ref="AI501">COUNT(_xlfn.UNIQUE(_xlfn._xlws.FILTER(SrcDB[ID],SrcDB[Objednavatel_ICO]=$H501)))</f>
        <v>3</v>
      </c>
      <c r="AJ501" s="3" cm="1">
        <f t="array" ref="AJ501">COUNT(_xlfn.UNIQUE(_xlfn._xlws.FILTER(SrcDB[ID],SrcDB[Dodavatel_ICO]=$K501)))</f>
        <v>9</v>
      </c>
      <c r="AK501" s="3">
        <f t="shared" si="502"/>
        <v>0</v>
      </c>
      <c r="AL501" s="3">
        <f t="shared" si="503"/>
        <v>0</v>
      </c>
      <c r="AM501" s="17" t="str">
        <f>IF(SrcDB[[#This Row],[Pocet zmluv objednavatela]]&gt;3,SrcDB[[#This Row],[Objednavatel]],"Ostatné")</f>
        <v>Ostatné</v>
      </c>
      <c r="AN501" s="17" t="str">
        <f>IF(SrcDB[[#This Row],[Pocet zmluv dodavatela]]&gt;3,SrcDB[[#This Row],[Dodavatel]],"Ostatné")</f>
        <v>DXC Technology Slovakia s.r.o.</v>
      </c>
    </row>
    <row r="502" spans="1:40" x14ac:dyDescent="0.3">
      <c r="A502" s="2" t="s">
        <v>662</v>
      </c>
      <c r="B502" s="2">
        <v>5869137</v>
      </c>
      <c r="C502" s="3" t="str">
        <f t="shared" si="496"/>
        <v>Áno</v>
      </c>
      <c r="D502" s="3" t="str">
        <f t="shared" si="497"/>
        <v>Nie</v>
      </c>
      <c r="E502" s="3" t="s">
        <v>49</v>
      </c>
      <c r="F502" s="3" t="s">
        <v>48</v>
      </c>
      <c r="G502" s="2" t="str">
        <f t="shared" si="498"/>
        <v>Veľké zmluvy</v>
      </c>
      <c r="H502" s="5">
        <v>50349287</v>
      </c>
      <c r="I502" s="2" t="s">
        <v>200</v>
      </c>
      <c r="J502" s="2" t="s">
        <v>603</v>
      </c>
      <c r="K502" s="5">
        <v>35785306</v>
      </c>
      <c r="L502" s="2" t="s">
        <v>118</v>
      </c>
      <c r="M502" s="2" t="s">
        <v>635</v>
      </c>
      <c r="N502" s="6">
        <v>44410.497245370374</v>
      </c>
      <c r="O502" s="4">
        <v>11941184.460000001</v>
      </c>
      <c r="P502" s="2">
        <v>2473554</v>
      </c>
      <c r="Q502" s="2" t="s">
        <v>663</v>
      </c>
      <c r="R502" s="2" t="s">
        <v>664</v>
      </c>
      <c r="S502" s="2" t="s">
        <v>71</v>
      </c>
      <c r="T502" s="2" t="s">
        <v>71</v>
      </c>
      <c r="W502" s="4">
        <v>686</v>
      </c>
      <c r="X502" s="4">
        <v>823.19999999999993</v>
      </c>
      <c r="Y502" s="4">
        <f t="shared" ref="Y502" si="555">INDEX(InternalRates,MATCH($S502,InternalRates01,FALSE),2)</f>
        <v>354.0333333333333</v>
      </c>
      <c r="Z502" s="3" t="str">
        <f t="shared" si="549"/>
        <v>Nie</v>
      </c>
      <c r="AA502" s="3" t="str">
        <f t="shared" si="550"/>
        <v>ZoD</v>
      </c>
      <c r="AB502" s="4">
        <v>208</v>
      </c>
      <c r="AC502" s="4">
        <v>73.411764705882348</v>
      </c>
      <c r="AD502" s="3" t="s">
        <v>49</v>
      </c>
      <c r="AE502" s="6">
        <v>44508</v>
      </c>
      <c r="AF502" s="3" t="s">
        <v>59</v>
      </c>
      <c r="AG502" s="3" t="s">
        <v>49</v>
      </c>
      <c r="AH502" s="3">
        <f>YEAR(SrcDB[[#This Row],[Datum_zverejnenia]])</f>
        <v>2021</v>
      </c>
      <c r="AI502" s="3" cm="1">
        <f t="array" ref="AI502">COUNT(_xlfn.UNIQUE(_xlfn._xlws.FILTER(SrcDB[ID],SrcDB[Objednavatel_ICO]=$H502)))</f>
        <v>7</v>
      </c>
      <c r="AJ502" s="3" cm="1">
        <f t="array" ref="AJ502">COUNT(_xlfn.UNIQUE(_xlfn._xlws.FILTER(SrcDB[ID],SrcDB[Dodavatel_ICO]=$K502)))</f>
        <v>9</v>
      </c>
      <c r="AK502" s="3">
        <f t="shared" si="502"/>
        <v>1</v>
      </c>
      <c r="AL502" s="3">
        <f t="shared" si="503"/>
        <v>1</v>
      </c>
      <c r="AM502" s="17" t="str">
        <f>IF(SrcDB[[#This Row],[Pocet zmluv objednavatela]]&gt;3,SrcDB[[#This Row],[Objednavatel]],"Ostatné")</f>
        <v>Ministerstvo investícií, regionálneho rozvoja a informatizácie Slovenskej republiky</v>
      </c>
      <c r="AN502" s="17" t="str">
        <f>IF(SrcDB[[#This Row],[Pocet zmluv dodavatela]]&gt;3,SrcDB[[#This Row],[Dodavatel]],"Ostatné")</f>
        <v>DXC Technology Slovakia s.r.o.</v>
      </c>
    </row>
    <row r="503" spans="1:40" x14ac:dyDescent="0.3">
      <c r="A503" s="2" t="s">
        <v>662</v>
      </c>
      <c r="B503" s="2">
        <v>5869137</v>
      </c>
      <c r="C503" s="3" t="str">
        <f t="shared" si="496"/>
        <v>Áno</v>
      </c>
      <c r="D503" s="3" t="str">
        <f t="shared" si="497"/>
        <v>Nie</v>
      </c>
      <c r="E503" s="3" t="s">
        <v>49</v>
      </c>
      <c r="F503" s="3" t="s">
        <v>48</v>
      </c>
      <c r="G503" s="2" t="str">
        <f t="shared" si="498"/>
        <v>Veľké zmluvy</v>
      </c>
      <c r="H503" s="5">
        <v>50349287</v>
      </c>
      <c r="I503" s="2" t="s">
        <v>200</v>
      </c>
      <c r="J503" s="2" t="s">
        <v>603</v>
      </c>
      <c r="K503" s="5">
        <v>35785306</v>
      </c>
      <c r="L503" s="2" t="s">
        <v>118</v>
      </c>
      <c r="M503" s="2" t="s">
        <v>665</v>
      </c>
      <c r="N503" s="6">
        <v>44410.497245370374</v>
      </c>
      <c r="O503" s="4">
        <v>11941184.460000001</v>
      </c>
      <c r="P503" s="2">
        <v>2473554</v>
      </c>
      <c r="Q503" s="2" t="s">
        <v>663</v>
      </c>
      <c r="R503" s="2" t="s">
        <v>664</v>
      </c>
      <c r="S503" s="2" t="s">
        <v>79</v>
      </c>
      <c r="T503" s="2" t="s">
        <v>79</v>
      </c>
      <c r="W503" s="4">
        <v>366</v>
      </c>
      <c r="X503" s="4">
        <v>439.2</v>
      </c>
      <c r="Y503" s="4">
        <f t="shared" ref="Y503" si="556">INDEX(InternalRates,MATCH($S503,InternalRates01,FALSE),2)</f>
        <v>278.98333333333335</v>
      </c>
      <c r="Z503" s="3" t="str">
        <f t="shared" si="549"/>
        <v>Nie</v>
      </c>
      <c r="AA503" s="3" t="str">
        <f t="shared" si="550"/>
        <v>ZoD</v>
      </c>
      <c r="AB503" s="4">
        <v>2774</v>
      </c>
      <c r="AC503" s="4">
        <v>979.05882352941171</v>
      </c>
      <c r="AD503" s="3" t="s">
        <v>49</v>
      </c>
      <c r="AE503" s="6">
        <v>44508</v>
      </c>
      <c r="AF503" s="3" t="s">
        <v>59</v>
      </c>
      <c r="AG503" s="3" t="s">
        <v>49</v>
      </c>
      <c r="AH503" s="3">
        <f>YEAR(SrcDB[[#This Row],[Datum_zverejnenia]])</f>
        <v>2021</v>
      </c>
      <c r="AI503" s="3" cm="1">
        <f t="array" ref="AI503">COUNT(_xlfn.UNIQUE(_xlfn._xlws.FILTER(SrcDB[ID],SrcDB[Objednavatel_ICO]=$H503)))</f>
        <v>7</v>
      </c>
      <c r="AJ503" s="3" cm="1">
        <f t="array" ref="AJ503">COUNT(_xlfn.UNIQUE(_xlfn._xlws.FILTER(SrcDB[ID],SrcDB[Dodavatel_ICO]=$K503)))</f>
        <v>9</v>
      </c>
      <c r="AK503" s="3">
        <f t="shared" si="502"/>
        <v>0</v>
      </c>
      <c r="AL503" s="3">
        <f t="shared" si="503"/>
        <v>0</v>
      </c>
      <c r="AM503" s="17" t="str">
        <f>IF(SrcDB[[#This Row],[Pocet zmluv objednavatela]]&gt;3,SrcDB[[#This Row],[Objednavatel]],"Ostatné")</f>
        <v>Ministerstvo investícií, regionálneho rozvoja a informatizácie Slovenskej republiky</v>
      </c>
      <c r="AN503" s="17" t="str">
        <f>IF(SrcDB[[#This Row],[Pocet zmluv dodavatela]]&gt;3,SrcDB[[#This Row],[Dodavatel]],"Ostatné")</f>
        <v>DXC Technology Slovakia s.r.o.</v>
      </c>
    </row>
    <row r="504" spans="1:40" x14ac:dyDescent="0.3">
      <c r="A504" s="2" t="s">
        <v>662</v>
      </c>
      <c r="B504" s="2">
        <v>5869137</v>
      </c>
      <c r="C504" s="3" t="str">
        <f t="shared" si="496"/>
        <v>Áno</v>
      </c>
      <c r="D504" s="3" t="str">
        <f t="shared" si="497"/>
        <v>Nie</v>
      </c>
      <c r="E504" s="3" t="s">
        <v>49</v>
      </c>
      <c r="F504" s="3" t="s">
        <v>48</v>
      </c>
      <c r="G504" s="2" t="str">
        <f t="shared" si="498"/>
        <v>Veľké zmluvy</v>
      </c>
      <c r="H504" s="5">
        <v>50349287</v>
      </c>
      <c r="I504" s="2" t="s">
        <v>200</v>
      </c>
      <c r="J504" s="2" t="s">
        <v>603</v>
      </c>
      <c r="K504" s="5">
        <v>35785306</v>
      </c>
      <c r="L504" s="2" t="s">
        <v>118</v>
      </c>
      <c r="M504" s="2" t="s">
        <v>666</v>
      </c>
      <c r="N504" s="6">
        <v>44410.497245370374</v>
      </c>
      <c r="O504" s="4">
        <v>11941184.460000001</v>
      </c>
      <c r="P504" s="2">
        <v>2473554</v>
      </c>
      <c r="Q504" s="2" t="s">
        <v>663</v>
      </c>
      <c r="R504" s="2" t="s">
        <v>664</v>
      </c>
      <c r="S504" s="2" t="s">
        <v>77</v>
      </c>
      <c r="T504" s="2" t="s">
        <v>77</v>
      </c>
      <c r="W504" s="4">
        <v>452</v>
      </c>
      <c r="X504" s="4">
        <v>542.4</v>
      </c>
      <c r="Y504" s="4">
        <f t="shared" ref="Y504" si="557">INDEX(InternalRates,MATCH($S504,InternalRates01,FALSE),2)</f>
        <v>278.98333333333335</v>
      </c>
      <c r="Z504" s="3" t="str">
        <f t="shared" si="549"/>
        <v>Nie</v>
      </c>
      <c r="AA504" s="3" t="str">
        <f t="shared" si="550"/>
        <v>ZoD</v>
      </c>
      <c r="AB504" s="4">
        <v>1235</v>
      </c>
      <c r="AC504" s="4">
        <v>435.88235294117646</v>
      </c>
      <c r="AD504" s="3" t="s">
        <v>49</v>
      </c>
      <c r="AE504" s="6">
        <v>44508</v>
      </c>
      <c r="AF504" s="3" t="s">
        <v>59</v>
      </c>
      <c r="AG504" s="3" t="s">
        <v>49</v>
      </c>
      <c r="AH504" s="3">
        <f>YEAR(SrcDB[[#This Row],[Datum_zverejnenia]])</f>
        <v>2021</v>
      </c>
      <c r="AI504" s="3" cm="1">
        <f t="array" ref="AI504">COUNT(_xlfn.UNIQUE(_xlfn._xlws.FILTER(SrcDB[ID],SrcDB[Objednavatel_ICO]=$H504)))</f>
        <v>7</v>
      </c>
      <c r="AJ504" s="3" cm="1">
        <f t="array" ref="AJ504">COUNT(_xlfn.UNIQUE(_xlfn._xlws.FILTER(SrcDB[ID],SrcDB[Dodavatel_ICO]=$K504)))</f>
        <v>9</v>
      </c>
      <c r="AK504" s="3">
        <f t="shared" si="502"/>
        <v>0</v>
      </c>
      <c r="AL504" s="3">
        <f t="shared" si="503"/>
        <v>0</v>
      </c>
      <c r="AM504" s="17" t="str">
        <f>IF(SrcDB[[#This Row],[Pocet zmluv objednavatela]]&gt;3,SrcDB[[#This Row],[Objednavatel]],"Ostatné")</f>
        <v>Ministerstvo investícií, regionálneho rozvoja a informatizácie Slovenskej republiky</v>
      </c>
      <c r="AN504" s="17" t="str">
        <f>IF(SrcDB[[#This Row],[Pocet zmluv dodavatela]]&gt;3,SrcDB[[#This Row],[Dodavatel]],"Ostatné")</f>
        <v>DXC Technology Slovakia s.r.o.</v>
      </c>
    </row>
    <row r="505" spans="1:40" x14ac:dyDescent="0.3">
      <c r="A505" s="2" t="s">
        <v>662</v>
      </c>
      <c r="B505" s="2">
        <v>5869137</v>
      </c>
      <c r="C505" s="3" t="str">
        <f t="shared" si="496"/>
        <v>Áno</v>
      </c>
      <c r="D505" s="3" t="str">
        <f t="shared" si="497"/>
        <v>Nie</v>
      </c>
      <c r="E505" s="3" t="s">
        <v>49</v>
      </c>
      <c r="F505" s="3" t="s">
        <v>48</v>
      </c>
      <c r="G505" s="2" t="str">
        <f t="shared" si="498"/>
        <v>Veľké zmluvy</v>
      </c>
      <c r="H505" s="5">
        <v>50349287</v>
      </c>
      <c r="I505" s="2" t="s">
        <v>200</v>
      </c>
      <c r="J505" s="2" t="s">
        <v>603</v>
      </c>
      <c r="K505" s="5">
        <v>35785306</v>
      </c>
      <c r="L505" s="2" t="s">
        <v>118</v>
      </c>
      <c r="M505" s="2" t="s">
        <v>667</v>
      </c>
      <c r="N505" s="6">
        <v>44410.497245370374</v>
      </c>
      <c r="O505" s="4">
        <v>11941184.460000001</v>
      </c>
      <c r="P505" s="2">
        <v>2473554</v>
      </c>
      <c r="Q505" s="2" t="s">
        <v>663</v>
      </c>
      <c r="R505" s="2" t="s">
        <v>664</v>
      </c>
      <c r="S505" s="2" t="s">
        <v>69</v>
      </c>
      <c r="T505" s="2" t="s">
        <v>70</v>
      </c>
      <c r="W505" s="4">
        <v>605</v>
      </c>
      <c r="X505" s="4">
        <v>726</v>
      </c>
      <c r="Y505" s="4">
        <f t="shared" ref="Y505" si="558">INDEX(InternalRates,MATCH($S505,InternalRates01,FALSE),2)</f>
        <v>278.98333333333335</v>
      </c>
      <c r="Z505" s="3" t="str">
        <f t="shared" si="549"/>
        <v>Nie</v>
      </c>
      <c r="AA505" s="3" t="str">
        <f t="shared" si="550"/>
        <v>ZoD</v>
      </c>
      <c r="AB505" s="4">
        <v>544</v>
      </c>
      <c r="AC505" s="4">
        <v>192</v>
      </c>
      <c r="AD505" s="3" t="s">
        <v>49</v>
      </c>
      <c r="AE505" s="6">
        <v>44508</v>
      </c>
      <c r="AF505" s="3" t="s">
        <v>59</v>
      </c>
      <c r="AG505" s="3" t="s">
        <v>49</v>
      </c>
      <c r="AH505" s="3">
        <f>YEAR(SrcDB[[#This Row],[Datum_zverejnenia]])</f>
        <v>2021</v>
      </c>
      <c r="AI505" s="3" cm="1">
        <f t="array" ref="AI505">COUNT(_xlfn.UNIQUE(_xlfn._xlws.FILTER(SrcDB[ID],SrcDB[Objednavatel_ICO]=$H505)))</f>
        <v>7</v>
      </c>
      <c r="AJ505" s="3" cm="1">
        <f t="array" ref="AJ505">COUNT(_xlfn.UNIQUE(_xlfn._xlws.FILTER(SrcDB[ID],SrcDB[Dodavatel_ICO]=$K505)))</f>
        <v>9</v>
      </c>
      <c r="AK505" s="3">
        <f t="shared" si="502"/>
        <v>0</v>
      </c>
      <c r="AL505" s="3">
        <f t="shared" si="503"/>
        <v>0</v>
      </c>
      <c r="AM505" s="17" t="str">
        <f>IF(SrcDB[[#This Row],[Pocet zmluv objednavatela]]&gt;3,SrcDB[[#This Row],[Objednavatel]],"Ostatné")</f>
        <v>Ministerstvo investícií, regionálneho rozvoja a informatizácie Slovenskej republiky</v>
      </c>
      <c r="AN505" s="17" t="str">
        <f>IF(SrcDB[[#This Row],[Pocet zmluv dodavatela]]&gt;3,SrcDB[[#This Row],[Dodavatel]],"Ostatné")</f>
        <v>DXC Technology Slovakia s.r.o.</v>
      </c>
    </row>
    <row r="506" spans="1:40" x14ac:dyDescent="0.3">
      <c r="A506" s="2" t="s">
        <v>662</v>
      </c>
      <c r="B506" s="2">
        <v>5869137</v>
      </c>
      <c r="C506" s="3" t="str">
        <f t="shared" si="496"/>
        <v>Áno</v>
      </c>
      <c r="D506" s="3" t="str">
        <f t="shared" si="497"/>
        <v>Nie</v>
      </c>
      <c r="E506" s="3" t="s">
        <v>49</v>
      </c>
      <c r="F506" s="3" t="s">
        <v>48</v>
      </c>
      <c r="G506" s="2" t="str">
        <f t="shared" si="498"/>
        <v>Veľké zmluvy</v>
      </c>
      <c r="H506" s="5">
        <v>50349287</v>
      </c>
      <c r="I506" s="2" t="s">
        <v>200</v>
      </c>
      <c r="J506" s="2" t="s">
        <v>603</v>
      </c>
      <c r="K506" s="5">
        <v>35785306</v>
      </c>
      <c r="L506" s="2" t="s">
        <v>118</v>
      </c>
      <c r="M506" s="2" t="s">
        <v>668</v>
      </c>
      <c r="N506" s="6">
        <v>44410.497245370374</v>
      </c>
      <c r="O506" s="4">
        <v>11941184.460000001</v>
      </c>
      <c r="P506" s="2">
        <v>2473554</v>
      </c>
      <c r="Q506" s="2" t="s">
        <v>663</v>
      </c>
      <c r="R506" s="2" t="s">
        <v>664</v>
      </c>
      <c r="S506" s="2" t="s">
        <v>73</v>
      </c>
      <c r="T506" s="2" t="s">
        <v>669</v>
      </c>
      <c r="W506" s="4">
        <v>589</v>
      </c>
      <c r="X506" s="4">
        <v>706.8</v>
      </c>
      <c r="Y506" s="4">
        <f t="shared" ref="Y506" si="559">INDEX(InternalRates,MATCH($S506,InternalRates01,FALSE),2)</f>
        <v>278.98333333333335</v>
      </c>
      <c r="Z506" s="3" t="str">
        <f t="shared" si="549"/>
        <v>Nie</v>
      </c>
      <c r="AA506" s="3" t="str">
        <f t="shared" si="550"/>
        <v>ZoD</v>
      </c>
      <c r="AB506" s="4">
        <v>3699</v>
      </c>
      <c r="AC506" s="4">
        <v>1305.5294117647059</v>
      </c>
      <c r="AD506" s="3" t="s">
        <v>49</v>
      </c>
      <c r="AE506" s="6">
        <v>44508</v>
      </c>
      <c r="AF506" s="3" t="s">
        <v>59</v>
      </c>
      <c r="AG506" s="3" t="s">
        <v>49</v>
      </c>
      <c r="AH506" s="3">
        <f>YEAR(SrcDB[[#This Row],[Datum_zverejnenia]])</f>
        <v>2021</v>
      </c>
      <c r="AI506" s="3" cm="1">
        <f t="array" ref="AI506">COUNT(_xlfn.UNIQUE(_xlfn._xlws.FILTER(SrcDB[ID],SrcDB[Objednavatel_ICO]=$H506)))</f>
        <v>7</v>
      </c>
      <c r="AJ506" s="3" cm="1">
        <f t="array" ref="AJ506">COUNT(_xlfn.UNIQUE(_xlfn._xlws.FILTER(SrcDB[ID],SrcDB[Dodavatel_ICO]=$K506)))</f>
        <v>9</v>
      </c>
      <c r="AK506" s="3">
        <f t="shared" si="502"/>
        <v>0</v>
      </c>
      <c r="AL506" s="3">
        <f t="shared" si="503"/>
        <v>0</v>
      </c>
      <c r="AM506" s="17" t="str">
        <f>IF(SrcDB[[#This Row],[Pocet zmluv objednavatela]]&gt;3,SrcDB[[#This Row],[Objednavatel]],"Ostatné")</f>
        <v>Ministerstvo investícií, regionálneho rozvoja a informatizácie Slovenskej republiky</v>
      </c>
      <c r="AN506" s="17" t="str">
        <f>IF(SrcDB[[#This Row],[Pocet zmluv dodavatela]]&gt;3,SrcDB[[#This Row],[Dodavatel]],"Ostatné")</f>
        <v>DXC Technology Slovakia s.r.o.</v>
      </c>
    </row>
    <row r="507" spans="1:40" x14ac:dyDescent="0.3">
      <c r="A507" s="2" t="s">
        <v>662</v>
      </c>
      <c r="B507" s="2">
        <v>5869137</v>
      </c>
      <c r="C507" s="3" t="str">
        <f t="shared" si="496"/>
        <v>Áno</v>
      </c>
      <c r="D507" s="3" t="str">
        <f t="shared" si="497"/>
        <v>Nie</v>
      </c>
      <c r="E507" s="3" t="s">
        <v>49</v>
      </c>
      <c r="F507" s="3" t="s">
        <v>48</v>
      </c>
      <c r="G507" s="2" t="str">
        <f t="shared" si="498"/>
        <v>Veľké zmluvy</v>
      </c>
      <c r="H507" s="5">
        <v>50349287</v>
      </c>
      <c r="I507" s="2" t="s">
        <v>200</v>
      </c>
      <c r="J507" s="2" t="s">
        <v>603</v>
      </c>
      <c r="K507" s="5">
        <v>35785306</v>
      </c>
      <c r="L507" s="2" t="s">
        <v>118</v>
      </c>
      <c r="M507" s="2" t="s">
        <v>670</v>
      </c>
      <c r="N507" s="6">
        <v>44410.497245370374</v>
      </c>
      <c r="O507" s="4">
        <v>11941184.460000001</v>
      </c>
      <c r="P507" s="2">
        <v>2473554</v>
      </c>
      <c r="Q507" s="2" t="s">
        <v>663</v>
      </c>
      <c r="R507" s="2" t="s">
        <v>664</v>
      </c>
      <c r="S507" s="2" t="s">
        <v>56</v>
      </c>
      <c r="T507" s="2" t="s">
        <v>94</v>
      </c>
      <c r="U507" s="2" t="s">
        <v>95</v>
      </c>
      <c r="W507" s="4">
        <v>433</v>
      </c>
      <c r="X507" s="4">
        <v>519.6</v>
      </c>
      <c r="Y507" s="4">
        <f t="shared" ref="Y507" si="560">INDEX(InternalRates,MATCH($S507,InternalRates01,FALSE),2)</f>
        <v>278.98333333333335</v>
      </c>
      <c r="Z507" s="3" t="str">
        <f t="shared" si="549"/>
        <v>Nie</v>
      </c>
      <c r="AA507" s="3" t="str">
        <f t="shared" si="550"/>
        <v>ZoD</v>
      </c>
      <c r="AB507" s="4">
        <v>433</v>
      </c>
      <c r="AC507" s="4">
        <v>152.8235294117647</v>
      </c>
      <c r="AD507" s="3" t="s">
        <v>49</v>
      </c>
      <c r="AE507" s="6">
        <v>44508</v>
      </c>
      <c r="AF507" s="3" t="s">
        <v>59</v>
      </c>
      <c r="AG507" s="3" t="s">
        <v>49</v>
      </c>
      <c r="AH507" s="3">
        <f>YEAR(SrcDB[[#This Row],[Datum_zverejnenia]])</f>
        <v>2021</v>
      </c>
      <c r="AI507" s="3" cm="1">
        <f t="array" ref="AI507">COUNT(_xlfn.UNIQUE(_xlfn._xlws.FILTER(SrcDB[ID],SrcDB[Objednavatel_ICO]=$H507)))</f>
        <v>7</v>
      </c>
      <c r="AJ507" s="3" cm="1">
        <f t="array" ref="AJ507">COUNT(_xlfn.UNIQUE(_xlfn._xlws.FILTER(SrcDB[ID],SrcDB[Dodavatel_ICO]=$K507)))</f>
        <v>9</v>
      </c>
      <c r="AK507" s="3">
        <f t="shared" si="502"/>
        <v>0</v>
      </c>
      <c r="AL507" s="3">
        <f t="shared" si="503"/>
        <v>0</v>
      </c>
      <c r="AM507" s="17" t="str">
        <f>IF(SrcDB[[#This Row],[Pocet zmluv objednavatela]]&gt;3,SrcDB[[#This Row],[Objednavatel]],"Ostatné")</f>
        <v>Ministerstvo investícií, regionálneho rozvoja a informatizácie Slovenskej republiky</v>
      </c>
      <c r="AN507" s="17" t="str">
        <f>IF(SrcDB[[#This Row],[Pocet zmluv dodavatela]]&gt;3,SrcDB[[#This Row],[Dodavatel]],"Ostatné")</f>
        <v>DXC Technology Slovakia s.r.o.</v>
      </c>
    </row>
    <row r="508" spans="1:40" x14ac:dyDescent="0.3">
      <c r="A508" s="2" t="s">
        <v>662</v>
      </c>
      <c r="B508" s="2">
        <v>5869137</v>
      </c>
      <c r="C508" s="3" t="str">
        <f t="shared" si="496"/>
        <v>Áno</v>
      </c>
      <c r="D508" s="3" t="str">
        <f t="shared" si="497"/>
        <v>Nie</v>
      </c>
      <c r="E508" s="3" t="s">
        <v>49</v>
      </c>
      <c r="F508" s="3" t="s">
        <v>48</v>
      </c>
      <c r="G508" s="2" t="str">
        <f t="shared" si="498"/>
        <v>Veľké zmluvy</v>
      </c>
      <c r="H508" s="5">
        <v>50349287</v>
      </c>
      <c r="I508" s="2" t="s">
        <v>200</v>
      </c>
      <c r="J508" s="2" t="s">
        <v>603</v>
      </c>
      <c r="K508" s="5">
        <v>35785306</v>
      </c>
      <c r="L508" s="2" t="s">
        <v>118</v>
      </c>
      <c r="M508" s="2" t="s">
        <v>671</v>
      </c>
      <c r="N508" s="6">
        <v>44410.497245370374</v>
      </c>
      <c r="O508" s="4">
        <v>11941184.460000001</v>
      </c>
      <c r="P508" s="2">
        <v>2473554</v>
      </c>
      <c r="Q508" s="2" t="s">
        <v>663</v>
      </c>
      <c r="R508" s="2" t="s">
        <v>664</v>
      </c>
      <c r="S508" s="2" t="s">
        <v>56</v>
      </c>
      <c r="T508" s="2" t="s">
        <v>96</v>
      </c>
      <c r="U508" s="2" t="s">
        <v>97</v>
      </c>
      <c r="W508" s="4">
        <v>452</v>
      </c>
      <c r="X508" s="4">
        <v>542.4</v>
      </c>
      <c r="Y508" s="4">
        <f t="shared" ref="Y508" si="561">INDEX(InternalRates,MATCH($S508,InternalRates01,FALSE),2)</f>
        <v>278.98333333333335</v>
      </c>
      <c r="Z508" s="3" t="str">
        <f t="shared" si="549"/>
        <v>Nie</v>
      </c>
      <c r="AA508" s="3" t="str">
        <f t="shared" si="550"/>
        <v>ZoD</v>
      </c>
      <c r="AB508" s="4">
        <v>746</v>
      </c>
      <c r="AC508" s="4">
        <v>263.29411764705884</v>
      </c>
      <c r="AD508" s="3" t="s">
        <v>49</v>
      </c>
      <c r="AE508" s="6">
        <v>44508</v>
      </c>
      <c r="AF508" s="3" t="s">
        <v>59</v>
      </c>
      <c r="AG508" s="3" t="s">
        <v>49</v>
      </c>
      <c r="AH508" s="3">
        <f>YEAR(SrcDB[[#This Row],[Datum_zverejnenia]])</f>
        <v>2021</v>
      </c>
      <c r="AI508" s="3" cm="1">
        <f t="array" ref="AI508">COUNT(_xlfn.UNIQUE(_xlfn._xlws.FILTER(SrcDB[ID],SrcDB[Objednavatel_ICO]=$H508)))</f>
        <v>7</v>
      </c>
      <c r="AJ508" s="3" cm="1">
        <f t="array" ref="AJ508">COUNT(_xlfn.UNIQUE(_xlfn._xlws.FILTER(SrcDB[ID],SrcDB[Dodavatel_ICO]=$K508)))</f>
        <v>9</v>
      </c>
      <c r="AK508" s="3">
        <f t="shared" si="502"/>
        <v>0</v>
      </c>
      <c r="AL508" s="3">
        <f t="shared" si="503"/>
        <v>0</v>
      </c>
      <c r="AM508" s="17" t="str">
        <f>IF(SrcDB[[#This Row],[Pocet zmluv objednavatela]]&gt;3,SrcDB[[#This Row],[Objednavatel]],"Ostatné")</f>
        <v>Ministerstvo investícií, regionálneho rozvoja a informatizácie Slovenskej republiky</v>
      </c>
      <c r="AN508" s="17" t="str">
        <f>IF(SrcDB[[#This Row],[Pocet zmluv dodavatela]]&gt;3,SrcDB[[#This Row],[Dodavatel]],"Ostatné")</f>
        <v>DXC Technology Slovakia s.r.o.</v>
      </c>
    </row>
    <row r="509" spans="1:40" x14ac:dyDescent="0.3">
      <c r="A509" s="2" t="s">
        <v>662</v>
      </c>
      <c r="B509" s="2">
        <v>5869137</v>
      </c>
      <c r="C509" s="3" t="str">
        <f t="shared" si="496"/>
        <v>Áno</v>
      </c>
      <c r="D509" s="3" t="str">
        <f t="shared" si="497"/>
        <v>Nie</v>
      </c>
      <c r="E509" s="3" t="s">
        <v>49</v>
      </c>
      <c r="F509" s="3" t="s">
        <v>48</v>
      </c>
      <c r="G509" s="2" t="str">
        <f t="shared" si="498"/>
        <v>Veľké zmluvy</v>
      </c>
      <c r="H509" s="5">
        <v>50349287</v>
      </c>
      <c r="I509" s="2" t="s">
        <v>200</v>
      </c>
      <c r="J509" s="2" t="s">
        <v>603</v>
      </c>
      <c r="K509" s="5">
        <v>35785306</v>
      </c>
      <c r="L509" s="2" t="s">
        <v>118</v>
      </c>
      <c r="M509" s="2" t="s">
        <v>672</v>
      </c>
      <c r="N509" s="6">
        <v>44410.497245370374</v>
      </c>
      <c r="O509" s="4">
        <v>11941184.460000001</v>
      </c>
      <c r="P509" s="2">
        <v>2473554</v>
      </c>
      <c r="Q509" s="2" t="s">
        <v>663</v>
      </c>
      <c r="R509" s="2" t="s">
        <v>664</v>
      </c>
      <c r="S509" s="2" t="s">
        <v>56</v>
      </c>
      <c r="T509" s="2" t="s">
        <v>288</v>
      </c>
      <c r="U509" s="2" t="s">
        <v>289</v>
      </c>
      <c r="W509" s="4">
        <v>452</v>
      </c>
      <c r="X509" s="4">
        <v>542.4</v>
      </c>
      <c r="Y509" s="4">
        <f t="shared" ref="Y509" si="562">INDEX(InternalRates,MATCH($S509,InternalRates01,FALSE),2)</f>
        <v>278.98333333333335</v>
      </c>
      <c r="Z509" s="3" t="str">
        <f t="shared" si="549"/>
        <v>Nie</v>
      </c>
      <c r="AA509" s="3" t="str">
        <f t="shared" si="550"/>
        <v>ZoD</v>
      </c>
      <c r="AB509" s="4">
        <v>984</v>
      </c>
      <c r="AC509" s="4">
        <v>347.29411764705884</v>
      </c>
      <c r="AD509" s="3" t="s">
        <v>49</v>
      </c>
      <c r="AE509" s="6">
        <v>44508</v>
      </c>
      <c r="AF509" s="3" t="s">
        <v>59</v>
      </c>
      <c r="AG509" s="3" t="s">
        <v>49</v>
      </c>
      <c r="AH509" s="3">
        <f>YEAR(SrcDB[[#This Row],[Datum_zverejnenia]])</f>
        <v>2021</v>
      </c>
      <c r="AI509" s="3" cm="1">
        <f t="array" ref="AI509">COUNT(_xlfn.UNIQUE(_xlfn._xlws.FILTER(SrcDB[ID],SrcDB[Objednavatel_ICO]=$H509)))</f>
        <v>7</v>
      </c>
      <c r="AJ509" s="3" cm="1">
        <f t="array" ref="AJ509">COUNT(_xlfn.UNIQUE(_xlfn._xlws.FILTER(SrcDB[ID],SrcDB[Dodavatel_ICO]=$K509)))</f>
        <v>9</v>
      </c>
      <c r="AK509" s="3">
        <f t="shared" si="502"/>
        <v>0</v>
      </c>
      <c r="AL509" s="3">
        <f t="shared" si="503"/>
        <v>0</v>
      </c>
      <c r="AM509" s="17" t="str">
        <f>IF(SrcDB[[#This Row],[Pocet zmluv objednavatela]]&gt;3,SrcDB[[#This Row],[Objednavatel]],"Ostatné")</f>
        <v>Ministerstvo investícií, regionálneho rozvoja a informatizácie Slovenskej republiky</v>
      </c>
      <c r="AN509" s="17" t="str">
        <f>IF(SrcDB[[#This Row],[Pocet zmluv dodavatela]]&gt;3,SrcDB[[#This Row],[Dodavatel]],"Ostatné")</f>
        <v>DXC Technology Slovakia s.r.o.</v>
      </c>
    </row>
    <row r="510" spans="1:40" x14ac:dyDescent="0.3">
      <c r="A510" s="2" t="s">
        <v>662</v>
      </c>
      <c r="B510" s="2">
        <v>5869137</v>
      </c>
      <c r="C510" s="3" t="str">
        <f t="shared" si="496"/>
        <v>Áno</v>
      </c>
      <c r="D510" s="3" t="str">
        <f t="shared" si="497"/>
        <v>Nie</v>
      </c>
      <c r="E510" s="3" t="s">
        <v>49</v>
      </c>
      <c r="F510" s="3" t="s">
        <v>48</v>
      </c>
      <c r="G510" s="2" t="str">
        <f t="shared" si="498"/>
        <v>Veľké zmluvy</v>
      </c>
      <c r="H510" s="5">
        <v>50349287</v>
      </c>
      <c r="I510" s="2" t="s">
        <v>200</v>
      </c>
      <c r="J510" s="2" t="s">
        <v>603</v>
      </c>
      <c r="K510" s="5">
        <v>35785306</v>
      </c>
      <c r="L510" s="2" t="s">
        <v>118</v>
      </c>
      <c r="M510" s="2" t="s">
        <v>673</v>
      </c>
      <c r="N510" s="6">
        <v>44410.497245370374</v>
      </c>
      <c r="O510" s="4">
        <v>11941184.460000001</v>
      </c>
      <c r="P510" s="2">
        <v>2473554</v>
      </c>
      <c r="Q510" s="2" t="s">
        <v>663</v>
      </c>
      <c r="R510" s="2" t="s">
        <v>664</v>
      </c>
      <c r="S510" s="2" t="s">
        <v>98</v>
      </c>
      <c r="T510" s="2" t="s">
        <v>287</v>
      </c>
      <c r="W510" s="4">
        <v>371</v>
      </c>
      <c r="X510" s="4">
        <v>445.2</v>
      </c>
      <c r="Y510" s="4">
        <f t="shared" ref="Y510" si="563">INDEX(InternalRates,MATCH($S510,InternalRates01,FALSE),2)</f>
        <v>278.98333333333335</v>
      </c>
      <c r="Z510" s="3" t="str">
        <f t="shared" si="549"/>
        <v>Nie</v>
      </c>
      <c r="AA510" s="3" t="str">
        <f t="shared" si="550"/>
        <v>ZoD</v>
      </c>
      <c r="AB510" s="4">
        <v>70</v>
      </c>
      <c r="AC510" s="4">
        <v>24.705882352941178</v>
      </c>
      <c r="AD510" s="3" t="s">
        <v>49</v>
      </c>
      <c r="AE510" s="6">
        <v>44508</v>
      </c>
      <c r="AF510" s="3" t="s">
        <v>59</v>
      </c>
      <c r="AG510" s="3" t="s">
        <v>49</v>
      </c>
      <c r="AH510" s="3">
        <f>YEAR(SrcDB[[#This Row],[Datum_zverejnenia]])</f>
        <v>2021</v>
      </c>
      <c r="AI510" s="3" cm="1">
        <f t="array" ref="AI510">COUNT(_xlfn.UNIQUE(_xlfn._xlws.FILTER(SrcDB[ID],SrcDB[Objednavatel_ICO]=$H510)))</f>
        <v>7</v>
      </c>
      <c r="AJ510" s="3" cm="1">
        <f t="array" ref="AJ510">COUNT(_xlfn.UNIQUE(_xlfn._xlws.FILTER(SrcDB[ID],SrcDB[Dodavatel_ICO]=$K510)))</f>
        <v>9</v>
      </c>
      <c r="AK510" s="3">
        <f t="shared" si="502"/>
        <v>0</v>
      </c>
      <c r="AL510" s="3">
        <f t="shared" si="503"/>
        <v>0</v>
      </c>
      <c r="AM510" s="17" t="str">
        <f>IF(SrcDB[[#This Row],[Pocet zmluv objednavatela]]&gt;3,SrcDB[[#This Row],[Objednavatel]],"Ostatné")</f>
        <v>Ministerstvo investícií, regionálneho rozvoja a informatizácie Slovenskej republiky</v>
      </c>
      <c r="AN510" s="17" t="str">
        <f>IF(SrcDB[[#This Row],[Pocet zmluv dodavatela]]&gt;3,SrcDB[[#This Row],[Dodavatel]],"Ostatné")</f>
        <v>DXC Technology Slovakia s.r.o.</v>
      </c>
    </row>
    <row r="511" spans="1:40" x14ac:dyDescent="0.3">
      <c r="A511" s="2" t="s">
        <v>662</v>
      </c>
      <c r="B511" s="2">
        <v>5869137</v>
      </c>
      <c r="C511" s="3" t="str">
        <f t="shared" si="496"/>
        <v>Áno</v>
      </c>
      <c r="D511" s="3" t="str">
        <f t="shared" si="497"/>
        <v>Nie</v>
      </c>
      <c r="E511" s="3" t="s">
        <v>49</v>
      </c>
      <c r="F511" s="3" t="s">
        <v>48</v>
      </c>
      <c r="G511" s="2" t="str">
        <f t="shared" si="498"/>
        <v>Veľké zmluvy</v>
      </c>
      <c r="H511" s="5">
        <v>50349287</v>
      </c>
      <c r="I511" s="2" t="s">
        <v>200</v>
      </c>
      <c r="J511" s="2" t="s">
        <v>603</v>
      </c>
      <c r="K511" s="5">
        <v>35785306</v>
      </c>
      <c r="L511" s="2" t="s">
        <v>118</v>
      </c>
      <c r="M511" s="2" t="s">
        <v>674</v>
      </c>
      <c r="N511" s="6">
        <v>44410.497245370374</v>
      </c>
      <c r="O511" s="4">
        <v>11941184.460000001</v>
      </c>
      <c r="P511" s="2">
        <v>2473554</v>
      </c>
      <c r="Q511" s="2" t="s">
        <v>663</v>
      </c>
      <c r="R511" s="2" t="s">
        <v>664</v>
      </c>
      <c r="S511" s="2" t="s">
        <v>56</v>
      </c>
      <c r="T511" s="2" t="s">
        <v>613</v>
      </c>
      <c r="U511" s="2" t="s">
        <v>129</v>
      </c>
      <c r="W511" s="4">
        <v>484</v>
      </c>
      <c r="X511" s="4">
        <v>580.79999999999995</v>
      </c>
      <c r="Y511" s="4">
        <f t="shared" ref="Y511" si="564">INDEX(InternalRates,MATCH($S511,InternalRates01,FALSE),2)</f>
        <v>278.98333333333335</v>
      </c>
      <c r="Z511" s="3" t="str">
        <f t="shared" si="549"/>
        <v>Nie</v>
      </c>
      <c r="AA511" s="3" t="str">
        <f t="shared" si="550"/>
        <v>ZoD</v>
      </c>
      <c r="AB511" s="4">
        <v>9404</v>
      </c>
      <c r="AC511" s="4">
        <v>3319.0588235294117</v>
      </c>
      <c r="AD511" s="3" t="s">
        <v>49</v>
      </c>
      <c r="AE511" s="6">
        <v>44508</v>
      </c>
      <c r="AF511" s="3" t="s">
        <v>59</v>
      </c>
      <c r="AG511" s="3" t="s">
        <v>49</v>
      </c>
      <c r="AH511" s="3">
        <f>YEAR(SrcDB[[#This Row],[Datum_zverejnenia]])</f>
        <v>2021</v>
      </c>
      <c r="AI511" s="3" cm="1">
        <f t="array" ref="AI511">COUNT(_xlfn.UNIQUE(_xlfn._xlws.FILTER(SrcDB[ID],SrcDB[Objednavatel_ICO]=$H511)))</f>
        <v>7</v>
      </c>
      <c r="AJ511" s="3" cm="1">
        <f t="array" ref="AJ511">COUNT(_xlfn.UNIQUE(_xlfn._xlws.FILTER(SrcDB[ID],SrcDB[Dodavatel_ICO]=$K511)))</f>
        <v>9</v>
      </c>
      <c r="AK511" s="3">
        <f t="shared" si="502"/>
        <v>0</v>
      </c>
      <c r="AL511" s="3">
        <f t="shared" si="503"/>
        <v>0</v>
      </c>
      <c r="AM511" s="17" t="str">
        <f>IF(SrcDB[[#This Row],[Pocet zmluv objednavatela]]&gt;3,SrcDB[[#This Row],[Objednavatel]],"Ostatné")</f>
        <v>Ministerstvo investícií, regionálneho rozvoja a informatizácie Slovenskej republiky</v>
      </c>
      <c r="AN511" s="17" t="str">
        <f>IF(SrcDB[[#This Row],[Pocet zmluv dodavatela]]&gt;3,SrcDB[[#This Row],[Dodavatel]],"Ostatné")</f>
        <v>DXC Technology Slovakia s.r.o.</v>
      </c>
    </row>
    <row r="512" spans="1:40" x14ac:dyDescent="0.3">
      <c r="A512" s="2" t="s">
        <v>675</v>
      </c>
      <c r="B512" s="2">
        <v>5905829</v>
      </c>
      <c r="C512" s="3" t="str">
        <f t="shared" si="496"/>
        <v>Nejasné</v>
      </c>
      <c r="D512" s="3" t="str">
        <f t="shared" si="497"/>
        <v>Nejasné</v>
      </c>
      <c r="E512" s="3" t="s">
        <v>49</v>
      </c>
      <c r="F512" s="3" t="s">
        <v>48</v>
      </c>
      <c r="G512" s="2" t="str">
        <f t="shared" si="498"/>
        <v>Stredné zmluvy</v>
      </c>
      <c r="H512" s="5" t="s">
        <v>676</v>
      </c>
      <c r="I512" s="2" t="s">
        <v>677</v>
      </c>
      <c r="J512" s="2" t="s">
        <v>678</v>
      </c>
      <c r="K512" s="5">
        <v>35918501</v>
      </c>
      <c r="L512" s="2" t="s">
        <v>202</v>
      </c>
      <c r="M512" s="2" t="s">
        <v>679</v>
      </c>
      <c r="N512" s="6">
        <v>44439.686874999999</v>
      </c>
      <c r="O512" s="4">
        <v>1654249.65</v>
      </c>
      <c r="P512" s="2">
        <v>114731</v>
      </c>
      <c r="Q512" s="2" t="s">
        <v>680</v>
      </c>
      <c r="R512" s="2" t="s">
        <v>681</v>
      </c>
      <c r="S512" s="2" t="s">
        <v>102</v>
      </c>
      <c r="T512" s="2" t="s">
        <v>682</v>
      </c>
      <c r="W512" s="4">
        <v>697</v>
      </c>
      <c r="X512" s="4">
        <v>836.4</v>
      </c>
      <c r="Y512" s="4">
        <f t="shared" ref="Y512" si="565">INDEX(InternalRates,MATCH($S512,InternalRates01,FALSE),2)</f>
        <v>278.98333333333335</v>
      </c>
      <c r="Z512" s="3" t="str">
        <f t="shared" si="549"/>
        <v>Nie</v>
      </c>
      <c r="AA512" s="3" t="str">
        <f t="shared" si="550"/>
        <v>ZoD</v>
      </c>
      <c r="AB512" s="4">
        <v>5952</v>
      </c>
      <c r="AC512" s="4">
        <v>977.09081375429355</v>
      </c>
      <c r="AD512" s="3" t="s">
        <v>48</v>
      </c>
      <c r="AE512" s="6">
        <v>44581</v>
      </c>
      <c r="AF512" s="3" t="s">
        <v>59</v>
      </c>
      <c r="AG512" s="3" t="s">
        <v>60</v>
      </c>
      <c r="AH512" s="3">
        <f>YEAR(SrcDB[[#This Row],[Datum_zverejnenia]])</f>
        <v>2021</v>
      </c>
      <c r="AI512" s="3" cm="1">
        <f t="array" ref="AI512">COUNT(_xlfn.UNIQUE(_xlfn._xlws.FILTER(SrcDB[ID],SrcDB[Objednavatel_ICO]=$H512)))</f>
        <v>2</v>
      </c>
      <c r="AJ512" s="3" cm="1">
        <f t="array" ref="AJ512">COUNT(_xlfn.UNIQUE(_xlfn._xlws.FILTER(SrcDB[ID],SrcDB[Dodavatel_ICO]=$K512)))</f>
        <v>2</v>
      </c>
      <c r="AK512" s="3">
        <f t="shared" si="502"/>
        <v>1</v>
      </c>
      <c r="AL512" s="3">
        <f t="shared" si="503"/>
        <v>1</v>
      </c>
      <c r="AM512" s="17" t="str">
        <f>IF(SrcDB[[#This Row],[Pocet zmluv objednavatela]]&gt;3,SrcDB[[#This Row],[Objednavatel]],"Ostatné")</f>
        <v>Ostatné</v>
      </c>
      <c r="AN512" s="17" t="str">
        <f>IF(SrcDB[[#This Row],[Pocet zmluv dodavatela]]&gt;3,SrcDB[[#This Row],[Dodavatel]],"Ostatné")</f>
        <v>Ostatné</v>
      </c>
    </row>
    <row r="513" spans="1:40" x14ac:dyDescent="0.3">
      <c r="A513" s="2" t="s">
        <v>675</v>
      </c>
      <c r="B513" s="2">
        <v>5905829</v>
      </c>
      <c r="C513" s="3" t="str">
        <f t="shared" si="496"/>
        <v>Nejasné</v>
      </c>
      <c r="D513" s="3" t="str">
        <f t="shared" si="497"/>
        <v>Nejasné</v>
      </c>
      <c r="E513" s="3" t="s">
        <v>49</v>
      </c>
      <c r="F513" s="3" t="s">
        <v>48</v>
      </c>
      <c r="G513" s="2" t="str">
        <f t="shared" si="498"/>
        <v>Stredné zmluvy</v>
      </c>
      <c r="H513" s="5" t="s">
        <v>676</v>
      </c>
      <c r="I513" s="2" t="s">
        <v>677</v>
      </c>
      <c r="J513" s="2" t="s">
        <v>678</v>
      </c>
      <c r="K513" s="5">
        <v>35918501</v>
      </c>
      <c r="L513" s="2" t="s">
        <v>202</v>
      </c>
      <c r="M513" s="2" t="s">
        <v>679</v>
      </c>
      <c r="N513" s="6">
        <v>44439.686874999999</v>
      </c>
      <c r="O513" s="4">
        <v>1654249.65</v>
      </c>
      <c r="P513" s="2">
        <v>114731</v>
      </c>
      <c r="Q513" s="2" t="s">
        <v>680</v>
      </c>
      <c r="R513" s="2" t="s">
        <v>681</v>
      </c>
      <c r="S513" s="2" t="s">
        <v>102</v>
      </c>
      <c r="T513" s="2" t="s">
        <v>683</v>
      </c>
      <c r="W513" s="4">
        <v>514.77</v>
      </c>
      <c r="X513" s="4">
        <v>617.72399999999993</v>
      </c>
      <c r="Y513" s="4">
        <f t="shared" ref="Y513" si="566">INDEX(InternalRates,MATCH($S513,InternalRates01,FALSE),2)</f>
        <v>278.98333333333335</v>
      </c>
      <c r="Z513" s="3" t="str">
        <f t="shared" si="549"/>
        <v>Nie</v>
      </c>
      <c r="AA513" s="3" t="str">
        <f t="shared" si="550"/>
        <v>ZoD</v>
      </c>
      <c r="AB513" s="4">
        <v>795</v>
      </c>
      <c r="AC513" s="4">
        <v>130.50860163552812</v>
      </c>
      <c r="AD513" s="3" t="s">
        <v>48</v>
      </c>
      <c r="AE513" s="6">
        <v>44581</v>
      </c>
      <c r="AF513" s="3" t="s">
        <v>59</v>
      </c>
      <c r="AG513" s="3" t="s">
        <v>60</v>
      </c>
      <c r="AH513" s="3">
        <f>YEAR(SrcDB[[#This Row],[Datum_zverejnenia]])</f>
        <v>2021</v>
      </c>
      <c r="AI513" s="3" cm="1">
        <f t="array" ref="AI513">COUNT(_xlfn.UNIQUE(_xlfn._xlws.FILTER(SrcDB[ID],SrcDB[Objednavatel_ICO]=$H513)))</f>
        <v>2</v>
      </c>
      <c r="AJ513" s="3" cm="1">
        <f t="array" ref="AJ513">COUNT(_xlfn.UNIQUE(_xlfn._xlws.FILTER(SrcDB[ID],SrcDB[Dodavatel_ICO]=$K513)))</f>
        <v>2</v>
      </c>
      <c r="AK513" s="3">
        <f t="shared" si="502"/>
        <v>0</v>
      </c>
      <c r="AL513" s="3">
        <f t="shared" si="503"/>
        <v>0</v>
      </c>
      <c r="AM513" s="17" t="str">
        <f>IF(SrcDB[[#This Row],[Pocet zmluv objednavatela]]&gt;3,SrcDB[[#This Row],[Objednavatel]],"Ostatné")</f>
        <v>Ostatné</v>
      </c>
      <c r="AN513" s="17" t="str">
        <f>IF(SrcDB[[#This Row],[Pocet zmluv dodavatela]]&gt;3,SrcDB[[#This Row],[Dodavatel]],"Ostatné")</f>
        <v>Ostatné</v>
      </c>
    </row>
    <row r="514" spans="1:40" x14ac:dyDescent="0.3">
      <c r="A514" s="2" t="s">
        <v>684</v>
      </c>
      <c r="B514" s="2">
        <v>5975457</v>
      </c>
      <c r="C514" s="3" t="str">
        <f t="shared" ref="C514:C577" si="567">IF(OR(NOT(ISERROR(FIND("O DIEL",UPPER($A514)))),NOT(ISERROR(FIND("O IMPLEM",UPPER($A514)))))=TRUE,"Áno",IF(OR(NOT(ISERROR(FIND("PODPOR",UPPER($A514)))),NOT(ISERROR(FIND("SLA",UPPER($A514)))),NOT(ISERROR(FIND("SERVIS",UPPER($A514)))))=TRUE,"Nie","Nejasné"))</f>
        <v>Nejasné</v>
      </c>
      <c r="D514" s="3" t="str">
        <f t="shared" ref="D514:D577" si="568">IF(OR(NOT(ISERROR(FIND("PODPOR",UPPER($A514)))),NOT(ISERROR(FIND("SLA",UPPER($A514)))),NOT(ISERROR(FIND("SERVIS",UPPER($A514)))))=TRUE,"Áno",IF(OR(NOT(ISERROR(FIND("O DIEL",UPPER($A514)))),NOT(ISERROR(FIND("O IMPLEM",UPPER($A514)))))=TRUE,"Nie","Nejasné"))</f>
        <v>Nejasné</v>
      </c>
      <c r="E514" s="3" t="s">
        <v>48</v>
      </c>
      <c r="F514" s="3" t="s">
        <v>49</v>
      </c>
      <c r="G514" s="2" t="str">
        <f t="shared" ref="G514:G577" si="569">IF($O514&gt;=8000000,"Veľké zmluvy",IF($O514&gt;=1000000,"Stredné zmluvy","Malé zmluvy"))</f>
        <v>Malé zmluvy</v>
      </c>
      <c r="H514" s="5">
        <v>36631124</v>
      </c>
      <c r="I514" s="2" t="s">
        <v>104</v>
      </c>
      <c r="J514" s="2" t="s">
        <v>105</v>
      </c>
      <c r="K514" s="5">
        <v>35975946</v>
      </c>
      <c r="L514" s="2" t="s">
        <v>211</v>
      </c>
      <c r="M514" s="2" t="s">
        <v>685</v>
      </c>
      <c r="N514" s="6">
        <v>44480.460578703707</v>
      </c>
      <c r="O514" s="4">
        <v>135760</v>
      </c>
      <c r="P514" s="2">
        <v>114573</v>
      </c>
      <c r="Q514" s="2" t="s">
        <v>686</v>
      </c>
      <c r="R514" s="2" t="s">
        <v>687</v>
      </c>
      <c r="S514" s="2" t="s">
        <v>73</v>
      </c>
      <c r="T514" s="2" t="s">
        <v>73</v>
      </c>
      <c r="W514" s="4">
        <v>640</v>
      </c>
      <c r="X514" s="4">
        <v>768</v>
      </c>
      <c r="Y514" s="4">
        <f t="shared" ref="Y514" si="570">INDEX(InternalRates,MATCH($S514,InternalRates01,FALSE),2)</f>
        <v>278.98333333333335</v>
      </c>
      <c r="Z514" s="3" t="str">
        <f t="shared" si="549"/>
        <v>Nie</v>
      </c>
      <c r="AA514" s="3" t="str">
        <f t="shared" si="550"/>
        <v>SLA</v>
      </c>
      <c r="AB514" s="4">
        <v>0</v>
      </c>
      <c r="AC514" s="4">
        <v>0</v>
      </c>
      <c r="AD514" s="3" t="s">
        <v>48</v>
      </c>
      <c r="AE514" s="6">
        <v>44581</v>
      </c>
      <c r="AF514" s="3" t="s">
        <v>59</v>
      </c>
      <c r="AG514" s="3" t="s">
        <v>60</v>
      </c>
      <c r="AH514" s="3">
        <f>YEAR(SrcDB[[#This Row],[Datum_zverejnenia]])</f>
        <v>2021</v>
      </c>
      <c r="AI514" s="3" cm="1">
        <f t="array" ref="AI514">COUNT(_xlfn.UNIQUE(_xlfn._xlws.FILTER(SrcDB[ID],SrcDB[Objednavatel_ICO]=$H514)))</f>
        <v>17</v>
      </c>
      <c r="AJ514" s="3" cm="1">
        <f t="array" ref="AJ514">COUNT(_xlfn.UNIQUE(_xlfn._xlws.FILTER(SrcDB[ID],SrcDB[Dodavatel_ICO]=$K514)))</f>
        <v>4</v>
      </c>
      <c r="AK514" s="3">
        <f t="shared" si="502"/>
        <v>1</v>
      </c>
      <c r="AL514" s="3">
        <f t="shared" si="503"/>
        <v>1</v>
      </c>
      <c r="AM514" s="17" t="str">
        <f>IF(SrcDB[[#This Row],[Pocet zmluv objednavatela]]&gt;3,SrcDB[[#This Row],[Objednavatel]],"Ostatné")</f>
        <v>Slovenská pošta, a. s.</v>
      </c>
      <c r="AN514" s="17" t="str">
        <f>IF(SrcDB[[#This Row],[Pocet zmluv dodavatela]]&gt;3,SrcDB[[#This Row],[Dodavatel]],"Ostatné")</f>
        <v>Disig, a.s.</v>
      </c>
    </row>
    <row r="515" spans="1:40" x14ac:dyDescent="0.3">
      <c r="A515" s="2" t="s">
        <v>684</v>
      </c>
      <c r="B515" s="2">
        <v>5975457</v>
      </c>
      <c r="C515" s="3" t="str">
        <f t="shared" si="567"/>
        <v>Nejasné</v>
      </c>
      <c r="D515" s="3" t="str">
        <f t="shared" si="568"/>
        <v>Nejasné</v>
      </c>
      <c r="E515" s="3" t="s">
        <v>48</v>
      </c>
      <c r="F515" s="3" t="s">
        <v>49</v>
      </c>
      <c r="G515" s="2" t="str">
        <f t="shared" si="569"/>
        <v>Malé zmluvy</v>
      </c>
      <c r="H515" s="5">
        <v>36631124</v>
      </c>
      <c r="I515" s="2" t="s">
        <v>104</v>
      </c>
      <c r="J515" s="2" t="s">
        <v>105</v>
      </c>
      <c r="K515" s="5">
        <v>35975946</v>
      </c>
      <c r="L515" s="2" t="s">
        <v>211</v>
      </c>
      <c r="M515" s="2" t="s">
        <v>685</v>
      </c>
      <c r="N515" s="6">
        <v>44480.460578703707</v>
      </c>
      <c r="O515" s="4">
        <v>135760</v>
      </c>
      <c r="P515" s="2">
        <v>114573</v>
      </c>
      <c r="Q515" s="2" t="s">
        <v>686</v>
      </c>
      <c r="R515" s="2" t="s">
        <v>687</v>
      </c>
      <c r="S515" s="2" t="s">
        <v>77</v>
      </c>
      <c r="T515" s="2" t="s">
        <v>77</v>
      </c>
      <c r="W515" s="4">
        <v>640</v>
      </c>
      <c r="X515" s="4">
        <v>768</v>
      </c>
      <c r="Y515" s="4">
        <f t="shared" ref="Y515" si="571">INDEX(InternalRates,MATCH($S515,InternalRates01,FALSE),2)</f>
        <v>278.98333333333335</v>
      </c>
      <c r="Z515" s="3" t="str">
        <f t="shared" si="549"/>
        <v>Nie</v>
      </c>
      <c r="AA515" s="3" t="str">
        <f t="shared" si="550"/>
        <v>SLA</v>
      </c>
      <c r="AB515" s="4">
        <v>0</v>
      </c>
      <c r="AC515" s="4">
        <v>0</v>
      </c>
      <c r="AD515" s="3" t="s">
        <v>48</v>
      </c>
      <c r="AE515" s="6">
        <v>44581</v>
      </c>
      <c r="AF515" s="3" t="s">
        <v>59</v>
      </c>
      <c r="AG515" s="3" t="s">
        <v>60</v>
      </c>
      <c r="AH515" s="3">
        <f>YEAR(SrcDB[[#This Row],[Datum_zverejnenia]])</f>
        <v>2021</v>
      </c>
      <c r="AI515" s="3" cm="1">
        <f t="array" ref="AI515">COUNT(_xlfn.UNIQUE(_xlfn._xlws.FILTER(SrcDB[ID],SrcDB[Objednavatel_ICO]=$H515)))</f>
        <v>17</v>
      </c>
      <c r="AJ515" s="3" cm="1">
        <f t="array" ref="AJ515">COUNT(_xlfn.UNIQUE(_xlfn._xlws.FILTER(SrcDB[ID],SrcDB[Dodavatel_ICO]=$K515)))</f>
        <v>4</v>
      </c>
      <c r="AK515" s="3">
        <f t="shared" si="502"/>
        <v>0</v>
      </c>
      <c r="AL515" s="3">
        <f t="shared" si="503"/>
        <v>0</v>
      </c>
      <c r="AM515" s="17" t="str">
        <f>IF(SrcDB[[#This Row],[Pocet zmluv objednavatela]]&gt;3,SrcDB[[#This Row],[Objednavatel]],"Ostatné")</f>
        <v>Slovenská pošta, a. s.</v>
      </c>
      <c r="AN515" s="17" t="str">
        <f>IF(SrcDB[[#This Row],[Pocet zmluv dodavatela]]&gt;3,SrcDB[[#This Row],[Dodavatel]],"Ostatné")</f>
        <v>Disig, a.s.</v>
      </c>
    </row>
    <row r="516" spans="1:40" x14ac:dyDescent="0.3">
      <c r="A516" s="2" t="s">
        <v>684</v>
      </c>
      <c r="B516" s="2">
        <v>5975457</v>
      </c>
      <c r="C516" s="3" t="str">
        <f t="shared" si="567"/>
        <v>Nejasné</v>
      </c>
      <c r="D516" s="3" t="str">
        <f t="shared" si="568"/>
        <v>Nejasné</v>
      </c>
      <c r="E516" s="3" t="s">
        <v>48</v>
      </c>
      <c r="F516" s="3" t="s">
        <v>49</v>
      </c>
      <c r="G516" s="2" t="str">
        <f t="shared" si="569"/>
        <v>Malé zmluvy</v>
      </c>
      <c r="H516" s="5">
        <v>36631124</v>
      </c>
      <c r="I516" s="2" t="s">
        <v>104</v>
      </c>
      <c r="J516" s="2" t="s">
        <v>105</v>
      </c>
      <c r="K516" s="5">
        <v>35975946</v>
      </c>
      <c r="L516" s="2" t="s">
        <v>211</v>
      </c>
      <c r="M516" s="2" t="s">
        <v>685</v>
      </c>
      <c r="N516" s="6">
        <v>44480.460578703707</v>
      </c>
      <c r="O516" s="4">
        <v>135760</v>
      </c>
      <c r="P516" s="2">
        <v>114573</v>
      </c>
      <c r="Q516" s="2" t="s">
        <v>686</v>
      </c>
      <c r="R516" s="2" t="s">
        <v>687</v>
      </c>
      <c r="S516" s="2" t="s">
        <v>56</v>
      </c>
      <c r="T516" s="2" t="s">
        <v>94</v>
      </c>
      <c r="U516" s="2" t="s">
        <v>95</v>
      </c>
      <c r="W516" s="4">
        <v>720</v>
      </c>
      <c r="X516" s="4">
        <v>864</v>
      </c>
      <c r="Y516" s="4">
        <f t="shared" ref="Y516" si="572">INDEX(InternalRates,MATCH($S516,InternalRates01,FALSE),2)</f>
        <v>278.98333333333335</v>
      </c>
      <c r="Z516" s="3" t="str">
        <f t="shared" si="549"/>
        <v>Nie</v>
      </c>
      <c r="AA516" s="3" t="str">
        <f t="shared" si="550"/>
        <v>SLA</v>
      </c>
      <c r="AB516" s="4">
        <v>0</v>
      </c>
      <c r="AC516" s="4">
        <v>0</v>
      </c>
      <c r="AD516" s="3" t="s">
        <v>48</v>
      </c>
      <c r="AE516" s="6">
        <v>44581</v>
      </c>
      <c r="AF516" s="3" t="s">
        <v>59</v>
      </c>
      <c r="AG516" s="3" t="s">
        <v>60</v>
      </c>
      <c r="AH516" s="3">
        <f>YEAR(SrcDB[[#This Row],[Datum_zverejnenia]])</f>
        <v>2021</v>
      </c>
      <c r="AI516" s="3" cm="1">
        <f t="array" ref="AI516">COUNT(_xlfn.UNIQUE(_xlfn._xlws.FILTER(SrcDB[ID],SrcDB[Objednavatel_ICO]=$H516)))</f>
        <v>17</v>
      </c>
      <c r="AJ516" s="3" cm="1">
        <f t="array" ref="AJ516">COUNT(_xlfn.UNIQUE(_xlfn._xlws.FILTER(SrcDB[ID],SrcDB[Dodavatel_ICO]=$K516)))</f>
        <v>4</v>
      </c>
      <c r="AK516" s="3">
        <f t="shared" ref="AK516:AK579" si="573">IF($H515&lt;&gt;$H516,1,IF($B515&lt;&gt;$B516,1,0))</f>
        <v>0</v>
      </c>
      <c r="AL516" s="3">
        <f t="shared" ref="AL516:AL579" si="574">IF($K515&lt;&gt;$K516,1,IF($B515&lt;&gt;$B516,1,0))</f>
        <v>0</v>
      </c>
      <c r="AM516" s="17" t="str">
        <f>IF(SrcDB[[#This Row],[Pocet zmluv objednavatela]]&gt;3,SrcDB[[#This Row],[Objednavatel]],"Ostatné")</f>
        <v>Slovenská pošta, a. s.</v>
      </c>
      <c r="AN516" s="17" t="str">
        <f>IF(SrcDB[[#This Row],[Pocet zmluv dodavatela]]&gt;3,SrcDB[[#This Row],[Dodavatel]],"Ostatné")</f>
        <v>Disig, a.s.</v>
      </c>
    </row>
    <row r="517" spans="1:40" x14ac:dyDescent="0.3">
      <c r="A517" s="2" t="s">
        <v>684</v>
      </c>
      <c r="B517" s="2">
        <v>5975457</v>
      </c>
      <c r="C517" s="3" t="str">
        <f t="shared" si="567"/>
        <v>Nejasné</v>
      </c>
      <c r="D517" s="3" t="str">
        <f t="shared" si="568"/>
        <v>Nejasné</v>
      </c>
      <c r="E517" s="3" t="s">
        <v>48</v>
      </c>
      <c r="F517" s="3" t="s">
        <v>49</v>
      </c>
      <c r="G517" s="2" t="str">
        <f t="shared" si="569"/>
        <v>Malé zmluvy</v>
      </c>
      <c r="H517" s="5">
        <v>36631124</v>
      </c>
      <c r="I517" s="2" t="s">
        <v>104</v>
      </c>
      <c r="J517" s="2" t="s">
        <v>105</v>
      </c>
      <c r="K517" s="5">
        <v>35975946</v>
      </c>
      <c r="L517" s="2" t="s">
        <v>211</v>
      </c>
      <c r="M517" s="2" t="s">
        <v>685</v>
      </c>
      <c r="N517" s="6">
        <v>44480.460578703707</v>
      </c>
      <c r="O517" s="4">
        <v>135760</v>
      </c>
      <c r="P517" s="2">
        <v>114573</v>
      </c>
      <c r="Q517" s="2" t="s">
        <v>686</v>
      </c>
      <c r="R517" s="2" t="s">
        <v>687</v>
      </c>
      <c r="S517" s="2" t="s">
        <v>56</v>
      </c>
      <c r="T517" s="2" t="s">
        <v>286</v>
      </c>
      <c r="U517" s="2" t="s">
        <v>129</v>
      </c>
      <c r="W517" s="4">
        <v>640</v>
      </c>
      <c r="X517" s="4">
        <v>768</v>
      </c>
      <c r="Y517" s="4">
        <f t="shared" ref="Y517" si="575">INDEX(InternalRates,MATCH($S517,InternalRates01,FALSE),2)</f>
        <v>278.98333333333335</v>
      </c>
      <c r="Z517" s="3" t="str">
        <f t="shared" si="549"/>
        <v>Nie</v>
      </c>
      <c r="AA517" s="3" t="str">
        <f t="shared" si="550"/>
        <v>SLA</v>
      </c>
      <c r="AB517" s="4">
        <v>0</v>
      </c>
      <c r="AC517" s="4">
        <v>0</v>
      </c>
      <c r="AD517" s="3" t="s">
        <v>48</v>
      </c>
      <c r="AE517" s="6">
        <v>44581</v>
      </c>
      <c r="AF517" s="3" t="s">
        <v>59</v>
      </c>
      <c r="AG517" s="3" t="s">
        <v>60</v>
      </c>
      <c r="AH517" s="3">
        <f>YEAR(SrcDB[[#This Row],[Datum_zverejnenia]])</f>
        <v>2021</v>
      </c>
      <c r="AI517" s="3" cm="1">
        <f t="array" ref="AI517">COUNT(_xlfn.UNIQUE(_xlfn._xlws.FILTER(SrcDB[ID],SrcDB[Objednavatel_ICO]=$H517)))</f>
        <v>17</v>
      </c>
      <c r="AJ517" s="3" cm="1">
        <f t="array" ref="AJ517">COUNT(_xlfn.UNIQUE(_xlfn._xlws.FILTER(SrcDB[ID],SrcDB[Dodavatel_ICO]=$K517)))</f>
        <v>4</v>
      </c>
      <c r="AK517" s="3">
        <f t="shared" si="573"/>
        <v>0</v>
      </c>
      <c r="AL517" s="3">
        <f t="shared" si="574"/>
        <v>0</v>
      </c>
      <c r="AM517" s="17" t="str">
        <f>IF(SrcDB[[#This Row],[Pocet zmluv objednavatela]]&gt;3,SrcDB[[#This Row],[Objednavatel]],"Ostatné")</f>
        <v>Slovenská pošta, a. s.</v>
      </c>
      <c r="AN517" s="17" t="str">
        <f>IF(SrcDB[[#This Row],[Pocet zmluv dodavatela]]&gt;3,SrcDB[[#This Row],[Dodavatel]],"Ostatné")</f>
        <v>Disig, a.s.</v>
      </c>
    </row>
    <row r="518" spans="1:40" x14ac:dyDescent="0.3">
      <c r="A518" s="2" t="s">
        <v>684</v>
      </c>
      <c r="B518" s="2">
        <v>5975457</v>
      </c>
      <c r="C518" s="3" t="str">
        <f t="shared" si="567"/>
        <v>Nejasné</v>
      </c>
      <c r="D518" s="3" t="str">
        <f t="shared" si="568"/>
        <v>Nejasné</v>
      </c>
      <c r="E518" s="3" t="s">
        <v>48</v>
      </c>
      <c r="F518" s="3" t="s">
        <v>49</v>
      </c>
      <c r="G518" s="2" t="str">
        <f t="shared" si="569"/>
        <v>Malé zmluvy</v>
      </c>
      <c r="H518" s="5">
        <v>36631124</v>
      </c>
      <c r="I518" s="2" t="s">
        <v>104</v>
      </c>
      <c r="J518" s="2" t="s">
        <v>105</v>
      </c>
      <c r="K518" s="5">
        <v>35975946</v>
      </c>
      <c r="L518" s="2" t="s">
        <v>211</v>
      </c>
      <c r="M518" s="2" t="s">
        <v>685</v>
      </c>
      <c r="N518" s="6">
        <v>44480.460578703707</v>
      </c>
      <c r="O518" s="4">
        <v>135760</v>
      </c>
      <c r="P518" s="2">
        <v>114573</v>
      </c>
      <c r="Q518" s="2" t="s">
        <v>686</v>
      </c>
      <c r="R518" s="2" t="s">
        <v>687</v>
      </c>
      <c r="S518" s="2" t="s">
        <v>69</v>
      </c>
      <c r="T518" s="2" t="s">
        <v>70</v>
      </c>
      <c r="W518" s="4">
        <v>600</v>
      </c>
      <c r="X518" s="4">
        <v>720</v>
      </c>
      <c r="Y518" s="4">
        <f t="shared" ref="Y518" si="576">INDEX(InternalRates,MATCH($S518,InternalRates01,FALSE),2)</f>
        <v>278.98333333333335</v>
      </c>
      <c r="Z518" s="3" t="str">
        <f t="shared" si="549"/>
        <v>Nie</v>
      </c>
      <c r="AA518" s="3" t="str">
        <f t="shared" si="550"/>
        <v>SLA</v>
      </c>
      <c r="AB518" s="4">
        <v>0</v>
      </c>
      <c r="AC518" s="4">
        <v>0</v>
      </c>
      <c r="AD518" s="3" t="s">
        <v>48</v>
      </c>
      <c r="AE518" s="6">
        <v>44581</v>
      </c>
      <c r="AF518" s="3" t="s">
        <v>59</v>
      </c>
      <c r="AG518" s="3" t="s">
        <v>60</v>
      </c>
      <c r="AH518" s="3">
        <f>YEAR(SrcDB[[#This Row],[Datum_zverejnenia]])</f>
        <v>2021</v>
      </c>
      <c r="AI518" s="3" cm="1">
        <f t="array" ref="AI518">COUNT(_xlfn.UNIQUE(_xlfn._xlws.FILTER(SrcDB[ID],SrcDB[Objednavatel_ICO]=$H518)))</f>
        <v>17</v>
      </c>
      <c r="AJ518" s="3" cm="1">
        <f t="array" ref="AJ518">COUNT(_xlfn.UNIQUE(_xlfn._xlws.FILTER(SrcDB[ID],SrcDB[Dodavatel_ICO]=$K518)))</f>
        <v>4</v>
      </c>
      <c r="AK518" s="3">
        <f t="shared" si="573"/>
        <v>0</v>
      </c>
      <c r="AL518" s="3">
        <f t="shared" si="574"/>
        <v>0</v>
      </c>
      <c r="AM518" s="17" t="str">
        <f>IF(SrcDB[[#This Row],[Pocet zmluv objednavatela]]&gt;3,SrcDB[[#This Row],[Objednavatel]],"Ostatné")</f>
        <v>Slovenská pošta, a. s.</v>
      </c>
      <c r="AN518" s="17" t="str">
        <f>IF(SrcDB[[#This Row],[Pocet zmluv dodavatela]]&gt;3,SrcDB[[#This Row],[Dodavatel]],"Ostatné")</f>
        <v>Disig, a.s.</v>
      </c>
    </row>
    <row r="519" spans="1:40" x14ac:dyDescent="0.3">
      <c r="A519" s="2" t="s">
        <v>684</v>
      </c>
      <c r="B519" s="2">
        <v>5975457</v>
      </c>
      <c r="C519" s="3" t="str">
        <f t="shared" si="567"/>
        <v>Nejasné</v>
      </c>
      <c r="D519" s="3" t="str">
        <f t="shared" si="568"/>
        <v>Nejasné</v>
      </c>
      <c r="E519" s="3" t="s">
        <v>48</v>
      </c>
      <c r="F519" s="3" t="s">
        <v>49</v>
      </c>
      <c r="G519" s="2" t="str">
        <f t="shared" si="569"/>
        <v>Malé zmluvy</v>
      </c>
      <c r="H519" s="5">
        <v>36631124</v>
      </c>
      <c r="I519" s="2" t="s">
        <v>104</v>
      </c>
      <c r="J519" s="2" t="s">
        <v>105</v>
      </c>
      <c r="K519" s="5">
        <v>35975946</v>
      </c>
      <c r="L519" s="2" t="s">
        <v>211</v>
      </c>
      <c r="M519" s="2" t="s">
        <v>685</v>
      </c>
      <c r="N519" s="6">
        <v>44480.460578703707</v>
      </c>
      <c r="O519" s="4">
        <v>135760</v>
      </c>
      <c r="P519" s="2">
        <v>114573</v>
      </c>
      <c r="Q519" s="2" t="s">
        <v>686</v>
      </c>
      <c r="R519" s="2" t="s">
        <v>687</v>
      </c>
      <c r="S519" s="2" t="s">
        <v>123</v>
      </c>
      <c r="T519" s="2" t="s">
        <v>123</v>
      </c>
      <c r="V519" s="2" t="s">
        <v>58</v>
      </c>
      <c r="W519" s="4">
        <v>640</v>
      </c>
      <c r="X519" s="4">
        <v>768</v>
      </c>
      <c r="Y519" s="4">
        <f t="shared" ref="Y519" si="577">INDEX(InternalRates,MATCH($S519,InternalRates01,FALSE),2)</f>
        <v>231.85833333333335</v>
      </c>
      <c r="Z519" s="3" t="str">
        <f t="shared" si="549"/>
        <v>Nie</v>
      </c>
      <c r="AA519" s="3" t="str">
        <f t="shared" si="550"/>
        <v>SLA</v>
      </c>
      <c r="AB519" s="4">
        <v>0</v>
      </c>
      <c r="AC519" s="4">
        <v>0</v>
      </c>
      <c r="AD519" s="3" t="s">
        <v>48</v>
      </c>
      <c r="AE519" s="6">
        <v>44581</v>
      </c>
      <c r="AF519" s="3" t="s">
        <v>59</v>
      </c>
      <c r="AG519" s="3" t="s">
        <v>60</v>
      </c>
      <c r="AH519" s="3">
        <f>YEAR(SrcDB[[#This Row],[Datum_zverejnenia]])</f>
        <v>2021</v>
      </c>
      <c r="AI519" s="3" cm="1">
        <f t="array" ref="AI519">COUNT(_xlfn.UNIQUE(_xlfn._xlws.FILTER(SrcDB[ID],SrcDB[Objednavatel_ICO]=$H519)))</f>
        <v>17</v>
      </c>
      <c r="AJ519" s="3" cm="1">
        <f t="array" ref="AJ519">COUNT(_xlfn.UNIQUE(_xlfn._xlws.FILTER(SrcDB[ID],SrcDB[Dodavatel_ICO]=$K519)))</f>
        <v>4</v>
      </c>
      <c r="AK519" s="3">
        <f t="shared" si="573"/>
        <v>0</v>
      </c>
      <c r="AL519" s="3">
        <f t="shared" si="574"/>
        <v>0</v>
      </c>
      <c r="AM519" s="17" t="str">
        <f>IF(SrcDB[[#This Row],[Pocet zmluv objednavatela]]&gt;3,SrcDB[[#This Row],[Objednavatel]],"Ostatné")</f>
        <v>Slovenská pošta, a. s.</v>
      </c>
      <c r="AN519" s="17" t="str">
        <f>IF(SrcDB[[#This Row],[Pocet zmluv dodavatela]]&gt;3,SrcDB[[#This Row],[Dodavatel]],"Ostatné")</f>
        <v>Disig, a.s.</v>
      </c>
    </row>
    <row r="520" spans="1:40" x14ac:dyDescent="0.3">
      <c r="A520" s="2" t="s">
        <v>688</v>
      </c>
      <c r="B520" s="2">
        <v>5999260</v>
      </c>
      <c r="C520" s="3" t="str">
        <f t="shared" si="567"/>
        <v>Áno</v>
      </c>
      <c r="D520" s="3" t="str">
        <f t="shared" si="568"/>
        <v>Nie</v>
      </c>
      <c r="E520" s="3" t="s">
        <v>49</v>
      </c>
      <c r="F520" s="3" t="s">
        <v>48</v>
      </c>
      <c r="G520" s="2" t="str">
        <f t="shared" si="569"/>
        <v>Malé zmluvy</v>
      </c>
      <c r="H520" s="5">
        <v>36211541</v>
      </c>
      <c r="I520" s="2" t="s">
        <v>689</v>
      </c>
      <c r="J520" s="2" t="s">
        <v>690</v>
      </c>
      <c r="K520" s="5">
        <v>50438336</v>
      </c>
      <c r="L520" s="2" t="s">
        <v>691</v>
      </c>
      <c r="M520" s="2" t="s">
        <v>692</v>
      </c>
      <c r="N520" s="6">
        <v>44494.608912037038</v>
      </c>
      <c r="O520" s="4">
        <v>462648</v>
      </c>
      <c r="P520" s="2">
        <v>406837</v>
      </c>
      <c r="Q520" s="2" t="s">
        <v>693</v>
      </c>
      <c r="R520" s="2" t="s">
        <v>694</v>
      </c>
      <c r="S520" s="2" t="s">
        <v>71</v>
      </c>
      <c r="T520" s="2" t="s">
        <v>71</v>
      </c>
      <c r="W520" s="4">
        <v>640</v>
      </c>
      <c r="X520" s="4">
        <v>768</v>
      </c>
      <c r="Y520" s="4">
        <f t="shared" ref="Y520" si="578">INDEX(InternalRates,MATCH($S520,InternalRates01,FALSE),2)</f>
        <v>354.0333333333333</v>
      </c>
      <c r="Z520" s="3" t="str">
        <f t="shared" si="549"/>
        <v>Nie</v>
      </c>
      <c r="AA520" s="3" t="str">
        <f t="shared" si="550"/>
        <v>ZoD</v>
      </c>
      <c r="AB520" s="4">
        <v>112</v>
      </c>
      <c r="AC520" s="4">
        <v>112</v>
      </c>
      <c r="AD520" s="3" t="s">
        <v>48</v>
      </c>
      <c r="AE520" s="6">
        <v>44581</v>
      </c>
      <c r="AF520" s="3" t="s">
        <v>59</v>
      </c>
      <c r="AG520" s="3" t="s">
        <v>49</v>
      </c>
      <c r="AH520" s="3">
        <f>YEAR(SrcDB[[#This Row],[Datum_zverejnenia]])</f>
        <v>2021</v>
      </c>
      <c r="AI520" s="3" cm="1">
        <f t="array" ref="AI520">COUNT(_xlfn.UNIQUE(_xlfn._xlws.FILTER(SrcDB[ID],SrcDB[Objednavatel_ICO]=$H520)))</f>
        <v>6</v>
      </c>
      <c r="AJ520" s="3" cm="1">
        <f t="array" ref="AJ520">COUNT(_xlfn.UNIQUE(_xlfn._xlws.FILTER(SrcDB[ID],SrcDB[Dodavatel_ICO]=$K520)))</f>
        <v>3</v>
      </c>
      <c r="AK520" s="3">
        <f t="shared" si="573"/>
        <v>1</v>
      </c>
      <c r="AL520" s="3">
        <f t="shared" si="574"/>
        <v>1</v>
      </c>
      <c r="AM520" s="17" t="str">
        <f>IF(SrcDB[[#This Row],[Pocet zmluv objednavatela]]&gt;3,SrcDB[[#This Row],[Objednavatel]],"Ostatné")</f>
        <v>TEKO, a. s. / MH Teplárenský holding, a.s.</v>
      </c>
      <c r="AN520" s="17" t="str">
        <f>IF(SrcDB[[#This Row],[Pocet zmluv dodavatela]]&gt;3,SrcDB[[#This Row],[Dodavatel]],"Ostatné")</f>
        <v>Ostatné</v>
      </c>
    </row>
    <row r="521" spans="1:40" x14ac:dyDescent="0.3">
      <c r="A521" s="2" t="s">
        <v>688</v>
      </c>
      <c r="B521" s="2">
        <v>5999260</v>
      </c>
      <c r="C521" s="3" t="str">
        <f t="shared" si="567"/>
        <v>Áno</v>
      </c>
      <c r="D521" s="3" t="str">
        <f t="shared" si="568"/>
        <v>Nie</v>
      </c>
      <c r="E521" s="3" t="s">
        <v>49</v>
      </c>
      <c r="F521" s="3" t="s">
        <v>48</v>
      </c>
      <c r="G521" s="2" t="str">
        <f t="shared" si="569"/>
        <v>Malé zmluvy</v>
      </c>
      <c r="H521" s="5">
        <v>36211541</v>
      </c>
      <c r="I521" s="2" t="s">
        <v>689</v>
      </c>
      <c r="J521" s="2" t="s">
        <v>690</v>
      </c>
      <c r="K521" s="5">
        <v>50438336</v>
      </c>
      <c r="L521" s="2" t="s">
        <v>691</v>
      </c>
      <c r="M521" s="2" t="s">
        <v>692</v>
      </c>
      <c r="N521" s="6">
        <v>44494.608912037038</v>
      </c>
      <c r="O521" s="4">
        <v>462648</v>
      </c>
      <c r="P521" s="2">
        <v>406837</v>
      </c>
      <c r="Q521" s="2" t="s">
        <v>693</v>
      </c>
      <c r="R521" s="2" t="s">
        <v>694</v>
      </c>
      <c r="S521" s="2" t="s">
        <v>73</v>
      </c>
      <c r="T521" s="2" t="s">
        <v>73</v>
      </c>
      <c r="W521" s="4">
        <v>590</v>
      </c>
      <c r="X521" s="4">
        <v>708</v>
      </c>
      <c r="Y521" s="4">
        <f t="shared" ref="Y521" si="579">INDEX(InternalRates,MATCH($S521,InternalRates01,FALSE),2)</f>
        <v>278.98333333333335</v>
      </c>
      <c r="Z521" s="3" t="str">
        <f t="shared" si="549"/>
        <v>Nie</v>
      </c>
      <c r="AA521" s="3" t="str">
        <f t="shared" si="550"/>
        <v>ZoD</v>
      </c>
      <c r="AB521" s="4">
        <v>448</v>
      </c>
      <c r="AC521" s="4">
        <v>448</v>
      </c>
      <c r="AD521" s="3" t="s">
        <v>48</v>
      </c>
      <c r="AE521" s="6">
        <v>44581</v>
      </c>
      <c r="AF521" s="3" t="s">
        <v>59</v>
      </c>
      <c r="AG521" s="3" t="s">
        <v>49</v>
      </c>
      <c r="AH521" s="3">
        <f>YEAR(SrcDB[[#This Row],[Datum_zverejnenia]])</f>
        <v>2021</v>
      </c>
      <c r="AI521" s="3" cm="1">
        <f t="array" ref="AI521">COUNT(_xlfn.UNIQUE(_xlfn._xlws.FILTER(SrcDB[ID],SrcDB[Objednavatel_ICO]=$H521)))</f>
        <v>6</v>
      </c>
      <c r="AJ521" s="3" cm="1">
        <f t="array" ref="AJ521">COUNT(_xlfn.UNIQUE(_xlfn._xlws.FILTER(SrcDB[ID],SrcDB[Dodavatel_ICO]=$K521)))</f>
        <v>3</v>
      </c>
      <c r="AK521" s="3">
        <f t="shared" si="573"/>
        <v>0</v>
      </c>
      <c r="AL521" s="3">
        <f t="shared" si="574"/>
        <v>0</v>
      </c>
      <c r="AM521" s="17" t="str">
        <f>IF(SrcDB[[#This Row],[Pocet zmluv objednavatela]]&gt;3,SrcDB[[#This Row],[Objednavatel]],"Ostatné")</f>
        <v>TEKO, a. s. / MH Teplárenský holding, a.s.</v>
      </c>
      <c r="AN521" s="17" t="str">
        <f>IF(SrcDB[[#This Row],[Pocet zmluv dodavatela]]&gt;3,SrcDB[[#This Row],[Dodavatel]],"Ostatné")</f>
        <v>Ostatné</v>
      </c>
    </row>
    <row r="522" spans="1:40" x14ac:dyDescent="0.3">
      <c r="A522" s="2" t="s">
        <v>688</v>
      </c>
      <c r="B522" s="2">
        <v>5999260</v>
      </c>
      <c r="C522" s="3" t="str">
        <f t="shared" si="567"/>
        <v>Áno</v>
      </c>
      <c r="D522" s="3" t="str">
        <f t="shared" si="568"/>
        <v>Nie</v>
      </c>
      <c r="E522" s="3" t="s">
        <v>49</v>
      </c>
      <c r="F522" s="3" t="s">
        <v>48</v>
      </c>
      <c r="G522" s="2" t="str">
        <f t="shared" si="569"/>
        <v>Malé zmluvy</v>
      </c>
      <c r="H522" s="5">
        <v>36211541</v>
      </c>
      <c r="I522" s="2" t="s">
        <v>689</v>
      </c>
      <c r="J522" s="2" t="s">
        <v>690</v>
      </c>
      <c r="K522" s="5">
        <v>50438336</v>
      </c>
      <c r="L522" s="2" t="s">
        <v>691</v>
      </c>
      <c r="M522" s="2" t="s">
        <v>692</v>
      </c>
      <c r="N522" s="6">
        <v>44494.608912037038</v>
      </c>
      <c r="O522" s="4">
        <v>462648</v>
      </c>
      <c r="P522" s="2">
        <v>406837</v>
      </c>
      <c r="Q522" s="2" t="s">
        <v>693</v>
      </c>
      <c r="R522" s="2" t="s">
        <v>694</v>
      </c>
      <c r="S522" s="2" t="s">
        <v>69</v>
      </c>
      <c r="T522" s="2" t="s">
        <v>70</v>
      </c>
      <c r="W522" s="4">
        <v>590</v>
      </c>
      <c r="X522" s="4">
        <v>708</v>
      </c>
      <c r="Y522" s="4">
        <f t="shared" ref="Y522" si="580">INDEX(InternalRates,MATCH($S522,InternalRates01,FALSE),2)</f>
        <v>278.98333333333335</v>
      </c>
      <c r="Z522" s="3" t="str">
        <f t="shared" si="549"/>
        <v>Nie</v>
      </c>
      <c r="AA522" s="3" t="str">
        <f t="shared" si="550"/>
        <v>ZoD</v>
      </c>
      <c r="AB522" s="4">
        <v>46</v>
      </c>
      <c r="AC522" s="4">
        <v>46</v>
      </c>
      <c r="AD522" s="3" t="s">
        <v>48</v>
      </c>
      <c r="AE522" s="6">
        <v>44581</v>
      </c>
      <c r="AF522" s="3" t="s">
        <v>59</v>
      </c>
      <c r="AG522" s="3" t="s">
        <v>49</v>
      </c>
      <c r="AH522" s="3">
        <f>YEAR(SrcDB[[#This Row],[Datum_zverejnenia]])</f>
        <v>2021</v>
      </c>
      <c r="AI522" s="3" cm="1">
        <f t="array" ref="AI522">COUNT(_xlfn.UNIQUE(_xlfn._xlws.FILTER(SrcDB[ID],SrcDB[Objednavatel_ICO]=$H522)))</f>
        <v>6</v>
      </c>
      <c r="AJ522" s="3" cm="1">
        <f t="array" ref="AJ522">COUNT(_xlfn.UNIQUE(_xlfn._xlws.FILTER(SrcDB[ID],SrcDB[Dodavatel_ICO]=$K522)))</f>
        <v>3</v>
      </c>
      <c r="AK522" s="3">
        <f t="shared" si="573"/>
        <v>0</v>
      </c>
      <c r="AL522" s="3">
        <f t="shared" si="574"/>
        <v>0</v>
      </c>
      <c r="AM522" s="17" t="str">
        <f>IF(SrcDB[[#This Row],[Pocet zmluv objednavatela]]&gt;3,SrcDB[[#This Row],[Objednavatel]],"Ostatné")</f>
        <v>TEKO, a. s. / MH Teplárenský holding, a.s.</v>
      </c>
      <c r="AN522" s="17" t="str">
        <f>IF(SrcDB[[#This Row],[Pocet zmluv dodavatela]]&gt;3,SrcDB[[#This Row],[Dodavatel]],"Ostatné")</f>
        <v>Ostatné</v>
      </c>
    </row>
    <row r="523" spans="1:40" x14ac:dyDescent="0.3">
      <c r="A523" s="2" t="s">
        <v>688</v>
      </c>
      <c r="B523" s="2">
        <v>5999260</v>
      </c>
      <c r="C523" s="3" t="str">
        <f t="shared" si="567"/>
        <v>Áno</v>
      </c>
      <c r="D523" s="3" t="str">
        <f t="shared" si="568"/>
        <v>Nie</v>
      </c>
      <c r="E523" s="3" t="s">
        <v>49</v>
      </c>
      <c r="F523" s="3" t="s">
        <v>48</v>
      </c>
      <c r="G523" s="2" t="str">
        <f t="shared" si="569"/>
        <v>Malé zmluvy</v>
      </c>
      <c r="H523" s="5">
        <v>36211541</v>
      </c>
      <c r="I523" s="2" t="s">
        <v>689</v>
      </c>
      <c r="J523" s="2" t="s">
        <v>690</v>
      </c>
      <c r="K523" s="5">
        <v>50438336</v>
      </c>
      <c r="L523" s="2" t="s">
        <v>691</v>
      </c>
      <c r="M523" s="2" t="s">
        <v>692</v>
      </c>
      <c r="N523" s="6">
        <v>44494.608912037038</v>
      </c>
      <c r="O523" s="4">
        <v>462648</v>
      </c>
      <c r="P523" s="2">
        <v>406837</v>
      </c>
      <c r="Q523" s="2" t="s">
        <v>693</v>
      </c>
      <c r="R523" s="2" t="s">
        <v>694</v>
      </c>
      <c r="S523" s="2" t="s">
        <v>56</v>
      </c>
      <c r="T523" s="2" t="s">
        <v>448</v>
      </c>
      <c r="U523" s="2" t="s">
        <v>449</v>
      </c>
      <c r="W523" s="4">
        <v>640</v>
      </c>
      <c r="X523" s="4">
        <v>768</v>
      </c>
      <c r="Y523" s="4">
        <f t="shared" ref="Y523" si="581">INDEX(InternalRates,MATCH($S523,InternalRates01,FALSE),2)</f>
        <v>278.98333333333335</v>
      </c>
      <c r="Z523" s="3" t="str">
        <f t="shared" si="549"/>
        <v>Nie</v>
      </c>
      <c r="AA523" s="3" t="str">
        <f t="shared" si="550"/>
        <v>ZoD</v>
      </c>
      <c r="AB523" s="4">
        <v>35</v>
      </c>
      <c r="AC523" s="4">
        <v>35</v>
      </c>
      <c r="AD523" s="3" t="s">
        <v>48</v>
      </c>
      <c r="AE523" s="6">
        <v>44581</v>
      </c>
      <c r="AF523" s="3" t="s">
        <v>59</v>
      </c>
      <c r="AG523" s="3" t="s">
        <v>49</v>
      </c>
      <c r="AH523" s="3">
        <f>YEAR(SrcDB[[#This Row],[Datum_zverejnenia]])</f>
        <v>2021</v>
      </c>
      <c r="AI523" s="3" cm="1">
        <f t="array" ref="AI523">COUNT(_xlfn.UNIQUE(_xlfn._xlws.FILTER(SrcDB[ID],SrcDB[Objednavatel_ICO]=$H523)))</f>
        <v>6</v>
      </c>
      <c r="AJ523" s="3" cm="1">
        <f t="array" ref="AJ523">COUNT(_xlfn.UNIQUE(_xlfn._xlws.FILTER(SrcDB[ID],SrcDB[Dodavatel_ICO]=$K523)))</f>
        <v>3</v>
      </c>
      <c r="AK523" s="3">
        <f t="shared" si="573"/>
        <v>0</v>
      </c>
      <c r="AL523" s="3">
        <f t="shared" si="574"/>
        <v>0</v>
      </c>
      <c r="AM523" s="17" t="str">
        <f>IF(SrcDB[[#This Row],[Pocet zmluv objednavatela]]&gt;3,SrcDB[[#This Row],[Objednavatel]],"Ostatné")</f>
        <v>TEKO, a. s. / MH Teplárenský holding, a.s.</v>
      </c>
      <c r="AN523" s="17" t="str">
        <f>IF(SrcDB[[#This Row],[Pocet zmluv dodavatela]]&gt;3,SrcDB[[#This Row],[Dodavatel]],"Ostatné")</f>
        <v>Ostatné</v>
      </c>
    </row>
    <row r="524" spans="1:40" x14ac:dyDescent="0.3">
      <c r="A524" s="2" t="s">
        <v>695</v>
      </c>
      <c r="B524" s="2">
        <v>6008689</v>
      </c>
      <c r="C524" s="3" t="str">
        <f t="shared" si="567"/>
        <v>Nejasné</v>
      </c>
      <c r="D524" s="3" t="str">
        <f t="shared" si="568"/>
        <v>Nejasné</v>
      </c>
      <c r="E524" s="3" t="s">
        <v>48</v>
      </c>
      <c r="F524" s="3" t="s">
        <v>49</v>
      </c>
      <c r="G524" s="2" t="str">
        <f t="shared" si="569"/>
        <v>Stredné zmluvy</v>
      </c>
      <c r="H524" s="5">
        <v>17335345</v>
      </c>
      <c r="I524" s="2" t="s">
        <v>440</v>
      </c>
      <c r="J524" s="2" t="s">
        <v>696</v>
      </c>
      <c r="K524" s="5" t="s">
        <v>441</v>
      </c>
      <c r="L524" s="2" t="s">
        <v>442</v>
      </c>
      <c r="M524" s="2" t="s">
        <v>696</v>
      </c>
      <c r="N524" s="6">
        <v>44497.721053240741</v>
      </c>
      <c r="O524" s="4">
        <v>1396080</v>
      </c>
      <c r="P524" s="2">
        <v>358675</v>
      </c>
      <c r="Q524" s="2" t="s">
        <v>697</v>
      </c>
      <c r="R524" s="2" t="s">
        <v>698</v>
      </c>
      <c r="S524" s="2" t="s">
        <v>183</v>
      </c>
      <c r="T524" s="2" t="s">
        <v>183</v>
      </c>
      <c r="W524" s="4">
        <v>696</v>
      </c>
      <c r="X524" s="4">
        <v>835.19999999999993</v>
      </c>
      <c r="Y524" s="4">
        <f t="shared" ref="Y524" si="582">INDEX(InternalRates,MATCH($S524,InternalRates01,FALSE),2)</f>
        <v>278.98333333333335</v>
      </c>
      <c r="Z524" s="3" t="str">
        <f t="shared" si="549"/>
        <v>Nie</v>
      </c>
      <c r="AA524" s="3" t="str">
        <f t="shared" si="550"/>
        <v>SLA</v>
      </c>
      <c r="AB524" s="4">
        <v>1200</v>
      </c>
      <c r="AC524" s="4">
        <v>400</v>
      </c>
      <c r="AD524" s="3" t="s">
        <v>48</v>
      </c>
      <c r="AE524" s="6">
        <v>44581</v>
      </c>
      <c r="AF524" s="3" t="s">
        <v>59</v>
      </c>
      <c r="AG524" s="3" t="s">
        <v>60</v>
      </c>
      <c r="AH524" s="3">
        <f>YEAR(SrcDB[[#This Row],[Datum_zverejnenia]])</f>
        <v>2021</v>
      </c>
      <c r="AI524" s="3" cm="1">
        <f t="array" ref="AI524">COUNT(_xlfn.UNIQUE(_xlfn._xlws.FILTER(SrcDB[ID],SrcDB[Objednavatel_ICO]=$H524)))</f>
        <v>2</v>
      </c>
      <c r="AJ524" s="3" cm="1">
        <f t="array" ref="AJ524">COUNT(_xlfn.UNIQUE(_xlfn._xlws.FILTER(SrcDB[ID],SrcDB[Dodavatel_ICO]=$K524)))</f>
        <v>2</v>
      </c>
      <c r="AK524" s="3">
        <f t="shared" si="573"/>
        <v>1</v>
      </c>
      <c r="AL524" s="3">
        <f t="shared" si="574"/>
        <v>1</v>
      </c>
      <c r="AM524" s="17" t="str">
        <f>IF(SrcDB[[#This Row],[Pocet zmluv objednavatela]]&gt;3,SrcDB[[#This Row],[Objednavatel]],"Ostatné")</f>
        <v>Ostatné</v>
      </c>
      <c r="AN524" s="17" t="str">
        <f>IF(SrcDB[[#This Row],[Pocet zmluv dodavatela]]&gt;3,SrcDB[[#This Row],[Dodavatel]],"Ostatné")</f>
        <v>Ostatné</v>
      </c>
    </row>
    <row r="525" spans="1:40" x14ac:dyDescent="0.3">
      <c r="A525" s="2" t="s">
        <v>699</v>
      </c>
      <c r="B525" s="2">
        <v>6010823</v>
      </c>
      <c r="C525" s="3" t="str">
        <f t="shared" si="567"/>
        <v>Áno</v>
      </c>
      <c r="D525" s="3" t="str">
        <f t="shared" si="568"/>
        <v>Nie</v>
      </c>
      <c r="E525" s="3" t="s">
        <v>49</v>
      </c>
      <c r="F525" s="3" t="s">
        <v>48</v>
      </c>
      <c r="G525" s="2" t="str">
        <f t="shared" si="569"/>
        <v>Malé zmluvy</v>
      </c>
      <c r="H525" s="5">
        <v>36211541</v>
      </c>
      <c r="I525" s="2" t="s">
        <v>689</v>
      </c>
      <c r="J525" s="2" t="s">
        <v>690</v>
      </c>
      <c r="K525" s="5">
        <v>36785512</v>
      </c>
      <c r="L525" s="2" t="s">
        <v>700</v>
      </c>
      <c r="M525" s="2" t="s">
        <v>701</v>
      </c>
      <c r="N525" s="6">
        <v>44498.565671296295</v>
      </c>
      <c r="O525" s="4">
        <v>123732</v>
      </c>
      <c r="P525" s="2">
        <v>406837</v>
      </c>
      <c r="Q525" s="2" t="s">
        <v>702</v>
      </c>
      <c r="R525" s="2" t="s">
        <v>703</v>
      </c>
      <c r="S525" s="2" t="s">
        <v>183</v>
      </c>
      <c r="T525" s="2" t="s">
        <v>183</v>
      </c>
      <c r="W525" s="4">
        <v>572.83333333332996</v>
      </c>
      <c r="X525" s="4">
        <v>687.39999999999588</v>
      </c>
      <c r="Y525" s="4">
        <f t="shared" ref="Y525" si="583">INDEX(InternalRates,MATCH($S525,InternalRates01,FALSE),2)</f>
        <v>278.98333333333335</v>
      </c>
      <c r="Z525" s="3" t="str">
        <f t="shared" si="549"/>
        <v>Nie</v>
      </c>
      <c r="AA525" s="3" t="str">
        <f t="shared" si="550"/>
        <v>ZoD</v>
      </c>
      <c r="AB525" s="4">
        <v>180</v>
      </c>
      <c r="AC525" s="4">
        <v>240</v>
      </c>
      <c r="AD525" s="3" t="s">
        <v>48</v>
      </c>
      <c r="AE525" s="6">
        <v>44581</v>
      </c>
      <c r="AF525" s="3" t="s">
        <v>59</v>
      </c>
      <c r="AG525" s="3" t="s">
        <v>48</v>
      </c>
      <c r="AH525" s="3">
        <f>YEAR(SrcDB[[#This Row],[Datum_zverejnenia]])</f>
        <v>2021</v>
      </c>
      <c r="AI525" s="3" cm="1">
        <f t="array" ref="AI525">COUNT(_xlfn.UNIQUE(_xlfn._xlws.FILTER(SrcDB[ID],SrcDB[Objednavatel_ICO]=$H525)))</f>
        <v>6</v>
      </c>
      <c r="AJ525" s="3" cm="1">
        <f t="array" ref="AJ525">COUNT(_xlfn.UNIQUE(_xlfn._xlws.FILTER(SrcDB[ID],SrcDB[Dodavatel_ICO]=$K525)))</f>
        <v>7</v>
      </c>
      <c r="AK525" s="3">
        <f t="shared" si="573"/>
        <v>1</v>
      </c>
      <c r="AL525" s="3">
        <f t="shared" si="574"/>
        <v>1</v>
      </c>
      <c r="AM525" s="17" t="str">
        <f>IF(SrcDB[[#This Row],[Pocet zmluv objednavatela]]&gt;3,SrcDB[[#This Row],[Objednavatel]],"Ostatné")</f>
        <v>TEKO, a. s. / MH Teplárenský holding, a.s.</v>
      </c>
      <c r="AN525" s="17" t="str">
        <f>IF(SrcDB[[#This Row],[Pocet zmluv dodavatela]]&gt;3,SrcDB[[#This Row],[Dodavatel]],"Ostatné")</f>
        <v>SOFTIP, a. s.</v>
      </c>
    </row>
    <row r="526" spans="1:40" x14ac:dyDescent="0.3">
      <c r="A526" s="2" t="s">
        <v>704</v>
      </c>
      <c r="B526" s="2">
        <v>6015697</v>
      </c>
      <c r="C526" s="3" t="str">
        <f t="shared" si="567"/>
        <v>Áno</v>
      </c>
      <c r="D526" s="3" t="str">
        <f t="shared" si="568"/>
        <v>Nie</v>
      </c>
      <c r="E526" s="3" t="s">
        <v>49</v>
      </c>
      <c r="F526" s="3" t="s">
        <v>48</v>
      </c>
      <c r="G526" s="2" t="str">
        <f t="shared" si="569"/>
        <v>Malé zmluvy</v>
      </c>
      <c r="H526" s="5">
        <v>17060273</v>
      </c>
      <c r="I526" s="2" t="s">
        <v>705</v>
      </c>
      <c r="J526" s="2" t="s">
        <v>706</v>
      </c>
      <c r="K526" s="5">
        <v>46117491</v>
      </c>
      <c r="L526" s="2" t="s">
        <v>707</v>
      </c>
      <c r="M526" s="2" t="s">
        <v>708</v>
      </c>
      <c r="N526" s="6">
        <v>44503.661261574074</v>
      </c>
      <c r="O526" s="4">
        <v>108000</v>
      </c>
      <c r="P526" s="2">
        <v>1455994</v>
      </c>
      <c r="Q526" s="2" t="s">
        <v>709</v>
      </c>
      <c r="R526" s="2" t="s">
        <v>710</v>
      </c>
      <c r="S526" s="2" t="s">
        <v>183</v>
      </c>
      <c r="T526" s="2" t="s">
        <v>183</v>
      </c>
      <c r="W526" s="4">
        <v>375</v>
      </c>
      <c r="X526" s="4">
        <v>450</v>
      </c>
      <c r="Y526" s="4">
        <f t="shared" ref="Y526" si="584">INDEX(InternalRates,MATCH($S526,InternalRates01,FALSE),2)</f>
        <v>278.98333333333335</v>
      </c>
      <c r="Z526" s="3" t="str">
        <f t="shared" si="549"/>
        <v>Nie</v>
      </c>
      <c r="AA526" s="3" t="str">
        <f t="shared" si="550"/>
        <v>ZoD</v>
      </c>
      <c r="AB526" s="4">
        <v>0</v>
      </c>
      <c r="AC526" s="4">
        <v>0</v>
      </c>
      <c r="AD526" s="3" t="s">
        <v>48</v>
      </c>
      <c r="AE526" s="6">
        <v>44581</v>
      </c>
      <c r="AF526" s="3" t="s">
        <v>59</v>
      </c>
      <c r="AG526" s="3" t="s">
        <v>48</v>
      </c>
      <c r="AH526" s="3">
        <f>YEAR(SrcDB[[#This Row],[Datum_zverejnenia]])</f>
        <v>2021</v>
      </c>
      <c r="AI526" s="3" cm="1">
        <f t="array" ref="AI526">COUNT(_xlfn.UNIQUE(_xlfn._xlws.FILTER(SrcDB[ID],SrcDB[Objednavatel_ICO]=$H526)))</f>
        <v>1</v>
      </c>
      <c r="AJ526" s="3" cm="1">
        <f t="array" ref="AJ526">COUNT(_xlfn.UNIQUE(_xlfn._xlws.FILTER(SrcDB[ID],SrcDB[Dodavatel_ICO]=$K526)))</f>
        <v>7</v>
      </c>
      <c r="AK526" s="3">
        <f t="shared" si="573"/>
        <v>1</v>
      </c>
      <c r="AL526" s="3">
        <f t="shared" si="574"/>
        <v>1</v>
      </c>
      <c r="AM526" s="17" t="str">
        <f>IF(SrcDB[[#This Row],[Pocet zmluv objednavatela]]&gt;3,SrcDB[[#This Row],[Objednavatel]],"Ostatné")</f>
        <v>Ostatné</v>
      </c>
      <c r="AN526" s="17" t="str">
        <f>IF(SrcDB[[#This Row],[Pocet zmluv dodavatela]]&gt;3,SrcDB[[#This Row],[Dodavatel]],"Ostatné")</f>
        <v>JUMP soft a.s.</v>
      </c>
    </row>
    <row r="527" spans="1:40" x14ac:dyDescent="0.3">
      <c r="A527" s="2" t="s">
        <v>711</v>
      </c>
      <c r="B527" s="2">
        <v>6029654</v>
      </c>
      <c r="C527" s="3" t="str">
        <f t="shared" si="567"/>
        <v>Nie</v>
      </c>
      <c r="D527" s="3" t="str">
        <f t="shared" si="568"/>
        <v>Áno</v>
      </c>
      <c r="E527" s="3" t="s">
        <v>48</v>
      </c>
      <c r="F527" s="3" t="s">
        <v>49</v>
      </c>
      <c r="G527" s="2" t="str">
        <f t="shared" si="569"/>
        <v>Stredné zmluvy</v>
      </c>
      <c r="H527" s="5">
        <v>30844878</v>
      </c>
      <c r="I527" s="2" t="s">
        <v>712</v>
      </c>
      <c r="J527" s="2" t="s">
        <v>713</v>
      </c>
      <c r="K527" s="5">
        <v>35760419</v>
      </c>
      <c r="L527" s="2" t="s">
        <v>85</v>
      </c>
      <c r="M527" s="2" t="s">
        <v>86</v>
      </c>
      <c r="N527" s="6">
        <v>44511</v>
      </c>
      <c r="O527" s="4">
        <v>1500000</v>
      </c>
      <c r="P527" s="2">
        <v>356929</v>
      </c>
      <c r="Q527" s="2" t="s">
        <v>714</v>
      </c>
      <c r="R527" s="2" t="s">
        <v>715</v>
      </c>
      <c r="S527" s="2" t="s">
        <v>77</v>
      </c>
      <c r="T527" s="2" t="s">
        <v>77</v>
      </c>
      <c r="W527" s="4">
        <v>600</v>
      </c>
      <c r="X527" s="4">
        <v>720</v>
      </c>
      <c r="Y527" s="4">
        <f t="shared" ref="Y527" si="585">INDEX(InternalRates,MATCH($S527,InternalRates01,FALSE),2)</f>
        <v>278.98333333333335</v>
      </c>
      <c r="Z527" s="3" t="str">
        <f t="shared" si="549"/>
        <v>Nie</v>
      </c>
      <c r="AA527" s="3" t="str">
        <f t="shared" si="550"/>
        <v>SLA</v>
      </c>
      <c r="AB527" s="4">
        <v>0</v>
      </c>
      <c r="AC527" s="4">
        <v>0</v>
      </c>
      <c r="AD527" s="3" t="s">
        <v>48</v>
      </c>
      <c r="AE527" s="6">
        <v>44935</v>
      </c>
      <c r="AF527" s="3" t="s">
        <v>59</v>
      </c>
      <c r="AG527" s="3" t="s">
        <v>49</v>
      </c>
      <c r="AH527" s="3">
        <f>YEAR(SrcDB[[#This Row],[Datum_zverejnenia]])</f>
        <v>2021</v>
      </c>
      <c r="AI527" s="3" cm="1">
        <f t="array" ref="AI527">COUNT(_xlfn.UNIQUE(_xlfn._xlws.FILTER(SrcDB[ID],SrcDB[Objednavatel_ICO]=$H527)))</f>
        <v>1</v>
      </c>
      <c r="AJ527" s="3" cm="1">
        <f t="array" ref="AJ527">COUNT(_xlfn.UNIQUE(_xlfn._xlws.FILTER(SrcDB[ID],SrcDB[Dodavatel_ICO]=$K527)))</f>
        <v>34</v>
      </c>
      <c r="AK527" s="3">
        <f t="shared" si="573"/>
        <v>1</v>
      </c>
      <c r="AL527" s="3">
        <f t="shared" si="574"/>
        <v>1</v>
      </c>
      <c r="AM527" s="17" t="str">
        <f>IF(SrcDB[[#This Row],[Pocet zmluv objednavatela]]&gt;3,SrcDB[[#This Row],[Objednavatel]],"Ostatné")</f>
        <v>Ostatné</v>
      </c>
      <c r="AN527" s="17" t="str">
        <f>IF(SrcDB[[#This Row],[Pocet zmluv dodavatela]]&gt;3,SrcDB[[#This Row],[Dodavatel]],"Ostatné")</f>
        <v>Asseco Central Europe, a.s.</v>
      </c>
    </row>
    <row r="528" spans="1:40" x14ac:dyDescent="0.3">
      <c r="A528" s="2" t="s">
        <v>711</v>
      </c>
      <c r="B528" s="2">
        <v>6029654</v>
      </c>
      <c r="C528" s="3" t="str">
        <f t="shared" si="567"/>
        <v>Nie</v>
      </c>
      <c r="D528" s="3" t="str">
        <f t="shared" si="568"/>
        <v>Áno</v>
      </c>
      <c r="E528" s="3" t="s">
        <v>48</v>
      </c>
      <c r="F528" s="3" t="s">
        <v>49</v>
      </c>
      <c r="G528" s="2" t="str">
        <f t="shared" si="569"/>
        <v>Stredné zmluvy</v>
      </c>
      <c r="H528" s="5">
        <v>30844878</v>
      </c>
      <c r="I528" s="2" t="s">
        <v>712</v>
      </c>
      <c r="J528" s="2" t="s">
        <v>713</v>
      </c>
      <c r="K528" s="5">
        <v>35760419</v>
      </c>
      <c r="L528" s="2" t="s">
        <v>85</v>
      </c>
      <c r="M528" s="2" t="s">
        <v>86</v>
      </c>
      <c r="N528" s="6">
        <v>44511</v>
      </c>
      <c r="O528" s="4">
        <v>1500000</v>
      </c>
      <c r="P528" s="2">
        <v>356929</v>
      </c>
      <c r="Q528" s="2" t="s">
        <v>714</v>
      </c>
      <c r="R528" s="2" t="s">
        <v>715</v>
      </c>
      <c r="S528" s="2" t="s">
        <v>79</v>
      </c>
      <c r="T528" s="2" t="s">
        <v>79</v>
      </c>
      <c r="W528" s="4">
        <v>600</v>
      </c>
      <c r="X528" s="4">
        <v>720</v>
      </c>
      <c r="Y528" s="4">
        <f t="shared" ref="Y528" si="586">INDEX(InternalRates,MATCH($S528,InternalRates01,FALSE),2)</f>
        <v>278.98333333333335</v>
      </c>
      <c r="Z528" s="3" t="str">
        <f t="shared" si="549"/>
        <v>Nie</v>
      </c>
      <c r="AA528" s="3" t="str">
        <f t="shared" si="550"/>
        <v>SLA</v>
      </c>
      <c r="AB528" s="4">
        <v>0</v>
      </c>
      <c r="AC528" s="4">
        <v>0</v>
      </c>
      <c r="AD528" s="3" t="s">
        <v>48</v>
      </c>
      <c r="AE528" s="6">
        <v>44935</v>
      </c>
      <c r="AF528" s="3" t="s">
        <v>59</v>
      </c>
      <c r="AG528" s="3" t="s">
        <v>49</v>
      </c>
      <c r="AH528" s="3">
        <f>YEAR(SrcDB[[#This Row],[Datum_zverejnenia]])</f>
        <v>2021</v>
      </c>
      <c r="AI528" s="3" cm="1">
        <f t="array" ref="AI528">COUNT(_xlfn.UNIQUE(_xlfn._xlws.FILTER(SrcDB[ID],SrcDB[Objednavatel_ICO]=$H528)))</f>
        <v>1</v>
      </c>
      <c r="AJ528" s="3" cm="1">
        <f t="array" ref="AJ528">COUNT(_xlfn.UNIQUE(_xlfn._xlws.FILTER(SrcDB[ID],SrcDB[Dodavatel_ICO]=$K528)))</f>
        <v>34</v>
      </c>
      <c r="AK528" s="3">
        <f t="shared" si="573"/>
        <v>0</v>
      </c>
      <c r="AL528" s="3">
        <f t="shared" si="574"/>
        <v>0</v>
      </c>
      <c r="AM528" s="17" t="str">
        <f>IF(SrcDB[[#This Row],[Pocet zmluv objednavatela]]&gt;3,SrcDB[[#This Row],[Objednavatel]],"Ostatné")</f>
        <v>Ostatné</v>
      </c>
      <c r="AN528" s="17" t="str">
        <f>IF(SrcDB[[#This Row],[Pocet zmluv dodavatela]]&gt;3,SrcDB[[#This Row],[Dodavatel]],"Ostatné")</f>
        <v>Asseco Central Europe, a.s.</v>
      </c>
    </row>
    <row r="529" spans="1:40" x14ac:dyDescent="0.3">
      <c r="A529" s="2" t="s">
        <v>711</v>
      </c>
      <c r="B529" s="2">
        <v>6029654</v>
      </c>
      <c r="C529" s="3" t="str">
        <f t="shared" si="567"/>
        <v>Nie</v>
      </c>
      <c r="D529" s="3" t="str">
        <f t="shared" si="568"/>
        <v>Áno</v>
      </c>
      <c r="E529" s="3" t="s">
        <v>48</v>
      </c>
      <c r="F529" s="3" t="s">
        <v>49</v>
      </c>
      <c r="G529" s="2" t="str">
        <f t="shared" si="569"/>
        <v>Stredné zmluvy</v>
      </c>
      <c r="H529" s="5">
        <v>30844878</v>
      </c>
      <c r="I529" s="2" t="s">
        <v>712</v>
      </c>
      <c r="J529" s="2" t="s">
        <v>713</v>
      </c>
      <c r="K529" s="5">
        <v>35760419</v>
      </c>
      <c r="L529" s="2" t="s">
        <v>85</v>
      </c>
      <c r="M529" s="2" t="s">
        <v>86</v>
      </c>
      <c r="N529" s="6">
        <v>44511</v>
      </c>
      <c r="O529" s="4">
        <v>1500000</v>
      </c>
      <c r="P529" s="2">
        <v>356929</v>
      </c>
      <c r="Q529" s="2" t="s">
        <v>714</v>
      </c>
      <c r="R529" s="2" t="s">
        <v>715</v>
      </c>
      <c r="S529" s="2" t="s">
        <v>56</v>
      </c>
      <c r="T529" s="2" t="s">
        <v>94</v>
      </c>
      <c r="U529" s="2" t="s">
        <v>95</v>
      </c>
      <c r="W529" s="4">
        <v>600</v>
      </c>
      <c r="X529" s="4">
        <v>720</v>
      </c>
      <c r="Y529" s="4">
        <f t="shared" ref="Y529" si="587">INDEX(InternalRates,MATCH($S529,InternalRates01,FALSE),2)</f>
        <v>278.98333333333335</v>
      </c>
      <c r="Z529" s="3" t="str">
        <f t="shared" si="549"/>
        <v>Nie</v>
      </c>
      <c r="AA529" s="3" t="str">
        <f t="shared" si="550"/>
        <v>SLA</v>
      </c>
      <c r="AB529" s="4">
        <v>0</v>
      </c>
      <c r="AC529" s="4">
        <v>0</v>
      </c>
      <c r="AD529" s="3" t="s">
        <v>48</v>
      </c>
      <c r="AE529" s="6">
        <v>44935</v>
      </c>
      <c r="AF529" s="3" t="s">
        <v>59</v>
      </c>
      <c r="AG529" s="3" t="s">
        <v>49</v>
      </c>
      <c r="AH529" s="3">
        <f>YEAR(SrcDB[[#This Row],[Datum_zverejnenia]])</f>
        <v>2021</v>
      </c>
      <c r="AI529" s="3" cm="1">
        <f t="array" ref="AI529">COUNT(_xlfn.UNIQUE(_xlfn._xlws.FILTER(SrcDB[ID],SrcDB[Objednavatel_ICO]=$H529)))</f>
        <v>1</v>
      </c>
      <c r="AJ529" s="3" cm="1">
        <f t="array" ref="AJ529">COUNT(_xlfn.UNIQUE(_xlfn._xlws.FILTER(SrcDB[ID],SrcDB[Dodavatel_ICO]=$K529)))</f>
        <v>34</v>
      </c>
      <c r="AK529" s="3">
        <f t="shared" si="573"/>
        <v>0</v>
      </c>
      <c r="AL529" s="3">
        <f t="shared" si="574"/>
        <v>0</v>
      </c>
      <c r="AM529" s="17" t="str">
        <f>IF(SrcDB[[#This Row],[Pocet zmluv objednavatela]]&gt;3,SrcDB[[#This Row],[Objednavatel]],"Ostatné")</f>
        <v>Ostatné</v>
      </c>
      <c r="AN529" s="17" t="str">
        <f>IF(SrcDB[[#This Row],[Pocet zmluv dodavatela]]&gt;3,SrcDB[[#This Row],[Dodavatel]],"Ostatné")</f>
        <v>Asseco Central Europe, a.s.</v>
      </c>
    </row>
    <row r="530" spans="1:40" x14ac:dyDescent="0.3">
      <c r="A530" s="2" t="s">
        <v>711</v>
      </c>
      <c r="B530" s="2">
        <v>6029654</v>
      </c>
      <c r="C530" s="3" t="str">
        <f t="shared" si="567"/>
        <v>Nie</v>
      </c>
      <c r="D530" s="3" t="str">
        <f t="shared" si="568"/>
        <v>Áno</v>
      </c>
      <c r="E530" s="3" t="s">
        <v>48</v>
      </c>
      <c r="F530" s="3" t="s">
        <v>49</v>
      </c>
      <c r="G530" s="2" t="str">
        <f t="shared" si="569"/>
        <v>Stredné zmluvy</v>
      </c>
      <c r="H530" s="5">
        <v>30844878</v>
      </c>
      <c r="I530" s="2" t="s">
        <v>712</v>
      </c>
      <c r="J530" s="2" t="s">
        <v>713</v>
      </c>
      <c r="K530" s="5">
        <v>35760419</v>
      </c>
      <c r="L530" s="2" t="s">
        <v>85</v>
      </c>
      <c r="M530" s="2" t="s">
        <v>86</v>
      </c>
      <c r="N530" s="6">
        <v>44511</v>
      </c>
      <c r="O530" s="4">
        <v>1500000</v>
      </c>
      <c r="P530" s="2">
        <v>356929</v>
      </c>
      <c r="Q530" s="2" t="s">
        <v>714</v>
      </c>
      <c r="R530" s="2" t="s">
        <v>715</v>
      </c>
      <c r="S530" s="2" t="s">
        <v>56</v>
      </c>
      <c r="T530" s="2" t="s">
        <v>716</v>
      </c>
      <c r="U530" s="2" t="s">
        <v>58</v>
      </c>
      <c r="W530" s="4">
        <v>600</v>
      </c>
      <c r="X530" s="4">
        <v>720</v>
      </c>
      <c r="Y530" s="4">
        <f t="shared" ref="Y530" si="588">INDEX(InternalRates,MATCH($S530,InternalRates01,FALSE),2)</f>
        <v>278.98333333333335</v>
      </c>
      <c r="Z530" s="3" t="str">
        <f t="shared" si="549"/>
        <v>Nie</v>
      </c>
      <c r="AA530" s="3" t="str">
        <f t="shared" si="550"/>
        <v>SLA</v>
      </c>
      <c r="AB530" s="4">
        <v>0</v>
      </c>
      <c r="AC530" s="4">
        <v>0</v>
      </c>
      <c r="AD530" s="3" t="s">
        <v>48</v>
      </c>
      <c r="AE530" s="6">
        <v>44935</v>
      </c>
      <c r="AF530" s="3" t="s">
        <v>59</v>
      </c>
      <c r="AG530" s="3" t="s">
        <v>49</v>
      </c>
      <c r="AH530" s="3">
        <f>YEAR(SrcDB[[#This Row],[Datum_zverejnenia]])</f>
        <v>2021</v>
      </c>
      <c r="AI530" s="3" cm="1">
        <f t="array" ref="AI530">COUNT(_xlfn.UNIQUE(_xlfn._xlws.FILTER(SrcDB[ID],SrcDB[Objednavatel_ICO]=$H530)))</f>
        <v>1</v>
      </c>
      <c r="AJ530" s="3" cm="1">
        <f t="array" ref="AJ530">COUNT(_xlfn.UNIQUE(_xlfn._xlws.FILTER(SrcDB[ID],SrcDB[Dodavatel_ICO]=$K530)))</f>
        <v>34</v>
      </c>
      <c r="AK530" s="3">
        <f t="shared" si="573"/>
        <v>0</v>
      </c>
      <c r="AL530" s="3">
        <f t="shared" si="574"/>
        <v>0</v>
      </c>
      <c r="AM530" s="17" t="str">
        <f>IF(SrcDB[[#This Row],[Pocet zmluv objednavatela]]&gt;3,SrcDB[[#This Row],[Objednavatel]],"Ostatné")</f>
        <v>Ostatné</v>
      </c>
      <c r="AN530" s="17" t="str">
        <f>IF(SrcDB[[#This Row],[Pocet zmluv dodavatela]]&gt;3,SrcDB[[#This Row],[Dodavatel]],"Ostatné")</f>
        <v>Asseco Central Europe, a.s.</v>
      </c>
    </row>
    <row r="531" spans="1:40" x14ac:dyDescent="0.3">
      <c r="A531" s="2" t="s">
        <v>711</v>
      </c>
      <c r="B531" s="2">
        <v>6029654</v>
      </c>
      <c r="C531" s="3" t="str">
        <f t="shared" si="567"/>
        <v>Nie</v>
      </c>
      <c r="D531" s="3" t="str">
        <f t="shared" si="568"/>
        <v>Áno</v>
      </c>
      <c r="E531" s="3" t="s">
        <v>48</v>
      </c>
      <c r="F531" s="3" t="s">
        <v>49</v>
      </c>
      <c r="G531" s="2" t="str">
        <f t="shared" si="569"/>
        <v>Stredné zmluvy</v>
      </c>
      <c r="H531" s="5">
        <v>30844878</v>
      </c>
      <c r="I531" s="2" t="s">
        <v>712</v>
      </c>
      <c r="J531" s="2" t="s">
        <v>713</v>
      </c>
      <c r="K531" s="5">
        <v>35760419</v>
      </c>
      <c r="L531" s="2" t="s">
        <v>85</v>
      </c>
      <c r="M531" s="2" t="s">
        <v>86</v>
      </c>
      <c r="N531" s="6">
        <v>44511.576990740738</v>
      </c>
      <c r="O531" s="4">
        <v>1500000</v>
      </c>
      <c r="P531" s="2">
        <v>356929</v>
      </c>
      <c r="Q531" s="2" t="s">
        <v>714</v>
      </c>
      <c r="R531" s="2" t="s">
        <v>715</v>
      </c>
      <c r="S531" s="2" t="s">
        <v>69</v>
      </c>
      <c r="T531" s="2" t="s">
        <v>70</v>
      </c>
      <c r="W531" s="4">
        <v>600</v>
      </c>
      <c r="X531" s="4">
        <v>720</v>
      </c>
      <c r="Y531" s="4">
        <f t="shared" ref="Y531" si="589">INDEX(InternalRates,MATCH($S531,InternalRates01,FALSE),2)</f>
        <v>278.98333333333335</v>
      </c>
      <c r="Z531" s="3" t="str">
        <f t="shared" si="549"/>
        <v>Nie</v>
      </c>
      <c r="AA531" s="3" t="str">
        <f t="shared" si="550"/>
        <v>SLA</v>
      </c>
      <c r="AB531" s="4">
        <v>0</v>
      </c>
      <c r="AC531" s="4">
        <v>0</v>
      </c>
      <c r="AD531" s="3" t="s">
        <v>48</v>
      </c>
      <c r="AE531" s="6">
        <v>44935</v>
      </c>
      <c r="AF531" s="3" t="s">
        <v>59</v>
      </c>
      <c r="AG531" s="3" t="s">
        <v>49</v>
      </c>
      <c r="AH531" s="3">
        <f>YEAR(SrcDB[[#This Row],[Datum_zverejnenia]])</f>
        <v>2021</v>
      </c>
      <c r="AI531" s="3" cm="1">
        <f t="array" ref="AI531">COUNT(_xlfn.UNIQUE(_xlfn._xlws.FILTER(SrcDB[ID],SrcDB[Objednavatel_ICO]=$H531)))</f>
        <v>1</v>
      </c>
      <c r="AJ531" s="3" cm="1">
        <f t="array" ref="AJ531">COUNT(_xlfn.UNIQUE(_xlfn._xlws.FILTER(SrcDB[ID],SrcDB[Dodavatel_ICO]=$K531)))</f>
        <v>34</v>
      </c>
      <c r="AK531" s="3">
        <f t="shared" si="573"/>
        <v>0</v>
      </c>
      <c r="AL531" s="3">
        <f t="shared" si="574"/>
        <v>0</v>
      </c>
      <c r="AM531" s="17" t="str">
        <f>IF(SrcDB[[#This Row],[Pocet zmluv objednavatela]]&gt;3,SrcDB[[#This Row],[Objednavatel]],"Ostatné")</f>
        <v>Ostatné</v>
      </c>
      <c r="AN531" s="17" t="str">
        <f>IF(SrcDB[[#This Row],[Pocet zmluv dodavatela]]&gt;3,SrcDB[[#This Row],[Dodavatel]],"Ostatné")</f>
        <v>Asseco Central Europe, a.s.</v>
      </c>
    </row>
    <row r="532" spans="1:40" x14ac:dyDescent="0.3">
      <c r="A532" s="2" t="s">
        <v>711</v>
      </c>
      <c r="B532" s="2">
        <v>6029654</v>
      </c>
      <c r="C532" s="3" t="str">
        <f t="shared" si="567"/>
        <v>Nie</v>
      </c>
      <c r="D532" s="3" t="str">
        <f t="shared" si="568"/>
        <v>Áno</v>
      </c>
      <c r="E532" s="3" t="s">
        <v>48</v>
      </c>
      <c r="F532" s="3" t="s">
        <v>49</v>
      </c>
      <c r="G532" s="2" t="str">
        <f t="shared" si="569"/>
        <v>Stredné zmluvy</v>
      </c>
      <c r="H532" s="5">
        <v>30844878</v>
      </c>
      <c r="I532" s="2" t="s">
        <v>712</v>
      </c>
      <c r="J532" s="2" t="s">
        <v>713</v>
      </c>
      <c r="K532" s="5">
        <v>35760419</v>
      </c>
      <c r="L532" s="2" t="s">
        <v>85</v>
      </c>
      <c r="M532" s="2" t="s">
        <v>86</v>
      </c>
      <c r="N532" s="6">
        <v>44511.576990740738</v>
      </c>
      <c r="O532" s="4">
        <v>1500000</v>
      </c>
      <c r="P532" s="2">
        <v>356929</v>
      </c>
      <c r="Q532" s="2" t="s">
        <v>714</v>
      </c>
      <c r="R532" s="2" t="s">
        <v>715</v>
      </c>
      <c r="S532" s="2" t="s">
        <v>73</v>
      </c>
      <c r="T532" s="2" t="s">
        <v>73</v>
      </c>
      <c r="W532" s="4">
        <v>600</v>
      </c>
      <c r="X532" s="4">
        <v>720</v>
      </c>
      <c r="Y532" s="4">
        <f t="shared" ref="Y532" si="590">INDEX(InternalRates,MATCH($S532,InternalRates01,FALSE),2)</f>
        <v>278.98333333333335</v>
      </c>
      <c r="Z532" s="3" t="str">
        <f t="shared" si="549"/>
        <v>Nie</v>
      </c>
      <c r="AA532" s="3" t="str">
        <f t="shared" si="550"/>
        <v>SLA</v>
      </c>
      <c r="AB532" s="4">
        <v>0</v>
      </c>
      <c r="AC532" s="4">
        <v>0</v>
      </c>
      <c r="AD532" s="3" t="s">
        <v>48</v>
      </c>
      <c r="AE532" s="6">
        <v>44935</v>
      </c>
      <c r="AF532" s="3" t="s">
        <v>59</v>
      </c>
      <c r="AG532" s="3" t="s">
        <v>49</v>
      </c>
      <c r="AH532" s="3">
        <f>YEAR(SrcDB[[#This Row],[Datum_zverejnenia]])</f>
        <v>2021</v>
      </c>
      <c r="AI532" s="3" cm="1">
        <f t="array" ref="AI532">COUNT(_xlfn.UNIQUE(_xlfn._xlws.FILTER(SrcDB[ID],SrcDB[Objednavatel_ICO]=$H532)))</f>
        <v>1</v>
      </c>
      <c r="AJ532" s="3" cm="1">
        <f t="array" ref="AJ532">COUNT(_xlfn.UNIQUE(_xlfn._xlws.FILTER(SrcDB[ID],SrcDB[Dodavatel_ICO]=$K532)))</f>
        <v>34</v>
      </c>
      <c r="AK532" s="3">
        <f t="shared" si="573"/>
        <v>0</v>
      </c>
      <c r="AL532" s="3">
        <f t="shared" si="574"/>
        <v>0</v>
      </c>
      <c r="AM532" s="17" t="str">
        <f>IF(SrcDB[[#This Row],[Pocet zmluv objednavatela]]&gt;3,SrcDB[[#This Row],[Objednavatel]],"Ostatné")</f>
        <v>Ostatné</v>
      </c>
      <c r="AN532" s="17" t="str">
        <f>IF(SrcDB[[#This Row],[Pocet zmluv dodavatela]]&gt;3,SrcDB[[#This Row],[Dodavatel]],"Ostatné")</f>
        <v>Asseco Central Europe, a.s.</v>
      </c>
    </row>
    <row r="533" spans="1:40" x14ac:dyDescent="0.3">
      <c r="A533" s="2" t="s">
        <v>717</v>
      </c>
      <c r="B533" s="2">
        <v>6042278</v>
      </c>
      <c r="C533" s="3" t="str">
        <f t="shared" si="567"/>
        <v>Nie</v>
      </c>
      <c r="D533" s="3" t="str">
        <f t="shared" si="568"/>
        <v>Áno</v>
      </c>
      <c r="E533" s="3" t="s">
        <v>48</v>
      </c>
      <c r="F533" s="3" t="s">
        <v>49</v>
      </c>
      <c r="G533" s="2" t="str">
        <f t="shared" si="569"/>
        <v>Veľké zmluvy</v>
      </c>
      <c r="H533" s="5">
        <v>30416094</v>
      </c>
      <c r="I533" s="2" t="s">
        <v>718</v>
      </c>
      <c r="J533" s="2" t="s">
        <v>719</v>
      </c>
      <c r="K533" s="5">
        <v>31326650</v>
      </c>
      <c r="L533" s="2" t="s">
        <v>156</v>
      </c>
      <c r="M533" s="2" t="s">
        <v>696</v>
      </c>
      <c r="N533" s="6">
        <v>44519.526666666665</v>
      </c>
      <c r="O533" s="4">
        <v>8993645.0399999991</v>
      </c>
      <c r="P533" s="2">
        <v>114573</v>
      </c>
      <c r="Q533" s="2" t="s">
        <v>720</v>
      </c>
      <c r="R533" s="2" t="s">
        <v>721</v>
      </c>
      <c r="S533" s="2" t="s">
        <v>56</v>
      </c>
      <c r="T533" s="2" t="s">
        <v>286</v>
      </c>
      <c r="U533" s="2" t="s">
        <v>129</v>
      </c>
      <c r="W533" s="4">
        <v>424</v>
      </c>
      <c r="X533" s="4">
        <v>508.79999999999995</v>
      </c>
      <c r="Y533" s="4">
        <f t="shared" ref="Y533" si="591">INDEX(InternalRates,MATCH($S533,InternalRates01,FALSE),2)</f>
        <v>278.98333333333335</v>
      </c>
      <c r="Z533" s="3" t="str">
        <f t="shared" si="549"/>
        <v>Nie</v>
      </c>
      <c r="AA533" s="3" t="str">
        <f t="shared" si="550"/>
        <v>SLA</v>
      </c>
      <c r="AB533" s="4">
        <v>1610.5</v>
      </c>
      <c r="AC533" s="4">
        <v>536.83333333333337</v>
      </c>
      <c r="AD533" s="3" t="s">
        <v>48</v>
      </c>
      <c r="AE533" s="6">
        <v>44581</v>
      </c>
      <c r="AF533" s="3" t="s">
        <v>59</v>
      </c>
      <c r="AG533" s="3" t="s">
        <v>48</v>
      </c>
      <c r="AH533" s="3">
        <f>YEAR(SrcDB[[#This Row],[Datum_zverejnenia]])</f>
        <v>2021</v>
      </c>
      <c r="AI533" s="3" cm="1">
        <f t="array" ref="AI533">COUNT(_xlfn.UNIQUE(_xlfn._xlws.FILTER(SrcDB[ID],SrcDB[Objednavatel_ICO]=$H533)))</f>
        <v>2</v>
      </c>
      <c r="AJ533" s="3" cm="1">
        <f t="array" ref="AJ533">COUNT(_xlfn.UNIQUE(_xlfn._xlws.FILTER(SrcDB[ID],SrcDB[Dodavatel_ICO]=$K533)))</f>
        <v>8</v>
      </c>
      <c r="AK533" s="3">
        <f t="shared" si="573"/>
        <v>1</v>
      </c>
      <c r="AL533" s="3">
        <f t="shared" si="574"/>
        <v>1</v>
      </c>
      <c r="AM533" s="17" t="str">
        <f>IF(SrcDB[[#This Row],[Pocet zmluv objednavatela]]&gt;3,SrcDB[[#This Row],[Objednavatel]],"Ostatné")</f>
        <v>Ostatné</v>
      </c>
      <c r="AN533" s="17" t="str">
        <f>IF(SrcDB[[#This Row],[Pocet zmluv dodavatela]]&gt;3,SrcDB[[#This Row],[Dodavatel]],"Ostatné")</f>
        <v>TEMPEST a.s.</v>
      </c>
    </row>
    <row r="534" spans="1:40" x14ac:dyDescent="0.3">
      <c r="A534" s="2" t="s">
        <v>717</v>
      </c>
      <c r="B534" s="2">
        <v>6042278</v>
      </c>
      <c r="C534" s="3" t="str">
        <f t="shared" si="567"/>
        <v>Nie</v>
      </c>
      <c r="D534" s="3" t="str">
        <f t="shared" si="568"/>
        <v>Áno</v>
      </c>
      <c r="E534" s="3" t="s">
        <v>48</v>
      </c>
      <c r="F534" s="3" t="s">
        <v>49</v>
      </c>
      <c r="G534" s="2" t="str">
        <f t="shared" si="569"/>
        <v>Veľké zmluvy</v>
      </c>
      <c r="H534" s="5">
        <v>30416094</v>
      </c>
      <c r="I534" s="2" t="s">
        <v>718</v>
      </c>
      <c r="J534" s="2" t="s">
        <v>719</v>
      </c>
      <c r="K534" s="5">
        <v>31326650</v>
      </c>
      <c r="L534" s="2" t="s">
        <v>156</v>
      </c>
      <c r="M534" s="2" t="s">
        <v>696</v>
      </c>
      <c r="N534" s="6">
        <v>44519.526666666665</v>
      </c>
      <c r="O534" s="4">
        <v>8993645.0399999991</v>
      </c>
      <c r="P534" s="2">
        <v>114573</v>
      </c>
      <c r="Q534" s="2" t="s">
        <v>720</v>
      </c>
      <c r="R534" s="2" t="s">
        <v>721</v>
      </c>
      <c r="S534" s="2" t="s">
        <v>71</v>
      </c>
      <c r="T534" s="2" t="s">
        <v>71</v>
      </c>
      <c r="W534" s="4">
        <v>480</v>
      </c>
      <c r="X534" s="4">
        <v>576</v>
      </c>
      <c r="Y534" s="4">
        <f t="shared" ref="Y534" si="592">INDEX(InternalRates,MATCH($S534,InternalRates01,FALSE),2)</f>
        <v>354.0333333333333</v>
      </c>
      <c r="Z534" s="3" t="str">
        <f t="shared" si="549"/>
        <v>Nie</v>
      </c>
      <c r="AA534" s="3" t="str">
        <f t="shared" si="550"/>
        <v>SLA</v>
      </c>
      <c r="AB534" s="4">
        <v>304.875</v>
      </c>
      <c r="AC534" s="4">
        <v>101.625</v>
      </c>
      <c r="AD534" s="3" t="s">
        <v>48</v>
      </c>
      <c r="AE534" s="6">
        <v>44581</v>
      </c>
      <c r="AF534" s="3" t="s">
        <v>59</v>
      </c>
      <c r="AG534" s="3" t="s">
        <v>48</v>
      </c>
      <c r="AH534" s="3">
        <f>YEAR(SrcDB[[#This Row],[Datum_zverejnenia]])</f>
        <v>2021</v>
      </c>
      <c r="AI534" s="3" cm="1">
        <f t="array" ref="AI534">COUNT(_xlfn.UNIQUE(_xlfn._xlws.FILTER(SrcDB[ID],SrcDB[Objednavatel_ICO]=$H534)))</f>
        <v>2</v>
      </c>
      <c r="AJ534" s="3" cm="1">
        <f t="array" ref="AJ534">COUNT(_xlfn.UNIQUE(_xlfn._xlws.FILTER(SrcDB[ID],SrcDB[Dodavatel_ICO]=$K534)))</f>
        <v>8</v>
      </c>
      <c r="AK534" s="3">
        <f t="shared" si="573"/>
        <v>0</v>
      </c>
      <c r="AL534" s="3">
        <f t="shared" si="574"/>
        <v>0</v>
      </c>
      <c r="AM534" s="17" t="str">
        <f>IF(SrcDB[[#This Row],[Pocet zmluv objednavatela]]&gt;3,SrcDB[[#This Row],[Objednavatel]],"Ostatné")</f>
        <v>Ostatné</v>
      </c>
      <c r="AN534" s="17" t="str">
        <f>IF(SrcDB[[#This Row],[Pocet zmluv dodavatela]]&gt;3,SrcDB[[#This Row],[Dodavatel]],"Ostatné")</f>
        <v>TEMPEST a.s.</v>
      </c>
    </row>
    <row r="535" spans="1:40" x14ac:dyDescent="0.3">
      <c r="A535" s="2" t="s">
        <v>717</v>
      </c>
      <c r="B535" s="2">
        <v>6042278</v>
      </c>
      <c r="C535" s="3" t="str">
        <f t="shared" si="567"/>
        <v>Nie</v>
      </c>
      <c r="D535" s="3" t="str">
        <f t="shared" si="568"/>
        <v>Áno</v>
      </c>
      <c r="E535" s="3" t="s">
        <v>48</v>
      </c>
      <c r="F535" s="3" t="s">
        <v>49</v>
      </c>
      <c r="G535" s="2" t="str">
        <f t="shared" si="569"/>
        <v>Veľké zmluvy</v>
      </c>
      <c r="H535" s="5">
        <v>30416094</v>
      </c>
      <c r="I535" s="2" t="s">
        <v>718</v>
      </c>
      <c r="J535" s="2" t="s">
        <v>719</v>
      </c>
      <c r="K535" s="5">
        <v>31326650</v>
      </c>
      <c r="L535" s="2" t="s">
        <v>156</v>
      </c>
      <c r="M535" s="2" t="s">
        <v>696</v>
      </c>
      <c r="N535" s="6">
        <v>44519.526666666665</v>
      </c>
      <c r="O535" s="4">
        <v>8993645.0399999991</v>
      </c>
      <c r="P535" s="2">
        <v>114573</v>
      </c>
      <c r="Q535" s="2" t="s">
        <v>720</v>
      </c>
      <c r="R535" s="2" t="s">
        <v>721</v>
      </c>
      <c r="S535" s="2" t="s">
        <v>69</v>
      </c>
      <c r="T535" s="2" t="s">
        <v>70</v>
      </c>
      <c r="W535" s="4">
        <v>440</v>
      </c>
      <c r="X535" s="4">
        <v>528</v>
      </c>
      <c r="Y535" s="4">
        <f t="shared" ref="Y535" si="593">INDEX(InternalRates,MATCH($S535,InternalRates01,FALSE),2)</f>
        <v>278.98333333333335</v>
      </c>
      <c r="Z535" s="3" t="str">
        <f t="shared" si="549"/>
        <v>Nie</v>
      </c>
      <c r="AA535" s="3" t="str">
        <f t="shared" si="550"/>
        <v>SLA</v>
      </c>
      <c r="AB535" s="4">
        <v>782.5</v>
      </c>
      <c r="AC535" s="4">
        <v>260.83333333333331</v>
      </c>
      <c r="AD535" s="3" t="s">
        <v>48</v>
      </c>
      <c r="AE535" s="6">
        <v>44581</v>
      </c>
      <c r="AF535" s="3" t="s">
        <v>59</v>
      </c>
      <c r="AG535" s="3" t="s">
        <v>48</v>
      </c>
      <c r="AH535" s="3">
        <f>YEAR(SrcDB[[#This Row],[Datum_zverejnenia]])</f>
        <v>2021</v>
      </c>
      <c r="AI535" s="3" cm="1">
        <f t="array" ref="AI535">COUNT(_xlfn.UNIQUE(_xlfn._xlws.FILTER(SrcDB[ID],SrcDB[Objednavatel_ICO]=$H535)))</f>
        <v>2</v>
      </c>
      <c r="AJ535" s="3" cm="1">
        <f t="array" ref="AJ535">COUNT(_xlfn.UNIQUE(_xlfn._xlws.FILTER(SrcDB[ID],SrcDB[Dodavatel_ICO]=$K535)))</f>
        <v>8</v>
      </c>
      <c r="AK535" s="3">
        <f t="shared" si="573"/>
        <v>0</v>
      </c>
      <c r="AL535" s="3">
        <f t="shared" si="574"/>
        <v>0</v>
      </c>
      <c r="AM535" s="17" t="str">
        <f>IF(SrcDB[[#This Row],[Pocet zmluv objednavatela]]&gt;3,SrcDB[[#This Row],[Objednavatel]],"Ostatné")</f>
        <v>Ostatné</v>
      </c>
      <c r="AN535" s="17" t="str">
        <f>IF(SrcDB[[#This Row],[Pocet zmluv dodavatela]]&gt;3,SrcDB[[#This Row],[Dodavatel]],"Ostatné")</f>
        <v>TEMPEST a.s.</v>
      </c>
    </row>
    <row r="536" spans="1:40" x14ac:dyDescent="0.3">
      <c r="A536" s="2" t="s">
        <v>717</v>
      </c>
      <c r="B536" s="2">
        <v>6042278</v>
      </c>
      <c r="C536" s="3" t="str">
        <f t="shared" si="567"/>
        <v>Nie</v>
      </c>
      <c r="D536" s="3" t="str">
        <f t="shared" si="568"/>
        <v>Áno</v>
      </c>
      <c r="E536" s="3" t="s">
        <v>48</v>
      </c>
      <c r="F536" s="3" t="s">
        <v>49</v>
      </c>
      <c r="G536" s="2" t="str">
        <f t="shared" si="569"/>
        <v>Veľké zmluvy</v>
      </c>
      <c r="H536" s="5">
        <v>30416094</v>
      </c>
      <c r="I536" s="2" t="s">
        <v>718</v>
      </c>
      <c r="J536" s="2" t="s">
        <v>719</v>
      </c>
      <c r="K536" s="5">
        <v>31326650</v>
      </c>
      <c r="L536" s="2" t="s">
        <v>156</v>
      </c>
      <c r="M536" s="2" t="s">
        <v>696</v>
      </c>
      <c r="N536" s="6">
        <v>44519.526666666665</v>
      </c>
      <c r="O536" s="4">
        <v>8993645.0399999991</v>
      </c>
      <c r="P536" s="2">
        <v>114573</v>
      </c>
      <c r="Q536" s="2" t="s">
        <v>720</v>
      </c>
      <c r="R536" s="2" t="s">
        <v>721</v>
      </c>
      <c r="S536" s="2" t="s">
        <v>77</v>
      </c>
      <c r="T536" s="2" t="s">
        <v>77</v>
      </c>
      <c r="W536" s="4">
        <v>392</v>
      </c>
      <c r="X536" s="4">
        <v>470.4</v>
      </c>
      <c r="Y536" s="4">
        <f t="shared" ref="Y536" si="594">INDEX(InternalRates,MATCH($S536,InternalRates01,FALSE),2)</f>
        <v>278.98333333333335</v>
      </c>
      <c r="Z536" s="3" t="str">
        <f t="shared" si="549"/>
        <v>Nie</v>
      </c>
      <c r="AA536" s="3" t="str">
        <f t="shared" si="550"/>
        <v>SLA</v>
      </c>
      <c r="AB536" s="4">
        <v>4185.875</v>
      </c>
      <c r="AC536" s="4">
        <v>1395.2916666666667</v>
      </c>
      <c r="AD536" s="3" t="s">
        <v>48</v>
      </c>
      <c r="AE536" s="6">
        <v>44581</v>
      </c>
      <c r="AF536" s="3" t="s">
        <v>59</v>
      </c>
      <c r="AG536" s="3" t="s">
        <v>48</v>
      </c>
      <c r="AH536" s="3">
        <f>YEAR(SrcDB[[#This Row],[Datum_zverejnenia]])</f>
        <v>2021</v>
      </c>
      <c r="AI536" s="3" cm="1">
        <f t="array" ref="AI536">COUNT(_xlfn.UNIQUE(_xlfn._xlws.FILTER(SrcDB[ID],SrcDB[Objednavatel_ICO]=$H536)))</f>
        <v>2</v>
      </c>
      <c r="AJ536" s="3" cm="1">
        <f t="array" ref="AJ536">COUNT(_xlfn.UNIQUE(_xlfn._xlws.FILTER(SrcDB[ID],SrcDB[Dodavatel_ICO]=$K536)))</f>
        <v>8</v>
      </c>
      <c r="AK536" s="3">
        <f t="shared" si="573"/>
        <v>0</v>
      </c>
      <c r="AL536" s="3">
        <f t="shared" si="574"/>
        <v>0</v>
      </c>
      <c r="AM536" s="17" t="str">
        <f>IF(SrcDB[[#This Row],[Pocet zmluv objednavatela]]&gt;3,SrcDB[[#This Row],[Objednavatel]],"Ostatné")</f>
        <v>Ostatné</v>
      </c>
      <c r="AN536" s="17" t="str">
        <f>IF(SrcDB[[#This Row],[Pocet zmluv dodavatela]]&gt;3,SrcDB[[#This Row],[Dodavatel]],"Ostatné")</f>
        <v>TEMPEST a.s.</v>
      </c>
    </row>
    <row r="537" spans="1:40" x14ac:dyDescent="0.3">
      <c r="A537" s="2" t="s">
        <v>717</v>
      </c>
      <c r="B537" s="2">
        <v>6042278</v>
      </c>
      <c r="C537" s="3" t="str">
        <f t="shared" si="567"/>
        <v>Nie</v>
      </c>
      <c r="D537" s="3" t="str">
        <f t="shared" si="568"/>
        <v>Áno</v>
      </c>
      <c r="E537" s="3" t="s">
        <v>48</v>
      </c>
      <c r="F537" s="3" t="s">
        <v>49</v>
      </c>
      <c r="G537" s="2" t="str">
        <f t="shared" si="569"/>
        <v>Veľké zmluvy</v>
      </c>
      <c r="H537" s="5">
        <v>30416094</v>
      </c>
      <c r="I537" s="2" t="s">
        <v>718</v>
      </c>
      <c r="J537" s="2" t="s">
        <v>719</v>
      </c>
      <c r="K537" s="5">
        <v>31326650</v>
      </c>
      <c r="L537" s="2" t="s">
        <v>156</v>
      </c>
      <c r="M537" s="2" t="s">
        <v>696</v>
      </c>
      <c r="N537" s="6">
        <v>44519.526666666665</v>
      </c>
      <c r="O537" s="4">
        <v>8993645.0399999991</v>
      </c>
      <c r="P537" s="2">
        <v>114573</v>
      </c>
      <c r="Q537" s="2" t="s">
        <v>720</v>
      </c>
      <c r="R537" s="2" t="s">
        <v>721</v>
      </c>
      <c r="S537" s="2" t="s">
        <v>56</v>
      </c>
      <c r="T537" s="2" t="s">
        <v>56</v>
      </c>
      <c r="U537" s="2" t="s">
        <v>58</v>
      </c>
      <c r="W537" s="4">
        <v>496</v>
      </c>
      <c r="X537" s="4">
        <v>595.19999999999993</v>
      </c>
      <c r="Y537" s="4">
        <f t="shared" ref="Y537" si="595">INDEX(InternalRates,MATCH($S537,InternalRates01,FALSE),2)</f>
        <v>278.98333333333335</v>
      </c>
      <c r="Z537" s="3" t="str">
        <f t="shared" si="549"/>
        <v>Nie</v>
      </c>
      <c r="AA537" s="3" t="str">
        <f t="shared" si="550"/>
        <v>SLA</v>
      </c>
      <c r="AB537" s="4">
        <v>600.375</v>
      </c>
      <c r="AC537" s="4">
        <v>200.125</v>
      </c>
      <c r="AD537" s="3" t="s">
        <v>48</v>
      </c>
      <c r="AE537" s="6">
        <v>44581</v>
      </c>
      <c r="AF537" s="3" t="s">
        <v>59</v>
      </c>
      <c r="AG537" s="3" t="s">
        <v>48</v>
      </c>
      <c r="AH537" s="3">
        <f>YEAR(SrcDB[[#This Row],[Datum_zverejnenia]])</f>
        <v>2021</v>
      </c>
      <c r="AI537" s="3" cm="1">
        <f t="array" ref="AI537">COUNT(_xlfn.UNIQUE(_xlfn._xlws.FILTER(SrcDB[ID],SrcDB[Objednavatel_ICO]=$H537)))</f>
        <v>2</v>
      </c>
      <c r="AJ537" s="3" cm="1">
        <f t="array" ref="AJ537">COUNT(_xlfn.UNIQUE(_xlfn._xlws.FILTER(SrcDB[ID],SrcDB[Dodavatel_ICO]=$K537)))</f>
        <v>8</v>
      </c>
      <c r="AK537" s="3">
        <f t="shared" si="573"/>
        <v>0</v>
      </c>
      <c r="AL537" s="3">
        <f t="shared" si="574"/>
        <v>0</v>
      </c>
      <c r="AM537" s="17" t="str">
        <f>IF(SrcDB[[#This Row],[Pocet zmluv objednavatela]]&gt;3,SrcDB[[#This Row],[Objednavatel]],"Ostatné")</f>
        <v>Ostatné</v>
      </c>
      <c r="AN537" s="17" t="str">
        <f>IF(SrcDB[[#This Row],[Pocet zmluv dodavatela]]&gt;3,SrcDB[[#This Row],[Dodavatel]],"Ostatné")</f>
        <v>TEMPEST a.s.</v>
      </c>
    </row>
    <row r="538" spans="1:40" x14ac:dyDescent="0.3">
      <c r="A538" s="2" t="s">
        <v>717</v>
      </c>
      <c r="B538" s="2">
        <v>6042278</v>
      </c>
      <c r="C538" s="3" t="str">
        <f t="shared" si="567"/>
        <v>Nie</v>
      </c>
      <c r="D538" s="3" t="str">
        <f t="shared" si="568"/>
        <v>Áno</v>
      </c>
      <c r="E538" s="3" t="s">
        <v>48</v>
      </c>
      <c r="F538" s="3" t="s">
        <v>49</v>
      </c>
      <c r="G538" s="2" t="str">
        <f t="shared" si="569"/>
        <v>Veľké zmluvy</v>
      </c>
      <c r="H538" s="5">
        <v>30416094</v>
      </c>
      <c r="I538" s="2" t="s">
        <v>718</v>
      </c>
      <c r="J538" s="2" t="s">
        <v>719</v>
      </c>
      <c r="K538" s="5">
        <v>31326650</v>
      </c>
      <c r="L538" s="2" t="s">
        <v>156</v>
      </c>
      <c r="M538" s="2" t="s">
        <v>696</v>
      </c>
      <c r="N538" s="6">
        <v>44519.526666666665</v>
      </c>
      <c r="O538" s="4">
        <v>8993645.0399999991</v>
      </c>
      <c r="P538" s="2">
        <v>114573</v>
      </c>
      <c r="Q538" s="2" t="s">
        <v>720</v>
      </c>
      <c r="R538" s="2" t="s">
        <v>721</v>
      </c>
      <c r="S538" s="2" t="s">
        <v>79</v>
      </c>
      <c r="T538" s="2" t="s">
        <v>79</v>
      </c>
      <c r="W538" s="4">
        <v>384</v>
      </c>
      <c r="X538" s="4">
        <v>460.79999999999995</v>
      </c>
      <c r="Y538" s="4">
        <f t="shared" ref="Y538" si="596">INDEX(InternalRates,MATCH($S538,InternalRates01,FALSE),2)</f>
        <v>278.98333333333335</v>
      </c>
      <c r="Z538" s="3" t="str">
        <f t="shared" si="549"/>
        <v>Nie</v>
      </c>
      <c r="AA538" s="3" t="str">
        <f t="shared" si="550"/>
        <v>SLA</v>
      </c>
      <c r="AB538" s="4">
        <v>1289.875</v>
      </c>
      <c r="AC538" s="4">
        <v>429.95833333333331</v>
      </c>
      <c r="AD538" s="3" t="s">
        <v>48</v>
      </c>
      <c r="AE538" s="6">
        <v>44581</v>
      </c>
      <c r="AF538" s="3" t="s">
        <v>59</v>
      </c>
      <c r="AG538" s="3" t="s">
        <v>48</v>
      </c>
      <c r="AH538" s="3">
        <f>YEAR(SrcDB[[#This Row],[Datum_zverejnenia]])</f>
        <v>2021</v>
      </c>
      <c r="AI538" s="3" cm="1">
        <f t="array" ref="AI538">COUNT(_xlfn.UNIQUE(_xlfn._xlws.FILTER(SrcDB[ID],SrcDB[Objednavatel_ICO]=$H538)))</f>
        <v>2</v>
      </c>
      <c r="AJ538" s="3" cm="1">
        <f t="array" ref="AJ538">COUNT(_xlfn.UNIQUE(_xlfn._xlws.FILTER(SrcDB[ID],SrcDB[Dodavatel_ICO]=$K538)))</f>
        <v>8</v>
      </c>
      <c r="AK538" s="3">
        <f t="shared" si="573"/>
        <v>0</v>
      </c>
      <c r="AL538" s="3">
        <f t="shared" si="574"/>
        <v>0</v>
      </c>
      <c r="AM538" s="17" t="str">
        <f>IF(SrcDB[[#This Row],[Pocet zmluv objednavatela]]&gt;3,SrcDB[[#This Row],[Objednavatel]],"Ostatné")</f>
        <v>Ostatné</v>
      </c>
      <c r="AN538" s="17" t="str">
        <f>IF(SrcDB[[#This Row],[Pocet zmluv dodavatela]]&gt;3,SrcDB[[#This Row],[Dodavatel]],"Ostatné")</f>
        <v>TEMPEST a.s.</v>
      </c>
    </row>
    <row r="539" spans="1:40" x14ac:dyDescent="0.3">
      <c r="A539" s="2" t="s">
        <v>176</v>
      </c>
      <c r="B539" s="2">
        <v>6060942</v>
      </c>
      <c r="C539" s="3" t="str">
        <f t="shared" si="567"/>
        <v>Áno</v>
      </c>
      <c r="D539" s="3" t="str">
        <f t="shared" si="568"/>
        <v>Nie</v>
      </c>
      <c r="E539" s="3" t="s">
        <v>49</v>
      </c>
      <c r="F539" s="3" t="s">
        <v>49</v>
      </c>
      <c r="G539" s="2" t="str">
        <f t="shared" si="569"/>
        <v>Malé zmluvy</v>
      </c>
      <c r="H539" s="5">
        <v>30810787</v>
      </c>
      <c r="I539" s="2" t="s">
        <v>722</v>
      </c>
      <c r="J539" s="2" t="s">
        <v>723</v>
      </c>
      <c r="K539" s="5">
        <v>44694695</v>
      </c>
      <c r="L539" s="2" t="s">
        <v>302</v>
      </c>
      <c r="M539" s="2" t="s">
        <v>303</v>
      </c>
      <c r="N539" s="6">
        <v>44529</v>
      </c>
      <c r="O539" s="4">
        <v>594000</v>
      </c>
      <c r="P539" s="2">
        <v>114489</v>
      </c>
      <c r="Q539" s="2" t="s">
        <v>724</v>
      </c>
      <c r="R539" s="2" t="s">
        <v>725</v>
      </c>
      <c r="S539" s="2" t="s">
        <v>56</v>
      </c>
      <c r="T539" s="2" t="s">
        <v>448</v>
      </c>
      <c r="U539" s="2" t="s">
        <v>449</v>
      </c>
      <c r="W539" s="4">
        <v>500</v>
      </c>
      <c r="X539" s="4">
        <v>600</v>
      </c>
      <c r="Y539" s="4">
        <f t="shared" ref="Y539" si="597">INDEX(InternalRates,MATCH($S539,InternalRates01,FALSE),2)</f>
        <v>278.98333333333335</v>
      </c>
      <c r="Z539" s="3" t="str">
        <f t="shared" si="549"/>
        <v>Nie</v>
      </c>
      <c r="AA539" s="3" t="str">
        <f t="shared" si="550"/>
        <v>SLA+ZoD</v>
      </c>
      <c r="AB539" s="4">
        <v>41</v>
      </c>
      <c r="AC539" s="4">
        <v>20.5</v>
      </c>
      <c r="AD539" s="3" t="s">
        <v>49</v>
      </c>
      <c r="AE539" s="6">
        <v>44935</v>
      </c>
      <c r="AF539" s="3" t="s">
        <v>59</v>
      </c>
      <c r="AG539" s="3" t="s">
        <v>49</v>
      </c>
      <c r="AH539" s="3">
        <f>YEAR(SrcDB[[#This Row],[Datum_zverejnenia]])</f>
        <v>2021</v>
      </c>
      <c r="AI539" s="3" cm="1">
        <f t="array" ref="AI539">COUNT(_xlfn.UNIQUE(_xlfn._xlws.FILTER(SrcDB[ID],SrcDB[Objednavatel_ICO]=$H539)))</f>
        <v>3</v>
      </c>
      <c r="AJ539" s="3" cm="1">
        <f t="array" ref="AJ539">COUNT(_xlfn.UNIQUE(_xlfn._xlws.FILTER(SrcDB[ID],SrcDB[Dodavatel_ICO]=$K539)))</f>
        <v>4</v>
      </c>
      <c r="AK539" s="3">
        <f t="shared" si="573"/>
        <v>1</v>
      </c>
      <c r="AL539" s="3">
        <f t="shared" si="574"/>
        <v>1</v>
      </c>
      <c r="AM539" s="17" t="str">
        <f>IF(SrcDB[[#This Row],[Pocet zmluv objednavatela]]&gt;3,SrcDB[[#This Row],[Objednavatel]],"Ostatné")</f>
        <v>Ostatné</v>
      </c>
      <c r="AN539" s="17" t="str">
        <f>IF(SrcDB[[#This Row],[Pocet zmluv dodavatela]]&gt;3,SrcDB[[#This Row],[Dodavatel]],"Ostatné")</f>
        <v>NextIT s.r.o.</v>
      </c>
    </row>
    <row r="540" spans="1:40" x14ac:dyDescent="0.3">
      <c r="A540" s="2" t="s">
        <v>176</v>
      </c>
      <c r="B540" s="2">
        <v>6060942</v>
      </c>
      <c r="C540" s="3" t="str">
        <f t="shared" si="567"/>
        <v>Áno</v>
      </c>
      <c r="D540" s="3" t="str">
        <f t="shared" si="568"/>
        <v>Nie</v>
      </c>
      <c r="E540" s="3" t="s">
        <v>49</v>
      </c>
      <c r="F540" s="3" t="s">
        <v>49</v>
      </c>
      <c r="G540" s="2" t="str">
        <f t="shared" si="569"/>
        <v>Malé zmluvy</v>
      </c>
      <c r="H540" s="5">
        <v>30810787</v>
      </c>
      <c r="I540" s="2" t="s">
        <v>722</v>
      </c>
      <c r="J540" s="2" t="s">
        <v>723</v>
      </c>
      <c r="K540" s="5">
        <v>44694695</v>
      </c>
      <c r="L540" s="2" t="s">
        <v>302</v>
      </c>
      <c r="M540" s="2" t="s">
        <v>303</v>
      </c>
      <c r="N540" s="6">
        <v>44529</v>
      </c>
      <c r="O540" s="4">
        <v>594000</v>
      </c>
      <c r="P540" s="2">
        <v>114489</v>
      </c>
      <c r="Q540" s="2" t="s">
        <v>724</v>
      </c>
      <c r="R540" s="2" t="s">
        <v>725</v>
      </c>
      <c r="S540" s="2" t="s">
        <v>77</v>
      </c>
      <c r="T540" s="2" t="s">
        <v>77</v>
      </c>
      <c r="W540" s="4">
        <v>500</v>
      </c>
      <c r="X540" s="4">
        <v>600</v>
      </c>
      <c r="Y540" s="4">
        <f t="shared" ref="Y540" si="598">INDEX(InternalRates,MATCH($S540,InternalRates01,FALSE),2)</f>
        <v>278.98333333333335</v>
      </c>
      <c r="Z540" s="3" t="str">
        <f t="shared" si="549"/>
        <v>Nie</v>
      </c>
      <c r="AA540" s="3" t="str">
        <f t="shared" si="550"/>
        <v>SLA+ZoD</v>
      </c>
      <c r="AB540" s="4">
        <v>42</v>
      </c>
      <c r="AC540" s="4">
        <v>21</v>
      </c>
      <c r="AD540" s="3" t="s">
        <v>49</v>
      </c>
      <c r="AE540" s="6">
        <v>44935</v>
      </c>
      <c r="AF540" s="3" t="s">
        <v>59</v>
      </c>
      <c r="AG540" s="3" t="s">
        <v>49</v>
      </c>
      <c r="AH540" s="3">
        <f>YEAR(SrcDB[[#This Row],[Datum_zverejnenia]])</f>
        <v>2021</v>
      </c>
      <c r="AI540" s="3" cm="1">
        <f t="array" ref="AI540">COUNT(_xlfn.UNIQUE(_xlfn._xlws.FILTER(SrcDB[ID],SrcDB[Objednavatel_ICO]=$H540)))</f>
        <v>3</v>
      </c>
      <c r="AJ540" s="3" cm="1">
        <f t="array" ref="AJ540">COUNT(_xlfn.UNIQUE(_xlfn._xlws.FILTER(SrcDB[ID],SrcDB[Dodavatel_ICO]=$K540)))</f>
        <v>4</v>
      </c>
      <c r="AK540" s="3">
        <f t="shared" si="573"/>
        <v>0</v>
      </c>
      <c r="AL540" s="3">
        <f t="shared" si="574"/>
        <v>0</v>
      </c>
      <c r="AM540" s="17" t="str">
        <f>IF(SrcDB[[#This Row],[Pocet zmluv objednavatela]]&gt;3,SrcDB[[#This Row],[Objednavatel]],"Ostatné")</f>
        <v>Ostatné</v>
      </c>
      <c r="AN540" s="17" t="str">
        <f>IF(SrcDB[[#This Row],[Pocet zmluv dodavatela]]&gt;3,SrcDB[[#This Row],[Dodavatel]],"Ostatné")</f>
        <v>NextIT s.r.o.</v>
      </c>
    </row>
    <row r="541" spans="1:40" x14ac:dyDescent="0.3">
      <c r="A541" s="2" t="s">
        <v>176</v>
      </c>
      <c r="B541" s="2">
        <v>6060942</v>
      </c>
      <c r="C541" s="3" t="str">
        <f t="shared" si="567"/>
        <v>Áno</v>
      </c>
      <c r="D541" s="3" t="str">
        <f t="shared" si="568"/>
        <v>Nie</v>
      </c>
      <c r="E541" s="3" t="s">
        <v>49</v>
      </c>
      <c r="F541" s="3" t="s">
        <v>49</v>
      </c>
      <c r="G541" s="2" t="str">
        <f t="shared" si="569"/>
        <v>Malé zmluvy</v>
      </c>
      <c r="H541" s="5">
        <v>30810787</v>
      </c>
      <c r="I541" s="2" t="s">
        <v>722</v>
      </c>
      <c r="J541" s="2" t="s">
        <v>723</v>
      </c>
      <c r="K541" s="5">
        <v>44694695</v>
      </c>
      <c r="L541" s="2" t="s">
        <v>302</v>
      </c>
      <c r="M541" s="2" t="s">
        <v>303</v>
      </c>
      <c r="N541" s="6">
        <v>44529</v>
      </c>
      <c r="O541" s="4">
        <v>594000</v>
      </c>
      <c r="P541" s="2">
        <v>114489</v>
      </c>
      <c r="Q541" s="2" t="s">
        <v>724</v>
      </c>
      <c r="R541" s="2" t="s">
        <v>725</v>
      </c>
      <c r="S541" s="2" t="s">
        <v>56</v>
      </c>
      <c r="T541" s="2" t="s">
        <v>286</v>
      </c>
      <c r="U541" s="2" t="s">
        <v>129</v>
      </c>
      <c r="W541" s="4">
        <v>500</v>
      </c>
      <c r="X541" s="4">
        <v>600</v>
      </c>
      <c r="Y541" s="4">
        <f t="shared" ref="Y541" si="599">INDEX(InternalRates,MATCH($S541,InternalRates01,FALSE),2)</f>
        <v>278.98333333333335</v>
      </c>
      <c r="Z541" s="3" t="str">
        <f t="shared" si="549"/>
        <v>Nie</v>
      </c>
      <c r="AA541" s="3" t="str">
        <f t="shared" si="550"/>
        <v>SLA+ZoD</v>
      </c>
      <c r="AB541" s="4">
        <v>43</v>
      </c>
      <c r="AC541" s="4">
        <v>21.5</v>
      </c>
      <c r="AD541" s="3" t="s">
        <v>49</v>
      </c>
      <c r="AE541" s="6">
        <v>44935</v>
      </c>
      <c r="AF541" s="3" t="s">
        <v>59</v>
      </c>
      <c r="AG541" s="3" t="s">
        <v>49</v>
      </c>
      <c r="AH541" s="3">
        <f>YEAR(SrcDB[[#This Row],[Datum_zverejnenia]])</f>
        <v>2021</v>
      </c>
      <c r="AI541" s="3" cm="1">
        <f t="array" ref="AI541">COUNT(_xlfn.UNIQUE(_xlfn._xlws.FILTER(SrcDB[ID],SrcDB[Objednavatel_ICO]=$H541)))</f>
        <v>3</v>
      </c>
      <c r="AJ541" s="3" cm="1">
        <f t="array" ref="AJ541">COUNT(_xlfn.UNIQUE(_xlfn._xlws.FILTER(SrcDB[ID],SrcDB[Dodavatel_ICO]=$K541)))</f>
        <v>4</v>
      </c>
      <c r="AK541" s="3">
        <f t="shared" si="573"/>
        <v>0</v>
      </c>
      <c r="AL541" s="3">
        <f t="shared" si="574"/>
        <v>0</v>
      </c>
      <c r="AM541" s="17" t="str">
        <f>IF(SrcDB[[#This Row],[Pocet zmluv objednavatela]]&gt;3,SrcDB[[#This Row],[Objednavatel]],"Ostatné")</f>
        <v>Ostatné</v>
      </c>
      <c r="AN541" s="17" t="str">
        <f>IF(SrcDB[[#This Row],[Pocet zmluv dodavatela]]&gt;3,SrcDB[[#This Row],[Dodavatel]],"Ostatné")</f>
        <v>NextIT s.r.o.</v>
      </c>
    </row>
    <row r="542" spans="1:40" x14ac:dyDescent="0.3">
      <c r="A542" s="2" t="s">
        <v>176</v>
      </c>
      <c r="B542" s="2">
        <v>6060942</v>
      </c>
      <c r="C542" s="3" t="str">
        <f t="shared" si="567"/>
        <v>Áno</v>
      </c>
      <c r="D542" s="3" t="str">
        <f t="shared" si="568"/>
        <v>Nie</v>
      </c>
      <c r="E542" s="3" t="s">
        <v>49</v>
      </c>
      <c r="F542" s="3" t="s">
        <v>49</v>
      </c>
      <c r="G542" s="2" t="str">
        <f t="shared" si="569"/>
        <v>Malé zmluvy</v>
      </c>
      <c r="H542" s="5">
        <v>30810787</v>
      </c>
      <c r="I542" s="2" t="s">
        <v>722</v>
      </c>
      <c r="J542" s="2" t="s">
        <v>723</v>
      </c>
      <c r="K542" s="5">
        <v>44694695</v>
      </c>
      <c r="L542" s="2" t="s">
        <v>302</v>
      </c>
      <c r="M542" s="2" t="s">
        <v>303</v>
      </c>
      <c r="N542" s="6">
        <v>44529</v>
      </c>
      <c r="O542" s="4">
        <v>594000</v>
      </c>
      <c r="P542" s="2">
        <v>114489</v>
      </c>
      <c r="Q542" s="2" t="s">
        <v>724</v>
      </c>
      <c r="R542" s="2" t="s">
        <v>725</v>
      </c>
      <c r="S542" s="2" t="s">
        <v>73</v>
      </c>
      <c r="T542" s="2" t="s">
        <v>73</v>
      </c>
      <c r="W542" s="4">
        <v>500</v>
      </c>
      <c r="X542" s="4">
        <v>600</v>
      </c>
      <c r="Y542" s="4">
        <f t="shared" ref="Y542" si="600">INDEX(InternalRates,MATCH($S542,InternalRates01,FALSE),2)</f>
        <v>278.98333333333335</v>
      </c>
      <c r="Z542" s="3" t="str">
        <f t="shared" si="549"/>
        <v>Nie</v>
      </c>
      <c r="AA542" s="3" t="str">
        <f t="shared" si="550"/>
        <v>SLA+ZoD</v>
      </c>
      <c r="AB542" s="4">
        <v>44</v>
      </c>
      <c r="AC542" s="4">
        <v>22</v>
      </c>
      <c r="AD542" s="3" t="s">
        <v>49</v>
      </c>
      <c r="AE542" s="6">
        <v>44935</v>
      </c>
      <c r="AF542" s="3" t="s">
        <v>59</v>
      </c>
      <c r="AG542" s="3" t="s">
        <v>49</v>
      </c>
      <c r="AH542" s="3">
        <f>YEAR(SrcDB[[#This Row],[Datum_zverejnenia]])</f>
        <v>2021</v>
      </c>
      <c r="AI542" s="3" cm="1">
        <f t="array" ref="AI542">COUNT(_xlfn.UNIQUE(_xlfn._xlws.FILTER(SrcDB[ID],SrcDB[Objednavatel_ICO]=$H542)))</f>
        <v>3</v>
      </c>
      <c r="AJ542" s="3" cm="1">
        <f t="array" ref="AJ542">COUNT(_xlfn.UNIQUE(_xlfn._xlws.FILTER(SrcDB[ID],SrcDB[Dodavatel_ICO]=$K542)))</f>
        <v>4</v>
      </c>
      <c r="AK542" s="3">
        <f t="shared" si="573"/>
        <v>0</v>
      </c>
      <c r="AL542" s="3">
        <f t="shared" si="574"/>
        <v>0</v>
      </c>
      <c r="AM542" s="17" t="str">
        <f>IF(SrcDB[[#This Row],[Pocet zmluv objednavatela]]&gt;3,SrcDB[[#This Row],[Objednavatel]],"Ostatné")</f>
        <v>Ostatné</v>
      </c>
      <c r="AN542" s="17" t="str">
        <f>IF(SrcDB[[#This Row],[Pocet zmluv dodavatela]]&gt;3,SrcDB[[#This Row],[Dodavatel]],"Ostatné")</f>
        <v>NextIT s.r.o.</v>
      </c>
    </row>
    <row r="543" spans="1:40" x14ac:dyDescent="0.3">
      <c r="A543" s="2" t="s">
        <v>176</v>
      </c>
      <c r="B543" s="2">
        <v>6060942</v>
      </c>
      <c r="C543" s="3" t="str">
        <f t="shared" si="567"/>
        <v>Áno</v>
      </c>
      <c r="D543" s="3" t="str">
        <f t="shared" si="568"/>
        <v>Nie</v>
      </c>
      <c r="E543" s="3" t="s">
        <v>49</v>
      </c>
      <c r="F543" s="3" t="s">
        <v>48</v>
      </c>
      <c r="G543" s="2" t="str">
        <f t="shared" si="569"/>
        <v>Malé zmluvy</v>
      </c>
      <c r="H543" s="5">
        <v>30810787</v>
      </c>
      <c r="I543" s="2" t="s">
        <v>722</v>
      </c>
      <c r="J543" s="2" t="s">
        <v>723</v>
      </c>
      <c r="K543" s="5">
        <v>44694695</v>
      </c>
      <c r="L543" s="2" t="s">
        <v>302</v>
      </c>
      <c r="M543" s="2" t="s">
        <v>303</v>
      </c>
      <c r="N543" s="6">
        <v>44529</v>
      </c>
      <c r="O543" s="4">
        <v>594000</v>
      </c>
      <c r="P543" s="2">
        <v>114489</v>
      </c>
      <c r="Q543" s="2" t="s">
        <v>724</v>
      </c>
      <c r="R543" s="2" t="s">
        <v>725</v>
      </c>
      <c r="S543" s="2" t="s">
        <v>79</v>
      </c>
      <c r="T543" s="2" t="s">
        <v>79</v>
      </c>
      <c r="W543" s="4">
        <v>500</v>
      </c>
      <c r="X543" s="4">
        <v>600</v>
      </c>
      <c r="Y543" s="4">
        <f t="shared" ref="Y543" si="601">INDEX(InternalRates,MATCH($S543,InternalRates01,FALSE),2)</f>
        <v>278.98333333333335</v>
      </c>
      <c r="Z543" s="3" t="str">
        <f t="shared" si="549"/>
        <v>Nie</v>
      </c>
      <c r="AA543" s="3" t="str">
        <f t="shared" si="550"/>
        <v>ZoD</v>
      </c>
      <c r="AB543" s="4">
        <v>45</v>
      </c>
      <c r="AC543" s="4">
        <v>22.5</v>
      </c>
      <c r="AD543" s="3" t="s">
        <v>49</v>
      </c>
      <c r="AE543" s="6">
        <v>44935</v>
      </c>
      <c r="AF543" s="3" t="s">
        <v>59</v>
      </c>
      <c r="AG543" s="3" t="s">
        <v>49</v>
      </c>
      <c r="AH543" s="3">
        <f>YEAR(SrcDB[[#This Row],[Datum_zverejnenia]])</f>
        <v>2021</v>
      </c>
      <c r="AI543" s="3" cm="1">
        <f t="array" ref="AI543">COUNT(_xlfn.UNIQUE(_xlfn._xlws.FILTER(SrcDB[ID],SrcDB[Objednavatel_ICO]=$H543)))</f>
        <v>3</v>
      </c>
      <c r="AJ543" s="3" cm="1">
        <f t="array" ref="AJ543">COUNT(_xlfn.UNIQUE(_xlfn._xlws.FILTER(SrcDB[ID],SrcDB[Dodavatel_ICO]=$K543)))</f>
        <v>4</v>
      </c>
      <c r="AK543" s="3">
        <f t="shared" si="573"/>
        <v>0</v>
      </c>
      <c r="AL543" s="3">
        <f t="shared" si="574"/>
        <v>0</v>
      </c>
      <c r="AM543" s="17" t="str">
        <f>IF(SrcDB[[#This Row],[Pocet zmluv objednavatela]]&gt;3,SrcDB[[#This Row],[Objednavatel]],"Ostatné")</f>
        <v>Ostatné</v>
      </c>
      <c r="AN543" s="17" t="str">
        <f>IF(SrcDB[[#This Row],[Pocet zmluv dodavatela]]&gt;3,SrcDB[[#This Row],[Dodavatel]],"Ostatné")</f>
        <v>NextIT s.r.o.</v>
      </c>
    </row>
    <row r="544" spans="1:40" x14ac:dyDescent="0.3">
      <c r="A544" s="2" t="s">
        <v>176</v>
      </c>
      <c r="B544" s="2">
        <v>6060942</v>
      </c>
      <c r="C544" s="3" t="str">
        <f t="shared" si="567"/>
        <v>Áno</v>
      </c>
      <c r="D544" s="3" t="str">
        <f t="shared" si="568"/>
        <v>Nie</v>
      </c>
      <c r="E544" s="3" t="s">
        <v>49</v>
      </c>
      <c r="F544" s="3" t="s">
        <v>48</v>
      </c>
      <c r="G544" s="2" t="str">
        <f t="shared" si="569"/>
        <v>Malé zmluvy</v>
      </c>
      <c r="H544" s="5">
        <v>30810787</v>
      </c>
      <c r="I544" s="2" t="s">
        <v>722</v>
      </c>
      <c r="J544" s="2" t="s">
        <v>723</v>
      </c>
      <c r="K544" s="5">
        <v>44694695</v>
      </c>
      <c r="L544" s="2" t="s">
        <v>302</v>
      </c>
      <c r="M544" s="2" t="s">
        <v>303</v>
      </c>
      <c r="N544" s="6">
        <v>44529.859768518516</v>
      </c>
      <c r="O544" s="4">
        <v>594000</v>
      </c>
      <c r="P544" s="2">
        <v>114489</v>
      </c>
      <c r="Q544" s="2" t="s">
        <v>724</v>
      </c>
      <c r="R544" s="2" t="s">
        <v>725</v>
      </c>
      <c r="S544" s="2" t="s">
        <v>69</v>
      </c>
      <c r="T544" s="2" t="s">
        <v>70</v>
      </c>
      <c r="W544" s="4">
        <v>500</v>
      </c>
      <c r="X544" s="4">
        <v>600</v>
      </c>
      <c r="Y544" s="4">
        <f t="shared" ref="Y544" si="602">INDEX(InternalRates,MATCH($S544,InternalRates01,FALSE),2)</f>
        <v>278.98333333333335</v>
      </c>
      <c r="Z544" s="3" t="str">
        <f t="shared" si="549"/>
        <v>Nie</v>
      </c>
      <c r="AA544" s="3" t="str">
        <f t="shared" si="550"/>
        <v>ZoD</v>
      </c>
      <c r="AB544" s="4">
        <v>39</v>
      </c>
      <c r="AC544" s="4">
        <v>39</v>
      </c>
      <c r="AD544" s="3" t="s">
        <v>48</v>
      </c>
      <c r="AE544" s="6">
        <v>44581</v>
      </c>
      <c r="AF544" s="3" t="s">
        <v>59</v>
      </c>
      <c r="AG544" s="3" t="s">
        <v>49</v>
      </c>
      <c r="AH544" s="3">
        <f>YEAR(SrcDB[[#This Row],[Datum_zverejnenia]])</f>
        <v>2021</v>
      </c>
      <c r="AI544" s="3" cm="1">
        <f t="array" ref="AI544">COUNT(_xlfn.UNIQUE(_xlfn._xlws.FILTER(SrcDB[ID],SrcDB[Objednavatel_ICO]=$H544)))</f>
        <v>3</v>
      </c>
      <c r="AJ544" s="3" cm="1">
        <f t="array" ref="AJ544">COUNT(_xlfn.UNIQUE(_xlfn._xlws.FILTER(SrcDB[ID],SrcDB[Dodavatel_ICO]=$K544)))</f>
        <v>4</v>
      </c>
      <c r="AK544" s="3">
        <f t="shared" si="573"/>
        <v>0</v>
      </c>
      <c r="AL544" s="3">
        <f t="shared" si="574"/>
        <v>0</v>
      </c>
      <c r="AM544" s="17" t="str">
        <f>IF(SrcDB[[#This Row],[Pocet zmluv objednavatela]]&gt;3,SrcDB[[#This Row],[Objednavatel]],"Ostatné")</f>
        <v>Ostatné</v>
      </c>
      <c r="AN544" s="17" t="str">
        <f>IF(SrcDB[[#This Row],[Pocet zmluv dodavatela]]&gt;3,SrcDB[[#This Row],[Dodavatel]],"Ostatné")</f>
        <v>NextIT s.r.o.</v>
      </c>
    </row>
    <row r="545" spans="1:40" x14ac:dyDescent="0.3">
      <c r="A545" s="2" t="s">
        <v>176</v>
      </c>
      <c r="B545" s="2">
        <v>6060942</v>
      </c>
      <c r="C545" s="3" t="str">
        <f t="shared" si="567"/>
        <v>Áno</v>
      </c>
      <c r="D545" s="3" t="str">
        <f t="shared" si="568"/>
        <v>Nie</v>
      </c>
      <c r="E545" s="3" t="s">
        <v>49</v>
      </c>
      <c r="F545" s="3" t="s">
        <v>48</v>
      </c>
      <c r="G545" s="2" t="str">
        <f t="shared" si="569"/>
        <v>Malé zmluvy</v>
      </c>
      <c r="H545" s="5">
        <v>30810787</v>
      </c>
      <c r="I545" s="2" t="s">
        <v>722</v>
      </c>
      <c r="J545" s="2" t="s">
        <v>723</v>
      </c>
      <c r="K545" s="5">
        <v>44694695</v>
      </c>
      <c r="L545" s="2" t="s">
        <v>302</v>
      </c>
      <c r="M545" s="2" t="s">
        <v>303</v>
      </c>
      <c r="N545" s="6">
        <v>44529.859768518516</v>
      </c>
      <c r="O545" s="4">
        <v>594000</v>
      </c>
      <c r="P545" s="2">
        <v>114489</v>
      </c>
      <c r="Q545" s="2" t="s">
        <v>724</v>
      </c>
      <c r="R545" s="2" t="s">
        <v>725</v>
      </c>
      <c r="S545" s="2" t="s">
        <v>56</v>
      </c>
      <c r="T545" s="2" t="s">
        <v>448</v>
      </c>
      <c r="U545" s="2" t="s">
        <v>449</v>
      </c>
      <c r="W545" s="4">
        <v>500</v>
      </c>
      <c r="X545" s="4">
        <v>600</v>
      </c>
      <c r="Y545" s="4">
        <f t="shared" ref="Y545" si="603">INDEX(InternalRates,MATCH($S545,InternalRates01,FALSE),2)</f>
        <v>278.98333333333335</v>
      </c>
      <c r="Z545" s="3" t="str">
        <f t="shared" si="549"/>
        <v>Nie</v>
      </c>
      <c r="AA545" s="3" t="str">
        <f t="shared" si="550"/>
        <v>ZoD</v>
      </c>
      <c r="AB545" s="4">
        <v>15</v>
      </c>
      <c r="AC545" s="4">
        <v>15</v>
      </c>
      <c r="AD545" s="3" t="s">
        <v>48</v>
      </c>
      <c r="AE545" s="6">
        <v>44581</v>
      </c>
      <c r="AF545" s="3" t="s">
        <v>59</v>
      </c>
      <c r="AG545" s="3" t="s">
        <v>49</v>
      </c>
      <c r="AH545" s="3">
        <f>YEAR(SrcDB[[#This Row],[Datum_zverejnenia]])</f>
        <v>2021</v>
      </c>
      <c r="AI545" s="3" cm="1">
        <f t="array" ref="AI545">COUNT(_xlfn.UNIQUE(_xlfn._xlws.FILTER(SrcDB[ID],SrcDB[Objednavatel_ICO]=$H545)))</f>
        <v>3</v>
      </c>
      <c r="AJ545" s="3" cm="1">
        <f t="array" ref="AJ545">COUNT(_xlfn.UNIQUE(_xlfn._xlws.FILTER(SrcDB[ID],SrcDB[Dodavatel_ICO]=$K545)))</f>
        <v>4</v>
      </c>
      <c r="AK545" s="3">
        <f t="shared" si="573"/>
        <v>0</v>
      </c>
      <c r="AL545" s="3">
        <f t="shared" si="574"/>
        <v>0</v>
      </c>
      <c r="AM545" s="17" t="str">
        <f>IF(SrcDB[[#This Row],[Pocet zmluv objednavatela]]&gt;3,SrcDB[[#This Row],[Objednavatel]],"Ostatné")</f>
        <v>Ostatné</v>
      </c>
      <c r="AN545" s="17" t="str">
        <f>IF(SrcDB[[#This Row],[Pocet zmluv dodavatela]]&gt;3,SrcDB[[#This Row],[Dodavatel]],"Ostatné")</f>
        <v>NextIT s.r.o.</v>
      </c>
    </row>
    <row r="546" spans="1:40" x14ac:dyDescent="0.3">
      <c r="A546" s="2" t="s">
        <v>176</v>
      </c>
      <c r="B546" s="2">
        <v>6060942</v>
      </c>
      <c r="C546" s="3" t="str">
        <f t="shared" si="567"/>
        <v>Áno</v>
      </c>
      <c r="D546" s="3" t="str">
        <f t="shared" si="568"/>
        <v>Nie</v>
      </c>
      <c r="E546" s="3" t="s">
        <v>49</v>
      </c>
      <c r="F546" s="3" t="s">
        <v>48</v>
      </c>
      <c r="G546" s="2" t="str">
        <f t="shared" si="569"/>
        <v>Malé zmluvy</v>
      </c>
      <c r="H546" s="5">
        <v>30810787</v>
      </c>
      <c r="I546" s="2" t="s">
        <v>722</v>
      </c>
      <c r="J546" s="2" t="s">
        <v>723</v>
      </c>
      <c r="K546" s="5">
        <v>44694695</v>
      </c>
      <c r="L546" s="2" t="s">
        <v>302</v>
      </c>
      <c r="M546" s="2" t="s">
        <v>303</v>
      </c>
      <c r="N546" s="6">
        <v>44529.859768518516</v>
      </c>
      <c r="O546" s="4">
        <v>594000</v>
      </c>
      <c r="P546" s="2">
        <v>114489</v>
      </c>
      <c r="Q546" s="2" t="s">
        <v>724</v>
      </c>
      <c r="R546" s="2" t="s">
        <v>725</v>
      </c>
      <c r="S546" s="2" t="s">
        <v>56</v>
      </c>
      <c r="T546" s="2" t="s">
        <v>94</v>
      </c>
      <c r="U546" s="2" t="s">
        <v>95</v>
      </c>
      <c r="W546" s="4">
        <v>500</v>
      </c>
      <c r="X546" s="4">
        <v>600</v>
      </c>
      <c r="Y546" s="4">
        <f t="shared" ref="Y546" si="604">INDEX(InternalRates,MATCH($S546,InternalRates01,FALSE),2)</f>
        <v>278.98333333333335</v>
      </c>
      <c r="Z546" s="3" t="str">
        <f t="shared" si="549"/>
        <v>Nie</v>
      </c>
      <c r="AA546" s="3" t="str">
        <f t="shared" si="550"/>
        <v>ZoD</v>
      </c>
      <c r="AB546" s="4">
        <v>20</v>
      </c>
      <c r="AC546" s="4">
        <v>20</v>
      </c>
      <c r="AD546" s="3" t="s">
        <v>48</v>
      </c>
      <c r="AE546" s="6">
        <v>44581</v>
      </c>
      <c r="AF546" s="3" t="s">
        <v>59</v>
      </c>
      <c r="AG546" s="3" t="s">
        <v>49</v>
      </c>
      <c r="AH546" s="3">
        <f>YEAR(SrcDB[[#This Row],[Datum_zverejnenia]])</f>
        <v>2021</v>
      </c>
      <c r="AI546" s="3" cm="1">
        <f t="array" ref="AI546">COUNT(_xlfn.UNIQUE(_xlfn._xlws.FILTER(SrcDB[ID],SrcDB[Objednavatel_ICO]=$H546)))</f>
        <v>3</v>
      </c>
      <c r="AJ546" s="3" cm="1">
        <f t="array" ref="AJ546">COUNT(_xlfn.UNIQUE(_xlfn._xlws.FILTER(SrcDB[ID],SrcDB[Dodavatel_ICO]=$K546)))</f>
        <v>4</v>
      </c>
      <c r="AK546" s="3">
        <f t="shared" si="573"/>
        <v>0</v>
      </c>
      <c r="AL546" s="3">
        <f t="shared" si="574"/>
        <v>0</v>
      </c>
      <c r="AM546" s="17" t="str">
        <f>IF(SrcDB[[#This Row],[Pocet zmluv objednavatela]]&gt;3,SrcDB[[#This Row],[Objednavatel]],"Ostatné")</f>
        <v>Ostatné</v>
      </c>
      <c r="AN546" s="17" t="str">
        <f>IF(SrcDB[[#This Row],[Pocet zmluv dodavatela]]&gt;3,SrcDB[[#This Row],[Dodavatel]],"Ostatné")</f>
        <v>NextIT s.r.o.</v>
      </c>
    </row>
    <row r="547" spans="1:40" x14ac:dyDescent="0.3">
      <c r="A547" s="2" t="s">
        <v>176</v>
      </c>
      <c r="B547" s="2">
        <v>6060942</v>
      </c>
      <c r="C547" s="3" t="str">
        <f t="shared" si="567"/>
        <v>Áno</v>
      </c>
      <c r="D547" s="3" t="str">
        <f t="shared" si="568"/>
        <v>Nie</v>
      </c>
      <c r="E547" s="3" t="s">
        <v>49</v>
      </c>
      <c r="F547" s="3" t="s">
        <v>48</v>
      </c>
      <c r="G547" s="2" t="str">
        <f t="shared" si="569"/>
        <v>Malé zmluvy</v>
      </c>
      <c r="H547" s="5">
        <v>30810787</v>
      </c>
      <c r="I547" s="2" t="s">
        <v>722</v>
      </c>
      <c r="J547" s="2" t="s">
        <v>723</v>
      </c>
      <c r="K547" s="5">
        <v>44694695</v>
      </c>
      <c r="L547" s="2" t="s">
        <v>302</v>
      </c>
      <c r="M547" s="2" t="s">
        <v>303</v>
      </c>
      <c r="N547" s="6">
        <v>44529.859768518516</v>
      </c>
      <c r="O547" s="4">
        <v>594000</v>
      </c>
      <c r="P547" s="2">
        <v>114489</v>
      </c>
      <c r="Q547" s="2" t="s">
        <v>724</v>
      </c>
      <c r="R547" s="2" t="s">
        <v>725</v>
      </c>
      <c r="S547" s="2" t="s">
        <v>77</v>
      </c>
      <c r="T547" s="2" t="s">
        <v>77</v>
      </c>
      <c r="W547" s="4">
        <v>500</v>
      </c>
      <c r="X547" s="4">
        <v>600</v>
      </c>
      <c r="Y547" s="4">
        <f t="shared" ref="Y547" si="605">INDEX(InternalRates,MATCH($S547,InternalRates01,FALSE),2)</f>
        <v>278.98333333333335</v>
      </c>
      <c r="Z547" s="3" t="str">
        <f t="shared" si="549"/>
        <v>Nie</v>
      </c>
      <c r="AA547" s="3" t="str">
        <f t="shared" si="550"/>
        <v>ZoD</v>
      </c>
      <c r="AB547" s="4">
        <v>507</v>
      </c>
      <c r="AC547" s="4">
        <v>507</v>
      </c>
      <c r="AD547" s="3" t="s">
        <v>48</v>
      </c>
      <c r="AE547" s="6">
        <v>44581</v>
      </c>
      <c r="AF547" s="3" t="s">
        <v>59</v>
      </c>
      <c r="AG547" s="3" t="s">
        <v>49</v>
      </c>
      <c r="AH547" s="3">
        <f>YEAR(SrcDB[[#This Row],[Datum_zverejnenia]])</f>
        <v>2021</v>
      </c>
      <c r="AI547" s="3" cm="1">
        <f t="array" ref="AI547">COUNT(_xlfn.UNIQUE(_xlfn._xlws.FILTER(SrcDB[ID],SrcDB[Objednavatel_ICO]=$H547)))</f>
        <v>3</v>
      </c>
      <c r="AJ547" s="3" cm="1">
        <f t="array" ref="AJ547">COUNT(_xlfn.UNIQUE(_xlfn._xlws.FILTER(SrcDB[ID],SrcDB[Dodavatel_ICO]=$K547)))</f>
        <v>4</v>
      </c>
      <c r="AK547" s="3">
        <f t="shared" si="573"/>
        <v>0</v>
      </c>
      <c r="AL547" s="3">
        <f t="shared" si="574"/>
        <v>0</v>
      </c>
      <c r="AM547" s="17" t="str">
        <f>IF(SrcDB[[#This Row],[Pocet zmluv objednavatela]]&gt;3,SrcDB[[#This Row],[Objednavatel]],"Ostatné")</f>
        <v>Ostatné</v>
      </c>
      <c r="AN547" s="17" t="str">
        <f>IF(SrcDB[[#This Row],[Pocet zmluv dodavatela]]&gt;3,SrcDB[[#This Row],[Dodavatel]],"Ostatné")</f>
        <v>NextIT s.r.o.</v>
      </c>
    </row>
    <row r="548" spans="1:40" x14ac:dyDescent="0.3">
      <c r="A548" s="2" t="s">
        <v>176</v>
      </c>
      <c r="B548" s="2">
        <v>6060942</v>
      </c>
      <c r="C548" s="3" t="str">
        <f t="shared" si="567"/>
        <v>Áno</v>
      </c>
      <c r="D548" s="3" t="str">
        <f t="shared" si="568"/>
        <v>Nie</v>
      </c>
      <c r="E548" s="3" t="s">
        <v>49</v>
      </c>
      <c r="F548" s="3" t="s">
        <v>48</v>
      </c>
      <c r="G548" s="2" t="str">
        <f t="shared" si="569"/>
        <v>Malé zmluvy</v>
      </c>
      <c r="H548" s="5">
        <v>30810787</v>
      </c>
      <c r="I548" s="2" t="s">
        <v>722</v>
      </c>
      <c r="J548" s="2" t="s">
        <v>723</v>
      </c>
      <c r="K548" s="5">
        <v>44694695</v>
      </c>
      <c r="L548" s="2" t="s">
        <v>302</v>
      </c>
      <c r="M548" s="2" t="s">
        <v>303</v>
      </c>
      <c r="N548" s="6">
        <v>44529.859768518516</v>
      </c>
      <c r="O548" s="4">
        <v>594000</v>
      </c>
      <c r="P548" s="2">
        <v>114489</v>
      </c>
      <c r="Q548" s="2" t="s">
        <v>724</v>
      </c>
      <c r="R548" s="2" t="s">
        <v>725</v>
      </c>
      <c r="S548" s="2" t="s">
        <v>56</v>
      </c>
      <c r="T548" s="2" t="s">
        <v>286</v>
      </c>
      <c r="U548" s="2" t="s">
        <v>129</v>
      </c>
      <c r="W548" s="4">
        <v>500</v>
      </c>
      <c r="X548" s="4">
        <v>600</v>
      </c>
      <c r="Y548" s="4">
        <f t="shared" ref="Y548" si="606">INDEX(InternalRates,MATCH($S548,InternalRates01,FALSE),2)</f>
        <v>278.98333333333335</v>
      </c>
      <c r="Z548" s="3" t="str">
        <f t="shared" si="549"/>
        <v>Nie</v>
      </c>
      <c r="AA548" s="3" t="str">
        <f t="shared" si="550"/>
        <v>ZoD</v>
      </c>
      <c r="AB548" s="4">
        <v>99</v>
      </c>
      <c r="AC548" s="4">
        <v>99</v>
      </c>
      <c r="AD548" s="3" t="s">
        <v>48</v>
      </c>
      <c r="AE548" s="6">
        <v>44581</v>
      </c>
      <c r="AF548" s="3" t="s">
        <v>59</v>
      </c>
      <c r="AG548" s="3" t="s">
        <v>49</v>
      </c>
      <c r="AH548" s="3">
        <f>YEAR(SrcDB[[#This Row],[Datum_zverejnenia]])</f>
        <v>2021</v>
      </c>
      <c r="AI548" s="3" cm="1">
        <f t="array" ref="AI548">COUNT(_xlfn.UNIQUE(_xlfn._xlws.FILTER(SrcDB[ID],SrcDB[Objednavatel_ICO]=$H548)))</f>
        <v>3</v>
      </c>
      <c r="AJ548" s="3" cm="1">
        <f t="array" ref="AJ548">COUNT(_xlfn.UNIQUE(_xlfn._xlws.FILTER(SrcDB[ID],SrcDB[Dodavatel_ICO]=$K548)))</f>
        <v>4</v>
      </c>
      <c r="AK548" s="3">
        <f t="shared" si="573"/>
        <v>0</v>
      </c>
      <c r="AL548" s="3">
        <f t="shared" si="574"/>
        <v>0</v>
      </c>
      <c r="AM548" s="17" t="str">
        <f>IF(SrcDB[[#This Row],[Pocet zmluv objednavatela]]&gt;3,SrcDB[[#This Row],[Objednavatel]],"Ostatné")</f>
        <v>Ostatné</v>
      </c>
      <c r="AN548" s="17" t="str">
        <f>IF(SrcDB[[#This Row],[Pocet zmluv dodavatela]]&gt;3,SrcDB[[#This Row],[Dodavatel]],"Ostatné")</f>
        <v>NextIT s.r.o.</v>
      </c>
    </row>
    <row r="549" spans="1:40" x14ac:dyDescent="0.3">
      <c r="A549" s="2" t="s">
        <v>176</v>
      </c>
      <c r="B549" s="2">
        <v>6060942</v>
      </c>
      <c r="C549" s="3" t="str">
        <f t="shared" si="567"/>
        <v>Áno</v>
      </c>
      <c r="D549" s="3" t="str">
        <f t="shared" si="568"/>
        <v>Nie</v>
      </c>
      <c r="E549" s="3" t="s">
        <v>49</v>
      </c>
      <c r="F549" s="3" t="s">
        <v>48</v>
      </c>
      <c r="G549" s="2" t="str">
        <f t="shared" si="569"/>
        <v>Malé zmluvy</v>
      </c>
      <c r="H549" s="5">
        <v>30810787</v>
      </c>
      <c r="I549" s="2" t="s">
        <v>722</v>
      </c>
      <c r="J549" s="2" t="s">
        <v>723</v>
      </c>
      <c r="K549" s="5">
        <v>44694695</v>
      </c>
      <c r="L549" s="2" t="s">
        <v>302</v>
      </c>
      <c r="M549" s="2" t="s">
        <v>303</v>
      </c>
      <c r="N549" s="6">
        <v>44529.859768518516</v>
      </c>
      <c r="O549" s="4">
        <v>594000</v>
      </c>
      <c r="P549" s="2">
        <v>114489</v>
      </c>
      <c r="Q549" s="2" t="s">
        <v>724</v>
      </c>
      <c r="R549" s="2" t="s">
        <v>725</v>
      </c>
      <c r="S549" s="2" t="s">
        <v>73</v>
      </c>
      <c r="T549" s="2" t="s">
        <v>73</v>
      </c>
      <c r="W549" s="4">
        <v>500</v>
      </c>
      <c r="X549" s="4">
        <v>600</v>
      </c>
      <c r="Y549" s="4">
        <f t="shared" ref="Y549" si="607">INDEX(InternalRates,MATCH($S549,InternalRates01,FALSE),2)</f>
        <v>278.98333333333335</v>
      </c>
      <c r="Z549" s="3" t="str">
        <f t="shared" si="549"/>
        <v>Nie</v>
      </c>
      <c r="AA549" s="3" t="str">
        <f t="shared" si="550"/>
        <v>ZoD</v>
      </c>
      <c r="AB549" s="4">
        <v>221</v>
      </c>
      <c r="AC549" s="4">
        <v>221</v>
      </c>
      <c r="AD549" s="3" t="s">
        <v>48</v>
      </c>
      <c r="AE549" s="6">
        <v>44581</v>
      </c>
      <c r="AF549" s="3" t="s">
        <v>59</v>
      </c>
      <c r="AG549" s="3" t="s">
        <v>49</v>
      </c>
      <c r="AH549" s="3">
        <f>YEAR(SrcDB[[#This Row],[Datum_zverejnenia]])</f>
        <v>2021</v>
      </c>
      <c r="AI549" s="3" cm="1">
        <f t="array" ref="AI549">COUNT(_xlfn.UNIQUE(_xlfn._xlws.FILTER(SrcDB[ID],SrcDB[Objednavatel_ICO]=$H549)))</f>
        <v>3</v>
      </c>
      <c r="AJ549" s="3" cm="1">
        <f t="array" ref="AJ549">COUNT(_xlfn.UNIQUE(_xlfn._xlws.FILTER(SrcDB[ID],SrcDB[Dodavatel_ICO]=$K549)))</f>
        <v>4</v>
      </c>
      <c r="AK549" s="3">
        <f t="shared" si="573"/>
        <v>0</v>
      </c>
      <c r="AL549" s="3">
        <f t="shared" si="574"/>
        <v>0</v>
      </c>
      <c r="AM549" s="17" t="str">
        <f>IF(SrcDB[[#This Row],[Pocet zmluv objednavatela]]&gt;3,SrcDB[[#This Row],[Objednavatel]],"Ostatné")</f>
        <v>Ostatné</v>
      </c>
      <c r="AN549" s="17" t="str">
        <f>IF(SrcDB[[#This Row],[Pocet zmluv dodavatela]]&gt;3,SrcDB[[#This Row],[Dodavatel]],"Ostatné")</f>
        <v>NextIT s.r.o.</v>
      </c>
    </row>
    <row r="550" spans="1:40" x14ac:dyDescent="0.3">
      <c r="A550" s="2" t="s">
        <v>176</v>
      </c>
      <c r="B550" s="2">
        <v>6060942</v>
      </c>
      <c r="C550" s="3" t="str">
        <f t="shared" si="567"/>
        <v>Áno</v>
      </c>
      <c r="D550" s="3" t="str">
        <f t="shared" si="568"/>
        <v>Nie</v>
      </c>
      <c r="E550" s="3" t="s">
        <v>49</v>
      </c>
      <c r="F550" s="3" t="s">
        <v>48</v>
      </c>
      <c r="G550" s="2" t="str">
        <f t="shared" si="569"/>
        <v>Malé zmluvy</v>
      </c>
      <c r="H550" s="5">
        <v>30810787</v>
      </c>
      <c r="I550" s="2" t="s">
        <v>722</v>
      </c>
      <c r="J550" s="2" t="s">
        <v>723</v>
      </c>
      <c r="K550" s="5">
        <v>44694695</v>
      </c>
      <c r="L550" s="2" t="s">
        <v>302</v>
      </c>
      <c r="M550" s="2" t="s">
        <v>303</v>
      </c>
      <c r="N550" s="6">
        <v>44529.859768518516</v>
      </c>
      <c r="O550" s="4">
        <v>594000</v>
      </c>
      <c r="P550" s="2">
        <v>114489</v>
      </c>
      <c r="Q550" s="2" t="s">
        <v>724</v>
      </c>
      <c r="R550" s="2" t="s">
        <v>725</v>
      </c>
      <c r="S550" s="2" t="s">
        <v>79</v>
      </c>
      <c r="T550" s="2" t="s">
        <v>79</v>
      </c>
      <c r="W550" s="4">
        <v>500</v>
      </c>
      <c r="X550" s="4">
        <v>600</v>
      </c>
      <c r="Y550" s="4">
        <f t="shared" ref="Y550" si="608">INDEX(InternalRates,MATCH($S550,InternalRates01,FALSE),2)</f>
        <v>278.98333333333335</v>
      </c>
      <c r="Z550" s="3" t="str">
        <f t="shared" si="549"/>
        <v>Nie</v>
      </c>
      <c r="AA550" s="3" t="str">
        <f t="shared" si="550"/>
        <v>ZoD</v>
      </c>
      <c r="AB550" s="4">
        <v>89</v>
      </c>
      <c r="AC550" s="4">
        <v>89</v>
      </c>
      <c r="AD550" s="3" t="s">
        <v>48</v>
      </c>
      <c r="AE550" s="6">
        <v>44581</v>
      </c>
      <c r="AF550" s="3" t="s">
        <v>59</v>
      </c>
      <c r="AG550" s="3" t="s">
        <v>49</v>
      </c>
      <c r="AH550" s="3">
        <f>YEAR(SrcDB[[#This Row],[Datum_zverejnenia]])</f>
        <v>2021</v>
      </c>
      <c r="AI550" s="3" cm="1">
        <f t="array" ref="AI550">COUNT(_xlfn.UNIQUE(_xlfn._xlws.FILTER(SrcDB[ID],SrcDB[Objednavatel_ICO]=$H550)))</f>
        <v>3</v>
      </c>
      <c r="AJ550" s="3" cm="1">
        <f t="array" ref="AJ550">COUNT(_xlfn.UNIQUE(_xlfn._xlws.FILTER(SrcDB[ID],SrcDB[Dodavatel_ICO]=$K550)))</f>
        <v>4</v>
      </c>
      <c r="AK550" s="3">
        <f t="shared" si="573"/>
        <v>0</v>
      </c>
      <c r="AL550" s="3">
        <f t="shared" si="574"/>
        <v>0</v>
      </c>
      <c r="AM550" s="17" t="str">
        <f>IF(SrcDB[[#This Row],[Pocet zmluv objednavatela]]&gt;3,SrcDB[[#This Row],[Objednavatel]],"Ostatné")</f>
        <v>Ostatné</v>
      </c>
      <c r="AN550" s="17" t="str">
        <f>IF(SrcDB[[#This Row],[Pocet zmluv dodavatela]]&gt;3,SrcDB[[#This Row],[Dodavatel]],"Ostatné")</f>
        <v>NextIT s.r.o.</v>
      </c>
    </row>
    <row r="551" spans="1:40" x14ac:dyDescent="0.3">
      <c r="A551" s="2" t="s">
        <v>176</v>
      </c>
      <c r="B551" s="2">
        <v>6060942</v>
      </c>
      <c r="C551" s="3" t="str">
        <f t="shared" si="567"/>
        <v>Áno</v>
      </c>
      <c r="D551" s="3" t="str">
        <f t="shared" si="568"/>
        <v>Nie</v>
      </c>
      <c r="E551" s="3" t="s">
        <v>49</v>
      </c>
      <c r="F551" s="3" t="s">
        <v>49</v>
      </c>
      <c r="G551" s="2" t="str">
        <f t="shared" si="569"/>
        <v>Malé zmluvy</v>
      </c>
      <c r="H551" s="5">
        <v>30810787</v>
      </c>
      <c r="I551" s="2" t="s">
        <v>722</v>
      </c>
      <c r="J551" s="2" t="s">
        <v>723</v>
      </c>
      <c r="K551" s="5">
        <v>44694695</v>
      </c>
      <c r="L551" s="2" t="s">
        <v>302</v>
      </c>
      <c r="M551" s="2" t="s">
        <v>303</v>
      </c>
      <c r="N551" s="6">
        <v>44529.859768518516</v>
      </c>
      <c r="O551" s="4">
        <v>594000</v>
      </c>
      <c r="P551" s="2">
        <v>114489</v>
      </c>
      <c r="Q551" s="2" t="s">
        <v>724</v>
      </c>
      <c r="R551" s="2" t="s">
        <v>725</v>
      </c>
      <c r="S551" s="2" t="s">
        <v>69</v>
      </c>
      <c r="W551" s="4">
        <v>500</v>
      </c>
      <c r="X551" s="4">
        <v>600</v>
      </c>
      <c r="Y551" s="4">
        <f t="shared" ref="Y551" si="609">INDEX(InternalRates,MATCH($S551,InternalRates01,FALSE),2)</f>
        <v>278.98333333333335</v>
      </c>
      <c r="Z551" s="3" t="str">
        <f t="shared" si="549"/>
        <v>Nie</v>
      </c>
      <c r="AA551" s="3" t="str">
        <f t="shared" si="550"/>
        <v>SLA+ZoD</v>
      </c>
      <c r="AB551" s="4">
        <v>39</v>
      </c>
      <c r="AC551" s="4">
        <v>19.5</v>
      </c>
      <c r="AD551" s="3" t="s">
        <v>49</v>
      </c>
      <c r="AE551" s="6">
        <v>44935</v>
      </c>
      <c r="AF551" s="3" t="s">
        <v>59</v>
      </c>
      <c r="AG551" s="3" t="s">
        <v>49</v>
      </c>
      <c r="AH551" s="3">
        <f>YEAR(SrcDB[[#This Row],[Datum_zverejnenia]])</f>
        <v>2021</v>
      </c>
      <c r="AI551" s="3" cm="1">
        <f t="array" ref="AI551">COUNT(_xlfn.UNIQUE(_xlfn._xlws.FILTER(SrcDB[ID],SrcDB[Objednavatel_ICO]=$H551)))</f>
        <v>3</v>
      </c>
      <c r="AJ551" s="3" cm="1">
        <f t="array" ref="AJ551">COUNT(_xlfn.UNIQUE(_xlfn._xlws.FILTER(SrcDB[ID],SrcDB[Dodavatel_ICO]=$K551)))</f>
        <v>4</v>
      </c>
      <c r="AK551" s="3">
        <f t="shared" si="573"/>
        <v>0</v>
      </c>
      <c r="AL551" s="3">
        <f t="shared" si="574"/>
        <v>0</v>
      </c>
      <c r="AM551" s="17" t="str">
        <f>IF(SrcDB[[#This Row],[Pocet zmluv objednavatela]]&gt;3,SrcDB[[#This Row],[Objednavatel]],"Ostatné")</f>
        <v>Ostatné</v>
      </c>
      <c r="AN551" s="17" t="str">
        <f>IF(SrcDB[[#This Row],[Pocet zmluv dodavatela]]&gt;3,SrcDB[[#This Row],[Dodavatel]],"Ostatné")</f>
        <v>NextIT s.r.o.</v>
      </c>
    </row>
    <row r="552" spans="1:40" x14ac:dyDescent="0.3">
      <c r="A552" s="2" t="s">
        <v>176</v>
      </c>
      <c r="B552" s="2">
        <v>6060942</v>
      </c>
      <c r="C552" s="3" t="str">
        <f t="shared" si="567"/>
        <v>Áno</v>
      </c>
      <c r="D552" s="3" t="str">
        <f t="shared" si="568"/>
        <v>Nie</v>
      </c>
      <c r="E552" s="3" t="s">
        <v>49</v>
      </c>
      <c r="F552" s="3" t="s">
        <v>49</v>
      </c>
      <c r="G552" s="2" t="str">
        <f t="shared" si="569"/>
        <v>Malé zmluvy</v>
      </c>
      <c r="H552" s="5">
        <v>30810787</v>
      </c>
      <c r="I552" s="2" t="s">
        <v>722</v>
      </c>
      <c r="J552" s="2" t="s">
        <v>723</v>
      </c>
      <c r="K552" s="5">
        <v>44694695</v>
      </c>
      <c r="L552" s="2" t="s">
        <v>302</v>
      </c>
      <c r="M552" s="2" t="s">
        <v>303</v>
      </c>
      <c r="N552" s="6">
        <v>44529.859768518516</v>
      </c>
      <c r="O552" s="4">
        <v>594000</v>
      </c>
      <c r="P552" s="2">
        <v>114489</v>
      </c>
      <c r="Q552" s="2" t="s">
        <v>724</v>
      </c>
      <c r="R552" s="2" t="s">
        <v>725</v>
      </c>
      <c r="S552" s="2" t="s">
        <v>56</v>
      </c>
      <c r="T552" s="2" t="s">
        <v>94</v>
      </c>
      <c r="U552" s="2" t="s">
        <v>95</v>
      </c>
      <c r="W552" s="4">
        <v>500</v>
      </c>
      <c r="X552" s="4">
        <v>600</v>
      </c>
      <c r="Y552" s="4">
        <f t="shared" ref="Y552" si="610">INDEX(InternalRates,MATCH($S552,InternalRates01,FALSE),2)</f>
        <v>278.98333333333335</v>
      </c>
      <c r="Z552" s="3" t="str">
        <f t="shared" si="549"/>
        <v>Nie</v>
      </c>
      <c r="AA552" s="3" t="str">
        <f t="shared" si="550"/>
        <v>SLA+ZoD</v>
      </c>
      <c r="AB552" s="4">
        <v>40</v>
      </c>
      <c r="AC552" s="4">
        <v>20</v>
      </c>
      <c r="AD552" s="3" t="s">
        <v>49</v>
      </c>
      <c r="AE552" s="6">
        <v>44935</v>
      </c>
      <c r="AF552" s="3" t="s">
        <v>59</v>
      </c>
      <c r="AG552" s="3" t="s">
        <v>49</v>
      </c>
      <c r="AH552" s="3">
        <f>YEAR(SrcDB[[#This Row],[Datum_zverejnenia]])</f>
        <v>2021</v>
      </c>
      <c r="AI552" s="3" cm="1">
        <f t="array" ref="AI552">COUNT(_xlfn.UNIQUE(_xlfn._xlws.FILTER(SrcDB[ID],SrcDB[Objednavatel_ICO]=$H552)))</f>
        <v>3</v>
      </c>
      <c r="AJ552" s="3" cm="1">
        <f t="array" ref="AJ552">COUNT(_xlfn.UNIQUE(_xlfn._xlws.FILTER(SrcDB[ID],SrcDB[Dodavatel_ICO]=$K552)))</f>
        <v>4</v>
      </c>
      <c r="AK552" s="3">
        <f t="shared" si="573"/>
        <v>0</v>
      </c>
      <c r="AL552" s="3">
        <f t="shared" si="574"/>
        <v>0</v>
      </c>
      <c r="AM552" s="17" t="str">
        <f>IF(SrcDB[[#This Row],[Pocet zmluv objednavatela]]&gt;3,SrcDB[[#This Row],[Objednavatel]],"Ostatné")</f>
        <v>Ostatné</v>
      </c>
      <c r="AN552" s="17" t="str">
        <f>IF(SrcDB[[#This Row],[Pocet zmluv dodavatela]]&gt;3,SrcDB[[#This Row],[Dodavatel]],"Ostatné")</f>
        <v>NextIT s.r.o.</v>
      </c>
    </row>
    <row r="553" spans="1:40" x14ac:dyDescent="0.3">
      <c r="A553" s="2" t="s">
        <v>564</v>
      </c>
      <c r="B553" s="2">
        <v>6059437</v>
      </c>
      <c r="C553" s="3" t="str">
        <f t="shared" si="567"/>
        <v>Nejasné</v>
      </c>
      <c r="D553" s="3" t="str">
        <f t="shared" si="568"/>
        <v>Nejasné</v>
      </c>
      <c r="E553" s="3" t="s">
        <v>48</v>
      </c>
      <c r="F553" s="3" t="s">
        <v>49</v>
      </c>
      <c r="G553" s="2" t="str">
        <f t="shared" si="569"/>
        <v>Malé zmluvy</v>
      </c>
      <c r="H553" s="5">
        <v>31364501</v>
      </c>
      <c r="I553" s="2" t="s">
        <v>220</v>
      </c>
      <c r="J553" s="2" t="s">
        <v>726</v>
      </c>
      <c r="K553" s="5" t="s">
        <v>420</v>
      </c>
      <c r="L553" s="2" t="s">
        <v>421</v>
      </c>
      <c r="M553" s="2" t="s">
        <v>422</v>
      </c>
      <c r="N553" s="6">
        <v>44529.557303240741</v>
      </c>
      <c r="O553" s="4">
        <v>139230</v>
      </c>
      <c r="P553" s="2">
        <v>114573</v>
      </c>
      <c r="Q553" s="2" t="s">
        <v>727</v>
      </c>
      <c r="R553" s="2" t="s">
        <v>728</v>
      </c>
      <c r="S553" s="2" t="s">
        <v>183</v>
      </c>
      <c r="T553" s="2" t="s">
        <v>183</v>
      </c>
      <c r="W553" s="4">
        <v>610.79999999999995</v>
      </c>
      <c r="X553" s="4">
        <v>732.95999999999992</v>
      </c>
      <c r="Y553" s="4">
        <f t="shared" ref="Y553" si="611">INDEX(InternalRates,MATCH($S553,InternalRates01,FALSE),2)</f>
        <v>278.98333333333335</v>
      </c>
      <c r="Z553" s="3" t="str">
        <f>IF(W553&gt;0,IF(Y553&gt;W553,"Áno","Nie"),"Nie")</f>
        <v>Nie</v>
      </c>
      <c r="AA553" s="3" t="str">
        <f>IF(E553="Nie","SLA",IF(F553="Nie","ZoD","SLA+ZoD"))</f>
        <v>SLA</v>
      </c>
      <c r="AB553" s="4">
        <v>37.5</v>
      </c>
      <c r="AC553" s="4">
        <v>18.75</v>
      </c>
      <c r="AD553" s="3" t="s">
        <v>49</v>
      </c>
      <c r="AE553" s="6">
        <v>44991</v>
      </c>
      <c r="AF553" s="3" t="s">
        <v>59</v>
      </c>
      <c r="AG553" s="3" t="s">
        <v>48</v>
      </c>
      <c r="AH553" s="3">
        <f>YEAR(SrcDB[[#This Row],[Datum_zverejnenia]])</f>
        <v>2021</v>
      </c>
      <c r="AI553" s="3" cm="1">
        <f t="array" ref="AI553">COUNT(_xlfn.UNIQUE(_xlfn._xlws.FILTER(SrcDB[ID],SrcDB[Objednavatel_ICO]=$H553)))</f>
        <v>24</v>
      </c>
      <c r="AJ553" s="3" cm="1">
        <f t="array" ref="AJ553">COUNT(_xlfn.UNIQUE(_xlfn._xlws.FILTER(SrcDB[ID],SrcDB[Dodavatel_ICO]=$K553)))</f>
        <v>6</v>
      </c>
      <c r="AK553" s="3">
        <f t="shared" si="573"/>
        <v>1</v>
      </c>
      <c r="AL553" s="3">
        <f t="shared" si="574"/>
        <v>1</v>
      </c>
      <c r="AM553" s="17" t="str">
        <f>IF(SrcDB[[#This Row],[Pocet zmluv objednavatela]]&gt;3,SrcDB[[#This Row],[Objednavatel]],"Ostatné")</f>
        <v>Železnice Slovenskej republiky</v>
      </c>
      <c r="AN553" s="17" t="str">
        <f>IF(SrcDB[[#This Row],[Pocet zmluv dodavatela]]&gt;3,SrcDB[[#This Row],[Dodavatel]],"Ostatné")</f>
        <v>NESS Slovensko, a.s.</v>
      </c>
    </row>
    <row r="554" spans="1:40" x14ac:dyDescent="0.3">
      <c r="A554" s="2" t="s">
        <v>729</v>
      </c>
      <c r="B554" s="2">
        <v>6082186</v>
      </c>
      <c r="C554" s="3" t="str">
        <f t="shared" si="567"/>
        <v>Nejasné</v>
      </c>
      <c r="D554" s="3" t="str">
        <f t="shared" si="568"/>
        <v>Nejasné</v>
      </c>
      <c r="E554" s="3" t="s">
        <v>48</v>
      </c>
      <c r="F554" s="3" t="s">
        <v>49</v>
      </c>
      <c r="G554" s="2" t="str">
        <f t="shared" si="569"/>
        <v>Malé zmluvy</v>
      </c>
      <c r="H554" s="5">
        <v>42499500</v>
      </c>
      <c r="I554" s="2" t="s">
        <v>464</v>
      </c>
      <c r="J554" s="2" t="s">
        <v>465</v>
      </c>
      <c r="K554" s="5">
        <v>35760419</v>
      </c>
      <c r="L554" s="2" t="s">
        <v>85</v>
      </c>
      <c r="M554" s="2" t="s">
        <v>696</v>
      </c>
      <c r="N554" s="6">
        <v>44539.443368055552</v>
      </c>
      <c r="O554" s="4">
        <v>617166.29</v>
      </c>
      <c r="P554" s="2">
        <v>114725</v>
      </c>
      <c r="Q554" s="2" t="s">
        <v>730</v>
      </c>
      <c r="R554" s="2" t="s">
        <v>731</v>
      </c>
      <c r="S554" s="2" t="s">
        <v>183</v>
      </c>
      <c r="T554" s="2" t="s">
        <v>183</v>
      </c>
      <c r="W554" s="4">
        <v>642.48</v>
      </c>
      <c r="X554" s="4">
        <v>770.976</v>
      </c>
      <c r="Y554" s="4">
        <f t="shared" ref="Y554" si="612">INDEX(InternalRates,MATCH($S554,InternalRates01,FALSE),2)</f>
        <v>278.98333333333335</v>
      </c>
      <c r="Z554" s="3" t="str">
        <f t="shared" ref="Z554:Z590" si="613">IF(W554&gt;0,IF(Y554&gt;W554,"Áno","Nie"),"Nie")</f>
        <v>Nie</v>
      </c>
      <c r="AA554" s="3" t="str">
        <f t="shared" ref="AA554:AA590" si="614">IF(E554="Nie","SLA",IF(F554="Nie","ZoD","SLA+ZoD"))</f>
        <v>SLA</v>
      </c>
      <c r="AB554" s="4">
        <v>800.5</v>
      </c>
      <c r="AC554" s="4">
        <v>1062.3621918390336</v>
      </c>
      <c r="AD554" s="3" t="s">
        <v>48</v>
      </c>
      <c r="AE554" s="6">
        <v>44990</v>
      </c>
      <c r="AF554" s="3" t="s">
        <v>59</v>
      </c>
      <c r="AG554" s="3" t="s">
        <v>60</v>
      </c>
      <c r="AH554" s="3">
        <f>YEAR(SrcDB[[#This Row],[Datum_zverejnenia]])</f>
        <v>2021</v>
      </c>
      <c r="AI554" s="3" cm="1">
        <f t="array" ref="AI554">COUNT(_xlfn.UNIQUE(_xlfn._xlws.FILTER(SrcDB[ID],SrcDB[Objednavatel_ICO]=$H554)))</f>
        <v>25</v>
      </c>
      <c r="AJ554" s="3" cm="1">
        <f t="array" ref="AJ554">COUNT(_xlfn.UNIQUE(_xlfn._xlws.FILTER(SrcDB[ID],SrcDB[Dodavatel_ICO]=$K554)))</f>
        <v>34</v>
      </c>
      <c r="AK554" s="3">
        <f t="shared" si="573"/>
        <v>1</v>
      </c>
      <c r="AL554" s="3">
        <f t="shared" si="574"/>
        <v>1</v>
      </c>
      <c r="AM554" s="17" t="str">
        <f>IF(SrcDB[[#This Row],[Pocet zmluv objednavatela]]&gt;3,SrcDB[[#This Row],[Objednavatel]],"Ostatné")</f>
        <v>Finančné riaditeľstvo SR</v>
      </c>
      <c r="AN554" s="17" t="str">
        <f>IF(SrcDB[[#This Row],[Pocet zmluv dodavatela]]&gt;3,SrcDB[[#This Row],[Dodavatel]],"Ostatné")</f>
        <v>Asseco Central Europe, a.s.</v>
      </c>
    </row>
    <row r="555" spans="1:40" x14ac:dyDescent="0.3">
      <c r="A555" s="2" t="s">
        <v>732</v>
      </c>
      <c r="B555" s="2">
        <v>6097987</v>
      </c>
      <c r="C555" s="3" t="str">
        <f t="shared" si="567"/>
        <v>Nie</v>
      </c>
      <c r="D555" s="3" t="str">
        <f t="shared" si="568"/>
        <v>Áno</v>
      </c>
      <c r="E555" s="3" t="s">
        <v>48</v>
      </c>
      <c r="F555" s="3" t="s">
        <v>49</v>
      </c>
      <c r="G555" s="2" t="str">
        <f t="shared" si="569"/>
        <v>Malé zmluvy</v>
      </c>
      <c r="H555" s="5">
        <v>36631124</v>
      </c>
      <c r="I555" s="2" t="s">
        <v>104</v>
      </c>
      <c r="J555" s="2" t="s">
        <v>105</v>
      </c>
      <c r="K555" s="5">
        <v>36785512</v>
      </c>
      <c r="L555" s="2" t="s">
        <v>700</v>
      </c>
      <c r="M555" s="2" t="s">
        <v>733</v>
      </c>
      <c r="N555" s="6">
        <v>44545.482928240737</v>
      </c>
      <c r="O555" s="4">
        <v>392904</v>
      </c>
      <c r="P555" s="2">
        <v>114573</v>
      </c>
      <c r="Q555" s="2" t="s">
        <v>734</v>
      </c>
      <c r="R555" s="2" t="s">
        <v>735</v>
      </c>
      <c r="S555" s="2" t="s">
        <v>73</v>
      </c>
      <c r="T555" s="2" t="s">
        <v>736</v>
      </c>
      <c r="W555" s="4">
        <v>750</v>
      </c>
      <c r="X555" s="4">
        <v>900</v>
      </c>
      <c r="Y555" s="4">
        <f t="shared" ref="Y555" si="615">INDEX(InternalRates,MATCH($S555,InternalRates01,FALSE),2)</f>
        <v>278.98333333333335</v>
      </c>
      <c r="Z555" s="3" t="str">
        <f t="shared" si="613"/>
        <v>Nie</v>
      </c>
      <c r="AA555" s="3" t="str">
        <f t="shared" si="614"/>
        <v>SLA</v>
      </c>
      <c r="AB555" s="4">
        <v>45.714285714285708</v>
      </c>
      <c r="AC555" s="4">
        <v>22.857142857142854</v>
      </c>
      <c r="AD555" s="3" t="s">
        <v>48</v>
      </c>
      <c r="AE555" s="6">
        <v>44581</v>
      </c>
      <c r="AF555" s="3" t="s">
        <v>59</v>
      </c>
      <c r="AG555" s="3" t="s">
        <v>60</v>
      </c>
      <c r="AH555" s="3">
        <f>YEAR(SrcDB[[#This Row],[Datum_zverejnenia]])</f>
        <v>2021</v>
      </c>
      <c r="AI555" s="3" cm="1">
        <f t="array" ref="AI555">COUNT(_xlfn.UNIQUE(_xlfn._xlws.FILTER(SrcDB[ID],SrcDB[Objednavatel_ICO]=$H555)))</f>
        <v>17</v>
      </c>
      <c r="AJ555" s="3" cm="1">
        <f t="array" ref="AJ555">COUNT(_xlfn.UNIQUE(_xlfn._xlws.FILTER(SrcDB[ID],SrcDB[Dodavatel_ICO]=$K555)))</f>
        <v>7</v>
      </c>
      <c r="AK555" s="3">
        <f t="shared" si="573"/>
        <v>1</v>
      </c>
      <c r="AL555" s="3">
        <f t="shared" si="574"/>
        <v>1</v>
      </c>
      <c r="AM555" s="17" t="str">
        <f>IF(SrcDB[[#This Row],[Pocet zmluv objednavatela]]&gt;3,SrcDB[[#This Row],[Objednavatel]],"Ostatné")</f>
        <v>Slovenská pošta, a. s.</v>
      </c>
      <c r="AN555" s="17" t="str">
        <f>IF(SrcDB[[#This Row],[Pocet zmluv dodavatela]]&gt;3,SrcDB[[#This Row],[Dodavatel]],"Ostatné")</f>
        <v>SOFTIP, a. s.</v>
      </c>
    </row>
    <row r="556" spans="1:40" x14ac:dyDescent="0.3">
      <c r="A556" s="2" t="s">
        <v>732</v>
      </c>
      <c r="B556" s="2">
        <v>6097987</v>
      </c>
      <c r="C556" s="3" t="str">
        <f t="shared" si="567"/>
        <v>Nie</v>
      </c>
      <c r="D556" s="3" t="str">
        <f t="shared" si="568"/>
        <v>Áno</v>
      </c>
      <c r="E556" s="3" t="s">
        <v>48</v>
      </c>
      <c r="F556" s="3" t="s">
        <v>49</v>
      </c>
      <c r="G556" s="2" t="str">
        <f t="shared" si="569"/>
        <v>Malé zmluvy</v>
      </c>
      <c r="H556" s="5">
        <v>36631124</v>
      </c>
      <c r="I556" s="2" t="s">
        <v>104</v>
      </c>
      <c r="J556" s="2" t="s">
        <v>105</v>
      </c>
      <c r="K556" s="5">
        <v>36785512</v>
      </c>
      <c r="L556" s="2" t="s">
        <v>700</v>
      </c>
      <c r="M556" s="2" t="s">
        <v>733</v>
      </c>
      <c r="N556" s="6">
        <v>44545.482928240737</v>
      </c>
      <c r="O556" s="4">
        <v>392904</v>
      </c>
      <c r="P556" s="2">
        <v>114573</v>
      </c>
      <c r="Q556" s="2" t="s">
        <v>734</v>
      </c>
      <c r="R556" s="2" t="s">
        <v>735</v>
      </c>
      <c r="S556" s="2" t="s">
        <v>69</v>
      </c>
      <c r="T556" s="2" t="s">
        <v>70</v>
      </c>
      <c r="W556" s="4">
        <v>750</v>
      </c>
      <c r="X556" s="4">
        <v>900</v>
      </c>
      <c r="Y556" s="4">
        <f t="shared" ref="Y556" si="616">INDEX(InternalRates,MATCH($S556,InternalRates01,FALSE),2)</f>
        <v>278.98333333333335</v>
      </c>
      <c r="Z556" s="3" t="str">
        <f t="shared" si="613"/>
        <v>Nie</v>
      </c>
      <c r="AA556" s="3" t="str">
        <f t="shared" si="614"/>
        <v>SLA</v>
      </c>
      <c r="AB556" s="4">
        <v>45.714285714285708</v>
      </c>
      <c r="AC556" s="4">
        <v>22.857142857142854</v>
      </c>
      <c r="AD556" s="3" t="s">
        <v>48</v>
      </c>
      <c r="AE556" s="6">
        <v>44581</v>
      </c>
      <c r="AF556" s="3" t="s">
        <v>59</v>
      </c>
      <c r="AG556" s="3" t="s">
        <v>60</v>
      </c>
      <c r="AH556" s="3">
        <f>YEAR(SrcDB[[#This Row],[Datum_zverejnenia]])</f>
        <v>2021</v>
      </c>
      <c r="AI556" s="3" cm="1">
        <f t="array" ref="AI556">COUNT(_xlfn.UNIQUE(_xlfn._xlws.FILTER(SrcDB[ID],SrcDB[Objednavatel_ICO]=$H556)))</f>
        <v>17</v>
      </c>
      <c r="AJ556" s="3" cm="1">
        <f t="array" ref="AJ556">COUNT(_xlfn.UNIQUE(_xlfn._xlws.FILTER(SrcDB[ID],SrcDB[Dodavatel_ICO]=$K556)))</f>
        <v>7</v>
      </c>
      <c r="AK556" s="3">
        <f t="shared" si="573"/>
        <v>0</v>
      </c>
      <c r="AL556" s="3">
        <f t="shared" si="574"/>
        <v>0</v>
      </c>
      <c r="AM556" s="17" t="str">
        <f>IF(SrcDB[[#This Row],[Pocet zmluv objednavatela]]&gt;3,SrcDB[[#This Row],[Objednavatel]],"Ostatné")</f>
        <v>Slovenská pošta, a. s.</v>
      </c>
      <c r="AN556" s="17" t="str">
        <f>IF(SrcDB[[#This Row],[Pocet zmluv dodavatela]]&gt;3,SrcDB[[#This Row],[Dodavatel]],"Ostatné")</f>
        <v>SOFTIP, a. s.</v>
      </c>
    </row>
    <row r="557" spans="1:40" x14ac:dyDescent="0.3">
      <c r="A557" s="2" t="s">
        <v>732</v>
      </c>
      <c r="B557" s="2">
        <v>6097987</v>
      </c>
      <c r="C557" s="3" t="str">
        <f t="shared" si="567"/>
        <v>Nie</v>
      </c>
      <c r="D557" s="3" t="str">
        <f t="shared" si="568"/>
        <v>Áno</v>
      </c>
      <c r="E557" s="3" t="s">
        <v>48</v>
      </c>
      <c r="F557" s="3" t="s">
        <v>49</v>
      </c>
      <c r="G557" s="2" t="str">
        <f t="shared" si="569"/>
        <v>Malé zmluvy</v>
      </c>
      <c r="H557" s="5">
        <v>36631124</v>
      </c>
      <c r="I557" s="2" t="s">
        <v>104</v>
      </c>
      <c r="J557" s="2" t="s">
        <v>105</v>
      </c>
      <c r="K557" s="5">
        <v>36785512</v>
      </c>
      <c r="L557" s="2" t="s">
        <v>700</v>
      </c>
      <c r="M557" s="2" t="s">
        <v>733</v>
      </c>
      <c r="N557" s="6">
        <v>44545.482928240737</v>
      </c>
      <c r="O557" s="4">
        <v>392904</v>
      </c>
      <c r="P557" s="2">
        <v>114573</v>
      </c>
      <c r="Q557" s="2" t="s">
        <v>734</v>
      </c>
      <c r="R557" s="2" t="s">
        <v>735</v>
      </c>
      <c r="S557" s="2" t="s">
        <v>56</v>
      </c>
      <c r="T557" s="2" t="s">
        <v>737</v>
      </c>
      <c r="U557" s="2" t="s">
        <v>449</v>
      </c>
      <c r="W557" s="4">
        <v>750</v>
      </c>
      <c r="X557" s="4">
        <v>900</v>
      </c>
      <c r="Y557" s="4">
        <f t="shared" ref="Y557" si="617">INDEX(InternalRates,MATCH($S557,InternalRates01,FALSE),2)</f>
        <v>278.98333333333335</v>
      </c>
      <c r="Z557" s="3" t="str">
        <f t="shared" si="613"/>
        <v>Nie</v>
      </c>
      <c r="AA557" s="3" t="str">
        <f t="shared" si="614"/>
        <v>SLA</v>
      </c>
      <c r="AB557" s="4">
        <v>45.714285714285708</v>
      </c>
      <c r="AC557" s="4">
        <v>22.857142857142854</v>
      </c>
      <c r="AD557" s="3" t="s">
        <v>48</v>
      </c>
      <c r="AE557" s="6">
        <v>44581</v>
      </c>
      <c r="AF557" s="3" t="s">
        <v>59</v>
      </c>
      <c r="AG557" s="3" t="s">
        <v>60</v>
      </c>
      <c r="AH557" s="3">
        <f>YEAR(SrcDB[[#This Row],[Datum_zverejnenia]])</f>
        <v>2021</v>
      </c>
      <c r="AI557" s="3" cm="1">
        <f t="array" ref="AI557">COUNT(_xlfn.UNIQUE(_xlfn._xlws.FILTER(SrcDB[ID],SrcDB[Objednavatel_ICO]=$H557)))</f>
        <v>17</v>
      </c>
      <c r="AJ557" s="3" cm="1">
        <f t="array" ref="AJ557">COUNT(_xlfn.UNIQUE(_xlfn._xlws.FILTER(SrcDB[ID],SrcDB[Dodavatel_ICO]=$K557)))</f>
        <v>7</v>
      </c>
      <c r="AK557" s="3">
        <f t="shared" si="573"/>
        <v>0</v>
      </c>
      <c r="AL557" s="3">
        <f t="shared" si="574"/>
        <v>0</v>
      </c>
      <c r="AM557" s="17" t="str">
        <f>IF(SrcDB[[#This Row],[Pocet zmluv objednavatela]]&gt;3,SrcDB[[#This Row],[Objednavatel]],"Ostatné")</f>
        <v>Slovenská pošta, a. s.</v>
      </c>
      <c r="AN557" s="17" t="str">
        <f>IF(SrcDB[[#This Row],[Pocet zmluv dodavatela]]&gt;3,SrcDB[[#This Row],[Dodavatel]],"Ostatné")</f>
        <v>SOFTIP, a. s.</v>
      </c>
    </row>
    <row r="558" spans="1:40" x14ac:dyDescent="0.3">
      <c r="A558" s="2" t="s">
        <v>732</v>
      </c>
      <c r="B558" s="2">
        <v>6097987</v>
      </c>
      <c r="C558" s="3" t="str">
        <f t="shared" si="567"/>
        <v>Nie</v>
      </c>
      <c r="D558" s="3" t="str">
        <f t="shared" si="568"/>
        <v>Áno</v>
      </c>
      <c r="E558" s="3" t="s">
        <v>48</v>
      </c>
      <c r="F558" s="3" t="s">
        <v>49</v>
      </c>
      <c r="G558" s="2" t="str">
        <f t="shared" si="569"/>
        <v>Malé zmluvy</v>
      </c>
      <c r="H558" s="5">
        <v>36631124</v>
      </c>
      <c r="I558" s="2" t="s">
        <v>104</v>
      </c>
      <c r="J558" s="2" t="s">
        <v>105</v>
      </c>
      <c r="K558" s="5">
        <v>36785512</v>
      </c>
      <c r="L558" s="2" t="s">
        <v>700</v>
      </c>
      <c r="M558" s="2" t="s">
        <v>733</v>
      </c>
      <c r="N558" s="6">
        <v>44545.482928240737</v>
      </c>
      <c r="O558" s="4">
        <v>392904</v>
      </c>
      <c r="P558" s="2">
        <v>114573</v>
      </c>
      <c r="Q558" s="2" t="s">
        <v>734</v>
      </c>
      <c r="R558" s="2" t="s">
        <v>735</v>
      </c>
      <c r="S558" s="2" t="s">
        <v>56</v>
      </c>
      <c r="T558" s="2" t="s">
        <v>328</v>
      </c>
      <c r="U558" s="2" t="s">
        <v>113</v>
      </c>
      <c r="W558" s="4">
        <v>700</v>
      </c>
      <c r="X558" s="4">
        <v>840</v>
      </c>
      <c r="Y558" s="4">
        <f t="shared" ref="Y558" si="618">INDEX(InternalRates,MATCH($S558,InternalRates01,FALSE),2)</f>
        <v>278.98333333333335</v>
      </c>
      <c r="Z558" s="3" t="str">
        <f t="shared" si="613"/>
        <v>Nie</v>
      </c>
      <c r="AA558" s="3" t="str">
        <f t="shared" si="614"/>
        <v>SLA</v>
      </c>
      <c r="AB558" s="4">
        <v>48.979591836734691</v>
      </c>
      <c r="AC558" s="4">
        <v>24.489795918367346</v>
      </c>
      <c r="AD558" s="3" t="s">
        <v>48</v>
      </c>
      <c r="AE558" s="6">
        <v>44581</v>
      </c>
      <c r="AF558" s="3" t="s">
        <v>59</v>
      </c>
      <c r="AG558" s="3" t="s">
        <v>60</v>
      </c>
      <c r="AH558" s="3">
        <f>YEAR(SrcDB[[#This Row],[Datum_zverejnenia]])</f>
        <v>2021</v>
      </c>
      <c r="AI558" s="3" cm="1">
        <f t="array" ref="AI558">COUNT(_xlfn.UNIQUE(_xlfn._xlws.FILTER(SrcDB[ID],SrcDB[Objednavatel_ICO]=$H558)))</f>
        <v>17</v>
      </c>
      <c r="AJ558" s="3" cm="1">
        <f t="array" ref="AJ558">COUNT(_xlfn.UNIQUE(_xlfn._xlws.FILTER(SrcDB[ID],SrcDB[Dodavatel_ICO]=$K558)))</f>
        <v>7</v>
      </c>
      <c r="AK558" s="3">
        <f t="shared" si="573"/>
        <v>0</v>
      </c>
      <c r="AL558" s="3">
        <f t="shared" si="574"/>
        <v>0</v>
      </c>
      <c r="AM558" s="17" t="str">
        <f>IF(SrcDB[[#This Row],[Pocet zmluv objednavatela]]&gt;3,SrcDB[[#This Row],[Objednavatel]],"Ostatné")</f>
        <v>Slovenská pošta, a. s.</v>
      </c>
      <c r="AN558" s="17" t="str">
        <f>IF(SrcDB[[#This Row],[Pocet zmluv dodavatela]]&gt;3,SrcDB[[#This Row],[Dodavatel]],"Ostatné")</f>
        <v>SOFTIP, a. s.</v>
      </c>
    </row>
    <row r="559" spans="1:40" x14ac:dyDescent="0.3">
      <c r="A559" s="2" t="s">
        <v>732</v>
      </c>
      <c r="B559" s="2">
        <v>6097987</v>
      </c>
      <c r="C559" s="3" t="str">
        <f t="shared" si="567"/>
        <v>Nie</v>
      </c>
      <c r="D559" s="3" t="str">
        <f t="shared" si="568"/>
        <v>Áno</v>
      </c>
      <c r="E559" s="3" t="s">
        <v>48</v>
      </c>
      <c r="F559" s="3" t="s">
        <v>49</v>
      </c>
      <c r="G559" s="2" t="str">
        <f t="shared" si="569"/>
        <v>Malé zmluvy</v>
      </c>
      <c r="H559" s="5">
        <v>36631124</v>
      </c>
      <c r="I559" s="2" t="s">
        <v>104</v>
      </c>
      <c r="J559" s="2" t="s">
        <v>105</v>
      </c>
      <c r="K559" s="5">
        <v>36785512</v>
      </c>
      <c r="L559" s="2" t="s">
        <v>700</v>
      </c>
      <c r="M559" s="2" t="s">
        <v>733</v>
      </c>
      <c r="N559" s="6">
        <v>44545.482928240737</v>
      </c>
      <c r="O559" s="4">
        <v>392904</v>
      </c>
      <c r="P559" s="2">
        <v>114573</v>
      </c>
      <c r="Q559" s="2" t="s">
        <v>734</v>
      </c>
      <c r="R559" s="2" t="s">
        <v>735</v>
      </c>
      <c r="S559" s="2" t="s">
        <v>77</v>
      </c>
      <c r="T559" s="2" t="s">
        <v>77</v>
      </c>
      <c r="W559" s="4">
        <v>700</v>
      </c>
      <c r="X559" s="4">
        <v>840</v>
      </c>
      <c r="Y559" s="4">
        <f t="shared" ref="Y559" si="619">INDEX(InternalRates,MATCH($S559,InternalRates01,FALSE),2)</f>
        <v>278.98333333333335</v>
      </c>
      <c r="Z559" s="3" t="str">
        <f t="shared" si="613"/>
        <v>Nie</v>
      </c>
      <c r="AA559" s="3" t="str">
        <f t="shared" si="614"/>
        <v>SLA</v>
      </c>
      <c r="AB559" s="4">
        <v>48.979591836734691</v>
      </c>
      <c r="AC559" s="4">
        <v>24.489795918367346</v>
      </c>
      <c r="AD559" s="3" t="s">
        <v>48</v>
      </c>
      <c r="AE559" s="6">
        <v>44581</v>
      </c>
      <c r="AF559" s="3" t="s">
        <v>59</v>
      </c>
      <c r="AG559" s="3" t="s">
        <v>60</v>
      </c>
      <c r="AH559" s="3">
        <f>YEAR(SrcDB[[#This Row],[Datum_zverejnenia]])</f>
        <v>2021</v>
      </c>
      <c r="AI559" s="3" cm="1">
        <f t="array" ref="AI559">COUNT(_xlfn.UNIQUE(_xlfn._xlws.FILTER(SrcDB[ID],SrcDB[Objednavatel_ICO]=$H559)))</f>
        <v>17</v>
      </c>
      <c r="AJ559" s="3" cm="1">
        <f t="array" ref="AJ559">COUNT(_xlfn.UNIQUE(_xlfn._xlws.FILTER(SrcDB[ID],SrcDB[Dodavatel_ICO]=$K559)))</f>
        <v>7</v>
      </c>
      <c r="AK559" s="3">
        <f t="shared" si="573"/>
        <v>0</v>
      </c>
      <c r="AL559" s="3">
        <f t="shared" si="574"/>
        <v>0</v>
      </c>
      <c r="AM559" s="17" t="str">
        <f>IF(SrcDB[[#This Row],[Pocet zmluv objednavatela]]&gt;3,SrcDB[[#This Row],[Objednavatel]],"Ostatné")</f>
        <v>Slovenská pošta, a. s.</v>
      </c>
      <c r="AN559" s="17" t="str">
        <f>IF(SrcDB[[#This Row],[Pocet zmluv dodavatela]]&gt;3,SrcDB[[#This Row],[Dodavatel]],"Ostatné")</f>
        <v>SOFTIP, a. s.</v>
      </c>
    </row>
    <row r="560" spans="1:40" x14ac:dyDescent="0.3">
      <c r="A560" s="2" t="s">
        <v>732</v>
      </c>
      <c r="B560" s="2">
        <v>6097987</v>
      </c>
      <c r="C560" s="3" t="str">
        <f t="shared" si="567"/>
        <v>Nie</v>
      </c>
      <c r="D560" s="3" t="str">
        <f t="shared" si="568"/>
        <v>Áno</v>
      </c>
      <c r="E560" s="3" t="s">
        <v>48</v>
      </c>
      <c r="F560" s="3" t="s">
        <v>49</v>
      </c>
      <c r="G560" s="2" t="str">
        <f t="shared" si="569"/>
        <v>Malé zmluvy</v>
      </c>
      <c r="H560" s="5">
        <v>36631124</v>
      </c>
      <c r="I560" s="2" t="s">
        <v>104</v>
      </c>
      <c r="J560" s="2" t="s">
        <v>105</v>
      </c>
      <c r="K560" s="5">
        <v>36785512</v>
      </c>
      <c r="L560" s="2" t="s">
        <v>700</v>
      </c>
      <c r="M560" s="2" t="s">
        <v>733</v>
      </c>
      <c r="N560" s="6">
        <v>44545.482928240737</v>
      </c>
      <c r="O560" s="4">
        <v>392904</v>
      </c>
      <c r="P560" s="2">
        <v>114573</v>
      </c>
      <c r="Q560" s="2" t="s">
        <v>734</v>
      </c>
      <c r="R560" s="2" t="s">
        <v>735</v>
      </c>
      <c r="S560" s="2" t="s">
        <v>79</v>
      </c>
      <c r="T560" s="2" t="s">
        <v>79</v>
      </c>
      <c r="W560" s="4">
        <v>680</v>
      </c>
      <c r="X560" s="4">
        <v>816</v>
      </c>
      <c r="Y560" s="4">
        <f t="shared" ref="Y560" si="620">INDEX(InternalRates,MATCH($S560,InternalRates01,FALSE),2)</f>
        <v>278.98333333333335</v>
      </c>
      <c r="Z560" s="3" t="str">
        <f t="shared" si="613"/>
        <v>Nie</v>
      </c>
      <c r="AA560" s="3" t="str">
        <f t="shared" si="614"/>
        <v>SLA</v>
      </c>
      <c r="AB560" s="4">
        <v>50.420168067226889</v>
      </c>
      <c r="AC560" s="4">
        <v>25.210084033613445</v>
      </c>
      <c r="AD560" s="3" t="s">
        <v>48</v>
      </c>
      <c r="AE560" s="6">
        <v>44581</v>
      </c>
      <c r="AF560" s="3" t="s">
        <v>59</v>
      </c>
      <c r="AG560" s="3" t="s">
        <v>60</v>
      </c>
      <c r="AH560" s="3">
        <f>YEAR(SrcDB[[#This Row],[Datum_zverejnenia]])</f>
        <v>2021</v>
      </c>
      <c r="AI560" s="3" cm="1">
        <f t="array" ref="AI560">COUNT(_xlfn.UNIQUE(_xlfn._xlws.FILTER(SrcDB[ID],SrcDB[Objednavatel_ICO]=$H560)))</f>
        <v>17</v>
      </c>
      <c r="AJ560" s="3" cm="1">
        <f t="array" ref="AJ560">COUNT(_xlfn.UNIQUE(_xlfn._xlws.FILTER(SrcDB[ID],SrcDB[Dodavatel_ICO]=$K560)))</f>
        <v>7</v>
      </c>
      <c r="AK560" s="3">
        <f t="shared" si="573"/>
        <v>0</v>
      </c>
      <c r="AL560" s="3">
        <f t="shared" si="574"/>
        <v>0</v>
      </c>
      <c r="AM560" s="17" t="str">
        <f>IF(SrcDB[[#This Row],[Pocet zmluv objednavatela]]&gt;3,SrcDB[[#This Row],[Objednavatel]],"Ostatné")</f>
        <v>Slovenská pošta, a. s.</v>
      </c>
      <c r="AN560" s="17" t="str">
        <f>IF(SrcDB[[#This Row],[Pocet zmluv dodavatela]]&gt;3,SrcDB[[#This Row],[Dodavatel]],"Ostatné")</f>
        <v>SOFTIP, a. s.</v>
      </c>
    </row>
    <row r="561" spans="1:40" x14ac:dyDescent="0.3">
      <c r="A561" s="2" t="s">
        <v>732</v>
      </c>
      <c r="B561" s="2">
        <v>6097987</v>
      </c>
      <c r="C561" s="3" t="str">
        <f t="shared" si="567"/>
        <v>Nie</v>
      </c>
      <c r="D561" s="3" t="str">
        <f t="shared" si="568"/>
        <v>Áno</v>
      </c>
      <c r="E561" s="3" t="s">
        <v>48</v>
      </c>
      <c r="F561" s="3" t="s">
        <v>49</v>
      </c>
      <c r="G561" s="2" t="str">
        <f t="shared" si="569"/>
        <v>Malé zmluvy</v>
      </c>
      <c r="H561" s="5">
        <v>36631124</v>
      </c>
      <c r="I561" s="2" t="s">
        <v>104</v>
      </c>
      <c r="J561" s="2" t="s">
        <v>105</v>
      </c>
      <c r="K561" s="5">
        <v>36785512</v>
      </c>
      <c r="L561" s="2" t="s">
        <v>700</v>
      </c>
      <c r="M561" s="2" t="s">
        <v>733</v>
      </c>
      <c r="N561" s="6">
        <v>44545.482928240737</v>
      </c>
      <c r="O561" s="4">
        <v>392904</v>
      </c>
      <c r="P561" s="2">
        <v>114573</v>
      </c>
      <c r="Q561" s="2" t="s">
        <v>734</v>
      </c>
      <c r="R561" s="2" t="s">
        <v>735</v>
      </c>
      <c r="S561" s="2" t="s">
        <v>56</v>
      </c>
      <c r="T561" s="2" t="s">
        <v>738</v>
      </c>
      <c r="U561" s="2" t="s">
        <v>58</v>
      </c>
      <c r="W561" s="4">
        <v>750</v>
      </c>
      <c r="X561" s="4">
        <v>900</v>
      </c>
      <c r="Y561" s="4">
        <f t="shared" ref="Y561" si="621">INDEX(InternalRates,MATCH($S561,InternalRates01,FALSE),2)</f>
        <v>278.98333333333335</v>
      </c>
      <c r="Z561" s="3" t="str">
        <f t="shared" si="613"/>
        <v>Nie</v>
      </c>
      <c r="AA561" s="3" t="str">
        <f t="shared" si="614"/>
        <v>SLA</v>
      </c>
      <c r="AB561" s="4">
        <v>45.714285714285708</v>
      </c>
      <c r="AC561" s="4">
        <v>22.857142857142854</v>
      </c>
      <c r="AD561" s="3" t="s">
        <v>48</v>
      </c>
      <c r="AE561" s="6">
        <v>44581</v>
      </c>
      <c r="AF561" s="3" t="s">
        <v>59</v>
      </c>
      <c r="AG561" s="3" t="s">
        <v>60</v>
      </c>
      <c r="AH561" s="3">
        <f>YEAR(SrcDB[[#This Row],[Datum_zverejnenia]])</f>
        <v>2021</v>
      </c>
      <c r="AI561" s="3" cm="1">
        <f t="array" ref="AI561">COUNT(_xlfn.UNIQUE(_xlfn._xlws.FILTER(SrcDB[ID],SrcDB[Objednavatel_ICO]=$H561)))</f>
        <v>17</v>
      </c>
      <c r="AJ561" s="3" cm="1">
        <f t="array" ref="AJ561">COUNT(_xlfn.UNIQUE(_xlfn._xlws.FILTER(SrcDB[ID],SrcDB[Dodavatel_ICO]=$K561)))</f>
        <v>7</v>
      </c>
      <c r="AK561" s="3">
        <f t="shared" si="573"/>
        <v>0</v>
      </c>
      <c r="AL561" s="3">
        <f t="shared" si="574"/>
        <v>0</v>
      </c>
      <c r="AM561" s="17" t="str">
        <f>IF(SrcDB[[#This Row],[Pocet zmluv objednavatela]]&gt;3,SrcDB[[#This Row],[Objednavatel]],"Ostatné")</f>
        <v>Slovenská pošta, a. s.</v>
      </c>
      <c r="AN561" s="17" t="str">
        <f>IF(SrcDB[[#This Row],[Pocet zmluv dodavatela]]&gt;3,SrcDB[[#This Row],[Dodavatel]],"Ostatné")</f>
        <v>SOFTIP, a. s.</v>
      </c>
    </row>
    <row r="562" spans="1:40" x14ac:dyDescent="0.3">
      <c r="A562" s="2" t="s">
        <v>739</v>
      </c>
      <c r="B562" s="2">
        <v>6099100</v>
      </c>
      <c r="C562" s="3" t="str">
        <f t="shared" si="567"/>
        <v>Nie</v>
      </c>
      <c r="D562" s="3" t="str">
        <f t="shared" si="568"/>
        <v>Áno</v>
      </c>
      <c r="E562" s="3" t="s">
        <v>48</v>
      </c>
      <c r="F562" s="3" t="s">
        <v>49</v>
      </c>
      <c r="G562" s="2" t="str">
        <f t="shared" si="569"/>
        <v>Malé zmluvy</v>
      </c>
      <c r="H562" s="5">
        <v>44570783</v>
      </c>
      <c r="I562" s="2" t="s">
        <v>740</v>
      </c>
      <c r="J562" s="2" t="s">
        <v>741</v>
      </c>
      <c r="K562" s="5">
        <v>31666540</v>
      </c>
      <c r="L562" s="2" t="s">
        <v>742</v>
      </c>
      <c r="M562" s="2" t="s">
        <v>743</v>
      </c>
      <c r="N562" s="6">
        <v>44545.564131944448</v>
      </c>
      <c r="O562" s="4">
        <v>581700</v>
      </c>
      <c r="P562" s="2">
        <v>114723</v>
      </c>
      <c r="Q562" s="2" t="s">
        <v>744</v>
      </c>
      <c r="R562" s="2" t="s">
        <v>745</v>
      </c>
      <c r="S562" s="2" t="s">
        <v>183</v>
      </c>
      <c r="T562" s="2" t="s">
        <v>183</v>
      </c>
      <c r="W562" s="4">
        <v>400</v>
      </c>
      <c r="X562" s="4">
        <v>480</v>
      </c>
      <c r="Y562" s="4">
        <f t="shared" ref="Y562" si="622">INDEX(InternalRates,MATCH($S562,InternalRates01,FALSE),2)</f>
        <v>278.98333333333335</v>
      </c>
      <c r="Z562" s="3" t="str">
        <f t="shared" si="613"/>
        <v>Nie</v>
      </c>
      <c r="AA562" s="3" t="str">
        <f t="shared" si="614"/>
        <v>SLA</v>
      </c>
      <c r="AB562" s="4">
        <v>0</v>
      </c>
      <c r="AC562" s="4">
        <v>0</v>
      </c>
      <c r="AD562" s="3" t="s">
        <v>48</v>
      </c>
      <c r="AE562" s="6">
        <v>44581</v>
      </c>
      <c r="AF562" s="3" t="s">
        <v>59</v>
      </c>
      <c r="AG562" s="3" t="s">
        <v>48</v>
      </c>
      <c r="AH562" s="3">
        <f>YEAR(SrcDB[[#This Row],[Datum_zverejnenia]])</f>
        <v>2021</v>
      </c>
      <c r="AI562" s="3" cm="1">
        <f t="array" ref="AI562">COUNT(_xlfn.UNIQUE(_xlfn._xlws.FILTER(SrcDB[ID],SrcDB[Objednavatel_ICO]=$H562)))</f>
        <v>1</v>
      </c>
      <c r="AJ562" s="3" cm="1">
        <f t="array" ref="AJ562">COUNT(_xlfn.UNIQUE(_xlfn._xlws.FILTER(SrcDB[ID],SrcDB[Dodavatel_ICO]=$K562)))</f>
        <v>1</v>
      </c>
      <c r="AK562" s="3">
        <f t="shared" si="573"/>
        <v>1</v>
      </c>
      <c r="AL562" s="3">
        <f t="shared" si="574"/>
        <v>1</v>
      </c>
      <c r="AM562" s="17" t="str">
        <f>IF(SrcDB[[#This Row],[Pocet zmluv objednavatela]]&gt;3,SrcDB[[#This Row],[Objednavatel]],"Ostatné")</f>
        <v>Ostatné</v>
      </c>
      <c r="AN562" s="17" t="str">
        <f>IF(SrcDB[[#This Row],[Pocet zmluv dodavatela]]&gt;3,SrcDB[[#This Row],[Dodavatel]],"Ostatné")</f>
        <v>Ostatné</v>
      </c>
    </row>
    <row r="563" spans="1:40" x14ac:dyDescent="0.3">
      <c r="A563" s="2" t="s">
        <v>739</v>
      </c>
      <c r="B563" s="2">
        <v>6099100</v>
      </c>
      <c r="C563" s="3" t="str">
        <f t="shared" si="567"/>
        <v>Nie</v>
      </c>
      <c r="D563" s="3" t="str">
        <f t="shared" si="568"/>
        <v>Áno</v>
      </c>
      <c r="E563" s="3" t="s">
        <v>48</v>
      </c>
      <c r="F563" s="3" t="s">
        <v>49</v>
      </c>
      <c r="G563" s="2" t="str">
        <f t="shared" si="569"/>
        <v>Malé zmluvy</v>
      </c>
      <c r="H563" s="5">
        <v>44570783</v>
      </c>
      <c r="I563" s="2" t="s">
        <v>740</v>
      </c>
      <c r="J563" s="2" t="s">
        <v>741</v>
      </c>
      <c r="K563" s="5">
        <v>31666540</v>
      </c>
      <c r="L563" s="2" t="s">
        <v>742</v>
      </c>
      <c r="M563" s="2" t="s">
        <v>743</v>
      </c>
      <c r="N563" s="6">
        <v>44545.564131944448</v>
      </c>
      <c r="O563" s="4">
        <v>581700</v>
      </c>
      <c r="P563" s="2">
        <v>114723</v>
      </c>
      <c r="Q563" s="2" t="s">
        <v>744</v>
      </c>
      <c r="R563" s="2" t="s">
        <v>745</v>
      </c>
      <c r="S563" s="2" t="s">
        <v>183</v>
      </c>
      <c r="T563" s="2" t="s">
        <v>183</v>
      </c>
      <c r="W563" s="4">
        <v>400</v>
      </c>
      <c r="X563" s="4">
        <v>480</v>
      </c>
      <c r="Y563" s="4">
        <f t="shared" ref="Y563" si="623">INDEX(InternalRates,MATCH($S563,InternalRates01,FALSE),2)</f>
        <v>278.98333333333335</v>
      </c>
      <c r="Z563" s="3" t="str">
        <f t="shared" si="613"/>
        <v>Nie</v>
      </c>
      <c r="AA563" s="3" t="str">
        <f t="shared" si="614"/>
        <v>SLA</v>
      </c>
      <c r="AB563" s="4">
        <v>0</v>
      </c>
      <c r="AC563" s="4">
        <v>0</v>
      </c>
      <c r="AD563" s="3" t="s">
        <v>48</v>
      </c>
      <c r="AE563" s="6">
        <v>44936</v>
      </c>
      <c r="AF563" s="3" t="s">
        <v>59</v>
      </c>
      <c r="AG563" s="3" t="s">
        <v>48</v>
      </c>
      <c r="AH563" s="3">
        <f>YEAR(SrcDB[[#This Row],[Datum_zverejnenia]])</f>
        <v>2021</v>
      </c>
      <c r="AI563" s="3" cm="1">
        <f t="array" ref="AI563">COUNT(_xlfn.UNIQUE(_xlfn._xlws.FILTER(SrcDB[ID],SrcDB[Objednavatel_ICO]=$H563)))</f>
        <v>1</v>
      </c>
      <c r="AJ563" s="3" cm="1">
        <f t="array" ref="AJ563">COUNT(_xlfn.UNIQUE(_xlfn._xlws.FILTER(SrcDB[ID],SrcDB[Dodavatel_ICO]=$K563)))</f>
        <v>1</v>
      </c>
      <c r="AK563" s="3">
        <f t="shared" si="573"/>
        <v>0</v>
      </c>
      <c r="AL563" s="3">
        <f t="shared" si="574"/>
        <v>0</v>
      </c>
      <c r="AM563" s="17" t="str">
        <f>IF(SrcDB[[#This Row],[Pocet zmluv objednavatela]]&gt;3,SrcDB[[#This Row],[Objednavatel]],"Ostatné")</f>
        <v>Ostatné</v>
      </c>
      <c r="AN563" s="17" t="str">
        <f>IF(SrcDB[[#This Row],[Pocet zmluv dodavatela]]&gt;3,SrcDB[[#This Row],[Dodavatel]],"Ostatné")</f>
        <v>Ostatné</v>
      </c>
    </row>
    <row r="564" spans="1:40" x14ac:dyDescent="0.3">
      <c r="A564" s="2" t="s">
        <v>176</v>
      </c>
      <c r="B564" s="2">
        <v>6127549</v>
      </c>
      <c r="C564" s="3" t="str">
        <f t="shared" si="567"/>
        <v>Áno</v>
      </c>
      <c r="D564" s="3" t="str">
        <f t="shared" si="568"/>
        <v>Nie</v>
      </c>
      <c r="E564" s="3" t="s">
        <v>49</v>
      </c>
      <c r="F564" s="3" t="s">
        <v>49</v>
      </c>
      <c r="G564" s="2" t="str">
        <f t="shared" si="569"/>
        <v>Malé zmluvy</v>
      </c>
      <c r="H564" s="5">
        <v>36211541</v>
      </c>
      <c r="I564" s="2" t="s">
        <v>689</v>
      </c>
      <c r="J564" s="2" t="s">
        <v>690</v>
      </c>
      <c r="K564" s="5">
        <v>45899495</v>
      </c>
      <c r="L564" s="2" t="s">
        <v>746</v>
      </c>
      <c r="M564" s="2" t="s">
        <v>747</v>
      </c>
      <c r="N564" s="6">
        <v>44559.41202546296</v>
      </c>
      <c r="O564" s="4">
        <v>323280</v>
      </c>
      <c r="P564" s="2">
        <v>406837</v>
      </c>
      <c r="Q564" s="2" t="s">
        <v>748</v>
      </c>
      <c r="R564" s="2" t="s">
        <v>749</v>
      </c>
      <c r="S564" s="2" t="s">
        <v>183</v>
      </c>
      <c r="T564" s="2" t="s">
        <v>183</v>
      </c>
      <c r="W564" s="4">
        <v>550</v>
      </c>
      <c r="X564" s="4">
        <v>660</v>
      </c>
      <c r="Y564" s="4">
        <f t="shared" ref="Y564" si="624">INDEX(InternalRates,MATCH($S564,InternalRates01,FALSE),2)</f>
        <v>278.98333333333335</v>
      </c>
      <c r="Z564" s="3" t="str">
        <f t="shared" si="613"/>
        <v>Nie</v>
      </c>
      <c r="AA564" s="3" t="str">
        <f t="shared" si="614"/>
        <v>SLA+ZoD</v>
      </c>
      <c r="AB564" s="4">
        <v>0</v>
      </c>
      <c r="AC564" s="4">
        <v>0</v>
      </c>
      <c r="AD564" s="3" t="s">
        <v>48</v>
      </c>
      <c r="AE564" s="6">
        <v>44581</v>
      </c>
      <c r="AF564" s="3" t="s">
        <v>59</v>
      </c>
      <c r="AG564" s="3" t="s">
        <v>60</v>
      </c>
      <c r="AH564" s="3">
        <f>YEAR(SrcDB[[#This Row],[Datum_zverejnenia]])</f>
        <v>2021</v>
      </c>
      <c r="AI564" s="3" cm="1">
        <f t="array" ref="AI564">COUNT(_xlfn.UNIQUE(_xlfn._xlws.FILTER(SrcDB[ID],SrcDB[Objednavatel_ICO]=$H564)))</f>
        <v>6</v>
      </c>
      <c r="AJ564" s="3" cm="1">
        <f t="array" ref="AJ564">COUNT(_xlfn.UNIQUE(_xlfn._xlws.FILTER(SrcDB[ID],SrcDB[Dodavatel_ICO]=$K564)))</f>
        <v>2</v>
      </c>
      <c r="AK564" s="3">
        <f t="shared" si="573"/>
        <v>1</v>
      </c>
      <c r="AL564" s="3">
        <f t="shared" si="574"/>
        <v>1</v>
      </c>
      <c r="AM564" s="17" t="str">
        <f>IF(SrcDB[[#This Row],[Pocet zmluv objednavatela]]&gt;3,SrcDB[[#This Row],[Objednavatel]],"Ostatné")</f>
        <v>TEKO, a. s. / MH Teplárenský holding, a.s.</v>
      </c>
      <c r="AN564" s="17" t="str">
        <f>IF(SrcDB[[#This Row],[Pocet zmluv dodavatela]]&gt;3,SrcDB[[#This Row],[Dodavatel]],"Ostatné")</f>
        <v>Ostatné</v>
      </c>
    </row>
    <row r="565" spans="1:40" x14ac:dyDescent="0.3">
      <c r="A565" s="2" t="s">
        <v>176</v>
      </c>
      <c r="B565" s="2">
        <v>6127549</v>
      </c>
      <c r="C565" s="3" t="str">
        <f t="shared" si="567"/>
        <v>Áno</v>
      </c>
      <c r="D565" s="3" t="str">
        <f t="shared" si="568"/>
        <v>Nie</v>
      </c>
      <c r="E565" s="3" t="s">
        <v>49</v>
      </c>
      <c r="F565" s="3" t="s">
        <v>48</v>
      </c>
      <c r="G565" s="2" t="str">
        <f t="shared" si="569"/>
        <v>Malé zmluvy</v>
      </c>
      <c r="H565" s="5">
        <v>36211541</v>
      </c>
      <c r="I565" s="2" t="s">
        <v>689</v>
      </c>
      <c r="J565" s="2" t="s">
        <v>690</v>
      </c>
      <c r="K565" s="5">
        <v>45899495</v>
      </c>
      <c r="L565" s="2" t="s">
        <v>746</v>
      </c>
      <c r="M565" s="2" t="s">
        <v>747</v>
      </c>
      <c r="N565" s="6">
        <v>44559.41202546296</v>
      </c>
      <c r="O565" s="4">
        <v>323280</v>
      </c>
      <c r="P565" s="2">
        <v>406837</v>
      </c>
      <c r="Q565" s="2" t="s">
        <v>748</v>
      </c>
      <c r="R565" s="2" t="s">
        <v>749</v>
      </c>
      <c r="S565" s="2" t="s">
        <v>98</v>
      </c>
      <c r="T565" s="2" t="s">
        <v>98</v>
      </c>
      <c r="W565" s="4">
        <v>550</v>
      </c>
      <c r="X565" s="4">
        <v>660</v>
      </c>
      <c r="Y565" s="4">
        <f t="shared" ref="Y565" si="625">INDEX(InternalRates,MATCH($S565,InternalRates01,FALSE),2)</f>
        <v>278.98333333333335</v>
      </c>
      <c r="Z565" s="3" t="str">
        <f t="shared" si="613"/>
        <v>Nie</v>
      </c>
      <c r="AA565" s="3" t="str">
        <f t="shared" si="614"/>
        <v>ZoD</v>
      </c>
      <c r="AB565" s="4">
        <v>0</v>
      </c>
      <c r="AC565" s="4">
        <v>0</v>
      </c>
      <c r="AD565" s="3" t="s">
        <v>48</v>
      </c>
      <c r="AE565" s="6">
        <v>44936</v>
      </c>
      <c r="AF565" s="3" t="s">
        <v>59</v>
      </c>
      <c r="AG565" s="3" t="s">
        <v>60</v>
      </c>
      <c r="AH565" s="3">
        <f>YEAR(SrcDB[[#This Row],[Datum_zverejnenia]])</f>
        <v>2021</v>
      </c>
      <c r="AI565" s="3" cm="1">
        <f t="array" ref="AI565">COUNT(_xlfn.UNIQUE(_xlfn._xlws.FILTER(SrcDB[ID],SrcDB[Objednavatel_ICO]=$H565)))</f>
        <v>6</v>
      </c>
      <c r="AJ565" s="3" cm="1">
        <f t="array" ref="AJ565">COUNT(_xlfn.UNIQUE(_xlfn._xlws.FILTER(SrcDB[ID],SrcDB[Dodavatel_ICO]=$K565)))</f>
        <v>2</v>
      </c>
      <c r="AK565" s="3">
        <f t="shared" si="573"/>
        <v>0</v>
      </c>
      <c r="AL565" s="3">
        <f t="shared" si="574"/>
        <v>0</v>
      </c>
      <c r="AM565" s="17" t="str">
        <f>IF(SrcDB[[#This Row],[Pocet zmluv objednavatela]]&gt;3,SrcDB[[#This Row],[Objednavatel]],"Ostatné")</f>
        <v>TEKO, a. s. / MH Teplárenský holding, a.s.</v>
      </c>
      <c r="AN565" s="17" t="str">
        <f>IF(SrcDB[[#This Row],[Pocet zmluv dodavatela]]&gt;3,SrcDB[[#This Row],[Dodavatel]],"Ostatné")</f>
        <v>Ostatné</v>
      </c>
    </row>
    <row r="566" spans="1:40" x14ac:dyDescent="0.3">
      <c r="A566" s="2" t="s">
        <v>176</v>
      </c>
      <c r="B566" s="2">
        <v>6127549</v>
      </c>
      <c r="C566" s="3" t="str">
        <f t="shared" si="567"/>
        <v>Áno</v>
      </c>
      <c r="D566" s="3" t="str">
        <f t="shared" si="568"/>
        <v>Nie</v>
      </c>
      <c r="E566" s="3" t="s">
        <v>49</v>
      </c>
      <c r="F566" s="3" t="s">
        <v>48</v>
      </c>
      <c r="G566" s="2" t="str">
        <f t="shared" si="569"/>
        <v>Malé zmluvy</v>
      </c>
      <c r="H566" s="5">
        <v>36211541</v>
      </c>
      <c r="I566" s="2" t="s">
        <v>689</v>
      </c>
      <c r="J566" s="2" t="s">
        <v>690</v>
      </c>
      <c r="K566" s="5">
        <v>45899495</v>
      </c>
      <c r="L566" s="2" t="s">
        <v>746</v>
      </c>
      <c r="M566" s="2" t="s">
        <v>747</v>
      </c>
      <c r="N566" s="6">
        <v>44559.41202546296</v>
      </c>
      <c r="O566" s="4">
        <v>323280</v>
      </c>
      <c r="P566" s="2">
        <v>406837</v>
      </c>
      <c r="Q566" s="2" t="s">
        <v>748</v>
      </c>
      <c r="R566" s="2" t="s">
        <v>749</v>
      </c>
      <c r="S566" s="2" t="s">
        <v>56</v>
      </c>
      <c r="T566" s="2" t="s">
        <v>286</v>
      </c>
      <c r="U566" s="2" t="s">
        <v>129</v>
      </c>
      <c r="W566" s="4">
        <v>550</v>
      </c>
      <c r="X566" s="4">
        <v>660</v>
      </c>
      <c r="Y566" s="4">
        <f t="shared" ref="Y566" si="626">INDEX(InternalRates,MATCH($S566,InternalRates01,FALSE),2)</f>
        <v>278.98333333333335</v>
      </c>
      <c r="Z566" s="3" t="str">
        <f t="shared" si="613"/>
        <v>Nie</v>
      </c>
      <c r="AA566" s="3" t="str">
        <f t="shared" si="614"/>
        <v>ZoD</v>
      </c>
      <c r="AB566" s="4">
        <v>0</v>
      </c>
      <c r="AC566" s="4">
        <v>0</v>
      </c>
      <c r="AD566" s="3" t="s">
        <v>48</v>
      </c>
      <c r="AE566" s="6">
        <v>44936</v>
      </c>
      <c r="AF566" s="3" t="s">
        <v>59</v>
      </c>
      <c r="AG566" s="3" t="s">
        <v>60</v>
      </c>
      <c r="AH566" s="3">
        <f>YEAR(SrcDB[[#This Row],[Datum_zverejnenia]])</f>
        <v>2021</v>
      </c>
      <c r="AI566" s="3" cm="1">
        <f t="array" ref="AI566">COUNT(_xlfn.UNIQUE(_xlfn._xlws.FILTER(SrcDB[ID],SrcDB[Objednavatel_ICO]=$H566)))</f>
        <v>6</v>
      </c>
      <c r="AJ566" s="3" cm="1">
        <f t="array" ref="AJ566">COUNT(_xlfn.UNIQUE(_xlfn._xlws.FILTER(SrcDB[ID],SrcDB[Dodavatel_ICO]=$K566)))</f>
        <v>2</v>
      </c>
      <c r="AK566" s="3">
        <f t="shared" si="573"/>
        <v>0</v>
      </c>
      <c r="AL566" s="3">
        <f t="shared" si="574"/>
        <v>0</v>
      </c>
      <c r="AM566" s="17" t="str">
        <f>IF(SrcDB[[#This Row],[Pocet zmluv objednavatela]]&gt;3,SrcDB[[#This Row],[Objednavatel]],"Ostatné")</f>
        <v>TEKO, a. s. / MH Teplárenský holding, a.s.</v>
      </c>
      <c r="AN566" s="17" t="str">
        <f>IF(SrcDB[[#This Row],[Pocet zmluv dodavatela]]&gt;3,SrcDB[[#This Row],[Dodavatel]],"Ostatné")</f>
        <v>Ostatné</v>
      </c>
    </row>
    <row r="567" spans="1:40" x14ac:dyDescent="0.3">
      <c r="A567" s="2" t="s">
        <v>176</v>
      </c>
      <c r="B567" s="2">
        <v>6127549</v>
      </c>
      <c r="C567" s="3" t="str">
        <f t="shared" si="567"/>
        <v>Áno</v>
      </c>
      <c r="D567" s="3" t="str">
        <f t="shared" si="568"/>
        <v>Nie</v>
      </c>
      <c r="E567" s="3" t="s">
        <v>49</v>
      </c>
      <c r="F567" s="3" t="s">
        <v>48</v>
      </c>
      <c r="G567" s="2" t="str">
        <f t="shared" si="569"/>
        <v>Malé zmluvy</v>
      </c>
      <c r="H567" s="5">
        <v>36211541</v>
      </c>
      <c r="I567" s="2" t="s">
        <v>689</v>
      </c>
      <c r="J567" s="2" t="s">
        <v>690</v>
      </c>
      <c r="K567" s="5">
        <v>45899495</v>
      </c>
      <c r="L567" s="2" t="s">
        <v>746</v>
      </c>
      <c r="M567" s="2" t="s">
        <v>747</v>
      </c>
      <c r="N567" s="6">
        <v>44559.41202546296</v>
      </c>
      <c r="O567" s="4">
        <v>323280</v>
      </c>
      <c r="P567" s="2">
        <v>406837</v>
      </c>
      <c r="Q567" s="2" t="s">
        <v>748</v>
      </c>
      <c r="R567" s="2" t="s">
        <v>749</v>
      </c>
      <c r="S567" s="2" t="s">
        <v>73</v>
      </c>
      <c r="T567" s="2" t="s">
        <v>73</v>
      </c>
      <c r="W567" s="4">
        <v>550</v>
      </c>
      <c r="X567" s="4">
        <v>660</v>
      </c>
      <c r="Y567" s="4">
        <f t="shared" ref="Y567" si="627">INDEX(InternalRates,MATCH($S567,InternalRates01,FALSE),2)</f>
        <v>278.98333333333335</v>
      </c>
      <c r="Z567" s="3" t="str">
        <f t="shared" si="613"/>
        <v>Nie</v>
      </c>
      <c r="AA567" s="3" t="str">
        <f t="shared" si="614"/>
        <v>ZoD</v>
      </c>
      <c r="AB567" s="4">
        <v>0</v>
      </c>
      <c r="AC567" s="4">
        <v>0</v>
      </c>
      <c r="AD567" s="3" t="s">
        <v>48</v>
      </c>
      <c r="AE567" s="6">
        <v>44936</v>
      </c>
      <c r="AF567" s="3" t="s">
        <v>59</v>
      </c>
      <c r="AG567" s="3" t="s">
        <v>60</v>
      </c>
      <c r="AH567" s="3">
        <f>YEAR(SrcDB[[#This Row],[Datum_zverejnenia]])</f>
        <v>2021</v>
      </c>
      <c r="AI567" s="3" cm="1">
        <f t="array" ref="AI567">COUNT(_xlfn.UNIQUE(_xlfn._xlws.FILTER(SrcDB[ID],SrcDB[Objednavatel_ICO]=$H567)))</f>
        <v>6</v>
      </c>
      <c r="AJ567" s="3" cm="1">
        <f t="array" ref="AJ567">COUNT(_xlfn.UNIQUE(_xlfn._xlws.FILTER(SrcDB[ID],SrcDB[Dodavatel_ICO]=$K567)))</f>
        <v>2</v>
      </c>
      <c r="AK567" s="3">
        <f t="shared" si="573"/>
        <v>0</v>
      </c>
      <c r="AL567" s="3">
        <f t="shared" si="574"/>
        <v>0</v>
      </c>
      <c r="AM567" s="17" t="str">
        <f>IF(SrcDB[[#This Row],[Pocet zmluv objednavatela]]&gt;3,SrcDB[[#This Row],[Objednavatel]],"Ostatné")</f>
        <v>TEKO, a. s. / MH Teplárenský holding, a.s.</v>
      </c>
      <c r="AN567" s="17" t="str">
        <f>IF(SrcDB[[#This Row],[Pocet zmluv dodavatela]]&gt;3,SrcDB[[#This Row],[Dodavatel]],"Ostatné")</f>
        <v>Ostatné</v>
      </c>
    </row>
    <row r="568" spans="1:40" x14ac:dyDescent="0.3">
      <c r="A568" s="2" t="s">
        <v>176</v>
      </c>
      <c r="B568" s="2">
        <v>6127549</v>
      </c>
      <c r="C568" s="3" t="str">
        <f t="shared" si="567"/>
        <v>Áno</v>
      </c>
      <c r="D568" s="3" t="str">
        <f t="shared" si="568"/>
        <v>Nie</v>
      </c>
      <c r="E568" s="3" t="s">
        <v>49</v>
      </c>
      <c r="F568" s="3" t="s">
        <v>48</v>
      </c>
      <c r="G568" s="2" t="str">
        <f t="shared" si="569"/>
        <v>Malé zmluvy</v>
      </c>
      <c r="H568" s="5">
        <v>36211541</v>
      </c>
      <c r="I568" s="2" t="s">
        <v>689</v>
      </c>
      <c r="J568" s="2" t="s">
        <v>690</v>
      </c>
      <c r="K568" s="5">
        <v>45899495</v>
      </c>
      <c r="L568" s="2" t="s">
        <v>746</v>
      </c>
      <c r="M568" s="2" t="s">
        <v>747</v>
      </c>
      <c r="N568" s="6">
        <v>44559.41202546296</v>
      </c>
      <c r="O568" s="4">
        <v>323280</v>
      </c>
      <c r="P568" s="2">
        <v>406837</v>
      </c>
      <c r="Q568" s="2" t="s">
        <v>748</v>
      </c>
      <c r="R568" s="2" t="s">
        <v>749</v>
      </c>
      <c r="S568" s="2" t="s">
        <v>77</v>
      </c>
      <c r="T568" s="2" t="s">
        <v>77</v>
      </c>
      <c r="W568" s="4">
        <v>550</v>
      </c>
      <c r="X568" s="4">
        <v>660</v>
      </c>
      <c r="Y568" s="4">
        <f t="shared" ref="Y568" si="628">INDEX(InternalRates,MATCH($S568,InternalRates01,FALSE),2)</f>
        <v>278.98333333333335</v>
      </c>
      <c r="Z568" s="3" t="str">
        <f t="shared" si="613"/>
        <v>Nie</v>
      </c>
      <c r="AA568" s="3" t="str">
        <f t="shared" si="614"/>
        <v>ZoD</v>
      </c>
      <c r="AB568" s="4">
        <v>0</v>
      </c>
      <c r="AC568" s="4">
        <v>0</v>
      </c>
      <c r="AD568" s="3" t="s">
        <v>48</v>
      </c>
      <c r="AE568" s="6">
        <v>44936</v>
      </c>
      <c r="AF568" s="3" t="s">
        <v>59</v>
      </c>
      <c r="AG568" s="3" t="s">
        <v>60</v>
      </c>
      <c r="AH568" s="3">
        <f>YEAR(SrcDB[[#This Row],[Datum_zverejnenia]])</f>
        <v>2021</v>
      </c>
      <c r="AI568" s="3" cm="1">
        <f t="array" ref="AI568">COUNT(_xlfn.UNIQUE(_xlfn._xlws.FILTER(SrcDB[ID],SrcDB[Objednavatel_ICO]=$H568)))</f>
        <v>6</v>
      </c>
      <c r="AJ568" s="3" cm="1">
        <f t="array" ref="AJ568">COUNT(_xlfn.UNIQUE(_xlfn._xlws.FILTER(SrcDB[ID],SrcDB[Dodavatel_ICO]=$K568)))</f>
        <v>2</v>
      </c>
      <c r="AK568" s="3">
        <f t="shared" si="573"/>
        <v>0</v>
      </c>
      <c r="AL568" s="3">
        <f t="shared" si="574"/>
        <v>0</v>
      </c>
      <c r="AM568" s="17" t="str">
        <f>IF(SrcDB[[#This Row],[Pocet zmluv objednavatela]]&gt;3,SrcDB[[#This Row],[Objednavatel]],"Ostatné")</f>
        <v>TEKO, a. s. / MH Teplárenský holding, a.s.</v>
      </c>
      <c r="AN568" s="17" t="str">
        <f>IF(SrcDB[[#This Row],[Pocet zmluv dodavatela]]&gt;3,SrcDB[[#This Row],[Dodavatel]],"Ostatné")</f>
        <v>Ostatné</v>
      </c>
    </row>
    <row r="569" spans="1:40" x14ac:dyDescent="0.3">
      <c r="A569" s="2" t="s">
        <v>750</v>
      </c>
      <c r="B569" s="2">
        <v>6130283</v>
      </c>
      <c r="C569" s="3" t="str">
        <f t="shared" si="567"/>
        <v>Áno</v>
      </c>
      <c r="D569" s="3" t="str">
        <f t="shared" si="568"/>
        <v>Nie</v>
      </c>
      <c r="E569" s="3" t="s">
        <v>49</v>
      </c>
      <c r="F569" s="3" t="s">
        <v>48</v>
      </c>
      <c r="G569" s="2" t="str">
        <f t="shared" si="569"/>
        <v>Stredné zmluvy</v>
      </c>
      <c r="H569" s="5" t="s">
        <v>751</v>
      </c>
      <c r="I569" s="2" t="s">
        <v>752</v>
      </c>
      <c r="J569" s="2" t="s">
        <v>753</v>
      </c>
      <c r="K569" s="5">
        <v>31385401</v>
      </c>
      <c r="L569" s="2" t="s">
        <v>142</v>
      </c>
      <c r="M569" s="2" t="s">
        <v>754</v>
      </c>
      <c r="N569" s="6">
        <v>44560</v>
      </c>
      <c r="O569" s="4">
        <v>3186204</v>
      </c>
      <c r="P569" s="2">
        <v>114535</v>
      </c>
      <c r="Q569" s="2" t="s">
        <v>755</v>
      </c>
      <c r="R569" s="2" t="s">
        <v>756</v>
      </c>
      <c r="S569" s="2" t="s">
        <v>56</v>
      </c>
      <c r="T569" s="2" t="s">
        <v>94</v>
      </c>
      <c r="U569" s="2" t="s">
        <v>95</v>
      </c>
      <c r="W569" s="4">
        <v>500</v>
      </c>
      <c r="X569" s="4">
        <v>600</v>
      </c>
      <c r="Y569" s="4">
        <f t="shared" ref="Y569" si="629">INDEX(InternalRates,MATCH($S569,InternalRates01,FALSE),2)</f>
        <v>278.98333333333335</v>
      </c>
      <c r="Z569" s="3" t="str">
        <f t="shared" si="613"/>
        <v>Nie</v>
      </c>
      <c r="AA569" s="3" t="str">
        <f t="shared" si="614"/>
        <v>ZoD</v>
      </c>
      <c r="AB569" s="4">
        <v>128</v>
      </c>
      <c r="AC569" s="4">
        <v>64</v>
      </c>
      <c r="AD569" s="3" t="s">
        <v>49</v>
      </c>
      <c r="AE569" s="6">
        <v>44936</v>
      </c>
      <c r="AF569" s="3" t="s">
        <v>59</v>
      </c>
      <c r="AG569" s="3" t="s">
        <v>49</v>
      </c>
      <c r="AH569" s="3">
        <f>YEAR(SrcDB[[#This Row],[Datum_zverejnenia]])</f>
        <v>2021</v>
      </c>
      <c r="AI569" s="3" cm="1">
        <f t="array" ref="AI569">COUNT(_xlfn.UNIQUE(_xlfn._xlws.FILTER(SrcDB[ID],SrcDB[Objednavatel_ICO]=$H569)))</f>
        <v>1</v>
      </c>
      <c r="AJ569" s="3" cm="1">
        <f t="array" ref="AJ569">COUNT(_xlfn.UNIQUE(_xlfn._xlws.FILTER(SrcDB[ID],SrcDB[Dodavatel_ICO]=$K569)))</f>
        <v>14</v>
      </c>
      <c r="AK569" s="3">
        <f t="shared" si="573"/>
        <v>1</v>
      </c>
      <c r="AL569" s="3">
        <f t="shared" si="574"/>
        <v>1</v>
      </c>
      <c r="AM569" s="17" t="str">
        <f>IF(SrcDB[[#This Row],[Pocet zmluv objednavatela]]&gt;3,SrcDB[[#This Row],[Objednavatel]],"Ostatné")</f>
        <v>Ostatné</v>
      </c>
      <c r="AN569" s="17" t="str">
        <f>IF(SrcDB[[#This Row],[Pocet zmluv dodavatela]]&gt;3,SrcDB[[#This Row],[Dodavatel]],"Ostatné")</f>
        <v>DITEC, a.s.</v>
      </c>
    </row>
    <row r="570" spans="1:40" x14ac:dyDescent="0.3">
      <c r="A570" s="2" t="s">
        <v>750</v>
      </c>
      <c r="B570" s="2">
        <v>6130283</v>
      </c>
      <c r="C570" s="3" t="str">
        <f t="shared" si="567"/>
        <v>Áno</v>
      </c>
      <c r="D570" s="3" t="str">
        <f t="shared" si="568"/>
        <v>Nie</v>
      </c>
      <c r="E570" s="3" t="s">
        <v>49</v>
      </c>
      <c r="F570" s="3" t="s">
        <v>48</v>
      </c>
      <c r="G570" s="2" t="str">
        <f t="shared" si="569"/>
        <v>Stredné zmluvy</v>
      </c>
      <c r="H570" s="5" t="s">
        <v>751</v>
      </c>
      <c r="I570" s="2" t="s">
        <v>752</v>
      </c>
      <c r="J570" s="2" t="s">
        <v>753</v>
      </c>
      <c r="K570" s="5">
        <v>31385401</v>
      </c>
      <c r="L570" s="2" t="s">
        <v>142</v>
      </c>
      <c r="M570" s="2" t="s">
        <v>754</v>
      </c>
      <c r="N570" s="6">
        <v>44560</v>
      </c>
      <c r="O570" s="4">
        <v>3186204</v>
      </c>
      <c r="P570" s="2">
        <v>114535</v>
      </c>
      <c r="Q570" s="2" t="s">
        <v>755</v>
      </c>
      <c r="R570" s="2" t="s">
        <v>756</v>
      </c>
      <c r="S570" s="2" t="s">
        <v>71</v>
      </c>
      <c r="T570" s="2" t="s">
        <v>71</v>
      </c>
      <c r="W570" s="4">
        <v>500</v>
      </c>
      <c r="X570" s="4">
        <v>600</v>
      </c>
      <c r="Y570" s="4">
        <f t="shared" ref="Y570" si="630">INDEX(InternalRates,MATCH($S570,InternalRates01,FALSE),2)</f>
        <v>354.0333333333333</v>
      </c>
      <c r="Z570" s="3" t="str">
        <f t="shared" si="613"/>
        <v>Nie</v>
      </c>
      <c r="AA570" s="3" t="str">
        <f t="shared" si="614"/>
        <v>ZoD</v>
      </c>
      <c r="AB570" s="4">
        <v>367</v>
      </c>
      <c r="AC570" s="4">
        <v>183.5</v>
      </c>
      <c r="AD570" s="3" t="s">
        <v>49</v>
      </c>
      <c r="AE570" s="6">
        <v>44936</v>
      </c>
      <c r="AF570" s="3" t="s">
        <v>59</v>
      </c>
      <c r="AG570" s="3" t="s">
        <v>49</v>
      </c>
      <c r="AH570" s="3">
        <f>YEAR(SrcDB[[#This Row],[Datum_zverejnenia]])</f>
        <v>2021</v>
      </c>
      <c r="AI570" s="3" cm="1">
        <f t="array" ref="AI570">COUNT(_xlfn.UNIQUE(_xlfn._xlws.FILTER(SrcDB[ID],SrcDB[Objednavatel_ICO]=$H570)))</f>
        <v>1</v>
      </c>
      <c r="AJ570" s="3" cm="1">
        <f t="array" ref="AJ570">COUNT(_xlfn.UNIQUE(_xlfn._xlws.FILTER(SrcDB[ID],SrcDB[Dodavatel_ICO]=$K570)))</f>
        <v>14</v>
      </c>
      <c r="AK570" s="3">
        <f t="shared" si="573"/>
        <v>0</v>
      </c>
      <c r="AL570" s="3">
        <f t="shared" si="574"/>
        <v>0</v>
      </c>
      <c r="AM570" s="17" t="str">
        <f>IF(SrcDB[[#This Row],[Pocet zmluv objednavatela]]&gt;3,SrcDB[[#This Row],[Objednavatel]],"Ostatné")</f>
        <v>Ostatné</v>
      </c>
      <c r="AN570" s="17" t="str">
        <f>IF(SrcDB[[#This Row],[Pocet zmluv dodavatela]]&gt;3,SrcDB[[#This Row],[Dodavatel]],"Ostatné")</f>
        <v>DITEC, a.s.</v>
      </c>
    </row>
    <row r="571" spans="1:40" x14ac:dyDescent="0.3">
      <c r="A571" s="2" t="s">
        <v>750</v>
      </c>
      <c r="B571" s="2">
        <v>6130283</v>
      </c>
      <c r="C571" s="3" t="str">
        <f t="shared" si="567"/>
        <v>Áno</v>
      </c>
      <c r="D571" s="3" t="str">
        <f t="shared" si="568"/>
        <v>Nie</v>
      </c>
      <c r="E571" s="3" t="s">
        <v>49</v>
      </c>
      <c r="F571" s="3" t="s">
        <v>48</v>
      </c>
      <c r="G571" s="2" t="str">
        <f t="shared" si="569"/>
        <v>Stredné zmluvy</v>
      </c>
      <c r="H571" s="5" t="s">
        <v>751</v>
      </c>
      <c r="I571" s="2" t="s">
        <v>752</v>
      </c>
      <c r="J571" s="2" t="s">
        <v>753</v>
      </c>
      <c r="K571" s="5">
        <v>31385401</v>
      </c>
      <c r="L571" s="2" t="s">
        <v>142</v>
      </c>
      <c r="M571" s="2" t="s">
        <v>754</v>
      </c>
      <c r="N571" s="6">
        <v>44560</v>
      </c>
      <c r="O571" s="4">
        <v>3186204</v>
      </c>
      <c r="P571" s="2">
        <v>114535</v>
      </c>
      <c r="Q571" s="2" t="s">
        <v>755</v>
      </c>
      <c r="R571" s="2" t="s">
        <v>756</v>
      </c>
      <c r="S571" s="2" t="s">
        <v>77</v>
      </c>
      <c r="T571" s="2" t="s">
        <v>77</v>
      </c>
      <c r="W571" s="4">
        <v>450</v>
      </c>
      <c r="X571" s="4">
        <v>540</v>
      </c>
      <c r="Y571" s="4">
        <f t="shared" ref="Y571" si="631">INDEX(InternalRates,MATCH($S571,InternalRates01,FALSE),2)</f>
        <v>278.98333333333335</v>
      </c>
      <c r="Z571" s="3" t="str">
        <f t="shared" si="613"/>
        <v>Nie</v>
      </c>
      <c r="AA571" s="3" t="str">
        <f t="shared" si="614"/>
        <v>ZoD</v>
      </c>
      <c r="AB571" s="4">
        <v>2781</v>
      </c>
      <c r="AC571" s="4">
        <v>1390.5</v>
      </c>
      <c r="AD571" s="3" t="s">
        <v>49</v>
      </c>
      <c r="AE571" s="6">
        <v>44936</v>
      </c>
      <c r="AF571" s="3" t="s">
        <v>59</v>
      </c>
      <c r="AG571" s="3" t="s">
        <v>49</v>
      </c>
      <c r="AH571" s="3">
        <f>YEAR(SrcDB[[#This Row],[Datum_zverejnenia]])</f>
        <v>2021</v>
      </c>
      <c r="AI571" s="3" cm="1">
        <f t="array" ref="AI571">COUNT(_xlfn.UNIQUE(_xlfn._xlws.FILTER(SrcDB[ID],SrcDB[Objednavatel_ICO]=$H571)))</f>
        <v>1</v>
      </c>
      <c r="AJ571" s="3" cm="1">
        <f t="array" ref="AJ571">COUNT(_xlfn.UNIQUE(_xlfn._xlws.FILTER(SrcDB[ID],SrcDB[Dodavatel_ICO]=$K571)))</f>
        <v>14</v>
      </c>
      <c r="AK571" s="3">
        <f t="shared" si="573"/>
        <v>0</v>
      </c>
      <c r="AL571" s="3">
        <f t="shared" si="574"/>
        <v>0</v>
      </c>
      <c r="AM571" s="17" t="str">
        <f>IF(SrcDB[[#This Row],[Pocet zmluv objednavatela]]&gt;3,SrcDB[[#This Row],[Objednavatel]],"Ostatné")</f>
        <v>Ostatné</v>
      </c>
      <c r="AN571" s="17" t="str">
        <f>IF(SrcDB[[#This Row],[Pocet zmluv dodavatela]]&gt;3,SrcDB[[#This Row],[Dodavatel]],"Ostatné")</f>
        <v>DITEC, a.s.</v>
      </c>
    </row>
    <row r="572" spans="1:40" x14ac:dyDescent="0.3">
      <c r="A572" s="2" t="s">
        <v>750</v>
      </c>
      <c r="B572" s="2">
        <v>6130283</v>
      </c>
      <c r="C572" s="3" t="str">
        <f t="shared" si="567"/>
        <v>Áno</v>
      </c>
      <c r="D572" s="3" t="str">
        <f t="shared" si="568"/>
        <v>Nie</v>
      </c>
      <c r="E572" s="3" t="s">
        <v>49</v>
      </c>
      <c r="F572" s="3" t="s">
        <v>48</v>
      </c>
      <c r="G572" s="2" t="str">
        <f t="shared" si="569"/>
        <v>Stredné zmluvy</v>
      </c>
      <c r="H572" s="5" t="s">
        <v>751</v>
      </c>
      <c r="I572" s="2" t="s">
        <v>752</v>
      </c>
      <c r="J572" s="2" t="s">
        <v>753</v>
      </c>
      <c r="K572" s="5">
        <v>31385401</v>
      </c>
      <c r="L572" s="2" t="s">
        <v>142</v>
      </c>
      <c r="M572" s="2" t="s">
        <v>754</v>
      </c>
      <c r="N572" s="6">
        <v>44560</v>
      </c>
      <c r="O572" s="4">
        <v>3186204</v>
      </c>
      <c r="P572" s="2">
        <v>114535</v>
      </c>
      <c r="Q572" s="2" t="s">
        <v>755</v>
      </c>
      <c r="R572" s="2" t="s">
        <v>756</v>
      </c>
      <c r="S572" s="2" t="s">
        <v>56</v>
      </c>
      <c r="T572" s="2" t="s">
        <v>286</v>
      </c>
      <c r="U572" s="2" t="s">
        <v>129</v>
      </c>
      <c r="W572" s="4">
        <v>400</v>
      </c>
      <c r="X572" s="4">
        <v>480</v>
      </c>
      <c r="Y572" s="4">
        <f t="shared" ref="Y572" si="632">INDEX(InternalRates,MATCH($S572,InternalRates01,FALSE),2)</f>
        <v>278.98333333333335</v>
      </c>
      <c r="Z572" s="3" t="str">
        <f t="shared" si="613"/>
        <v>Nie</v>
      </c>
      <c r="AA572" s="3" t="str">
        <f t="shared" si="614"/>
        <v>ZoD</v>
      </c>
      <c r="AB572" s="4">
        <v>56</v>
      </c>
      <c r="AC572" s="4">
        <v>28</v>
      </c>
      <c r="AD572" s="3" t="s">
        <v>49</v>
      </c>
      <c r="AE572" s="6">
        <v>44936</v>
      </c>
      <c r="AF572" s="3" t="s">
        <v>59</v>
      </c>
      <c r="AG572" s="3" t="s">
        <v>49</v>
      </c>
      <c r="AH572" s="3">
        <f>YEAR(SrcDB[[#This Row],[Datum_zverejnenia]])</f>
        <v>2021</v>
      </c>
      <c r="AI572" s="3" cm="1">
        <f t="array" ref="AI572">COUNT(_xlfn.UNIQUE(_xlfn._xlws.FILTER(SrcDB[ID],SrcDB[Objednavatel_ICO]=$H572)))</f>
        <v>1</v>
      </c>
      <c r="AJ572" s="3" cm="1">
        <f t="array" ref="AJ572">COUNT(_xlfn.UNIQUE(_xlfn._xlws.FILTER(SrcDB[ID],SrcDB[Dodavatel_ICO]=$K572)))</f>
        <v>14</v>
      </c>
      <c r="AK572" s="3">
        <f t="shared" si="573"/>
        <v>0</v>
      </c>
      <c r="AL572" s="3">
        <f t="shared" si="574"/>
        <v>0</v>
      </c>
      <c r="AM572" s="17" t="str">
        <f>IF(SrcDB[[#This Row],[Pocet zmluv objednavatela]]&gt;3,SrcDB[[#This Row],[Objednavatel]],"Ostatné")</f>
        <v>Ostatné</v>
      </c>
      <c r="AN572" s="17" t="str">
        <f>IF(SrcDB[[#This Row],[Pocet zmluv dodavatela]]&gt;3,SrcDB[[#This Row],[Dodavatel]],"Ostatné")</f>
        <v>DITEC, a.s.</v>
      </c>
    </row>
    <row r="573" spans="1:40" x14ac:dyDescent="0.3">
      <c r="A573" s="2" t="s">
        <v>750</v>
      </c>
      <c r="B573" s="2">
        <v>6130283</v>
      </c>
      <c r="C573" s="3" t="str">
        <f t="shared" si="567"/>
        <v>Áno</v>
      </c>
      <c r="D573" s="3" t="str">
        <f t="shared" si="568"/>
        <v>Nie</v>
      </c>
      <c r="E573" s="3" t="s">
        <v>49</v>
      </c>
      <c r="F573" s="3" t="s">
        <v>48</v>
      </c>
      <c r="G573" s="2" t="str">
        <f t="shared" si="569"/>
        <v>Stredné zmluvy</v>
      </c>
      <c r="H573" s="5" t="s">
        <v>751</v>
      </c>
      <c r="I573" s="2" t="s">
        <v>752</v>
      </c>
      <c r="J573" s="2" t="s">
        <v>753</v>
      </c>
      <c r="K573" s="5">
        <v>31385401</v>
      </c>
      <c r="L573" s="2" t="s">
        <v>142</v>
      </c>
      <c r="M573" s="2" t="s">
        <v>754</v>
      </c>
      <c r="N573" s="6">
        <v>44560</v>
      </c>
      <c r="O573" s="4">
        <v>3186204</v>
      </c>
      <c r="P573" s="2">
        <v>114535</v>
      </c>
      <c r="Q573" s="2" t="s">
        <v>755</v>
      </c>
      <c r="R573" s="2" t="s">
        <v>756</v>
      </c>
      <c r="S573" s="2" t="s">
        <v>56</v>
      </c>
      <c r="T573" s="2" t="s">
        <v>448</v>
      </c>
      <c r="U573" s="2" t="s">
        <v>449</v>
      </c>
      <c r="W573" s="4">
        <v>450</v>
      </c>
      <c r="X573" s="4">
        <v>540</v>
      </c>
      <c r="Y573" s="4">
        <f t="shared" ref="Y573" si="633">INDEX(InternalRates,MATCH($S573,InternalRates01,FALSE),2)</f>
        <v>278.98333333333335</v>
      </c>
      <c r="Z573" s="3" t="str">
        <f t="shared" si="613"/>
        <v>Nie</v>
      </c>
      <c r="AA573" s="3" t="str">
        <f t="shared" si="614"/>
        <v>ZoD</v>
      </c>
      <c r="AB573" s="4">
        <v>136</v>
      </c>
      <c r="AC573" s="4">
        <v>68</v>
      </c>
      <c r="AD573" s="3" t="s">
        <v>49</v>
      </c>
      <c r="AE573" s="6">
        <v>44936</v>
      </c>
      <c r="AF573" s="3" t="s">
        <v>59</v>
      </c>
      <c r="AG573" s="3" t="s">
        <v>49</v>
      </c>
      <c r="AH573" s="3">
        <f>YEAR(SrcDB[[#This Row],[Datum_zverejnenia]])</f>
        <v>2021</v>
      </c>
      <c r="AI573" s="3" cm="1">
        <f t="array" ref="AI573">COUNT(_xlfn.UNIQUE(_xlfn._xlws.FILTER(SrcDB[ID],SrcDB[Objednavatel_ICO]=$H573)))</f>
        <v>1</v>
      </c>
      <c r="AJ573" s="3" cm="1">
        <f t="array" ref="AJ573">COUNT(_xlfn.UNIQUE(_xlfn._xlws.FILTER(SrcDB[ID],SrcDB[Dodavatel_ICO]=$K573)))</f>
        <v>14</v>
      </c>
      <c r="AK573" s="3">
        <f t="shared" si="573"/>
        <v>0</v>
      </c>
      <c r="AL573" s="3">
        <f t="shared" si="574"/>
        <v>0</v>
      </c>
      <c r="AM573" s="17" t="str">
        <f>IF(SrcDB[[#This Row],[Pocet zmluv objednavatela]]&gt;3,SrcDB[[#This Row],[Objednavatel]],"Ostatné")</f>
        <v>Ostatné</v>
      </c>
      <c r="AN573" s="17" t="str">
        <f>IF(SrcDB[[#This Row],[Pocet zmluv dodavatela]]&gt;3,SrcDB[[#This Row],[Dodavatel]],"Ostatné")</f>
        <v>DITEC, a.s.</v>
      </c>
    </row>
    <row r="574" spans="1:40" x14ac:dyDescent="0.3">
      <c r="A574" s="2" t="s">
        <v>750</v>
      </c>
      <c r="B574" s="2">
        <v>6130283</v>
      </c>
      <c r="C574" s="3" t="str">
        <f t="shared" si="567"/>
        <v>Áno</v>
      </c>
      <c r="D574" s="3" t="str">
        <f t="shared" si="568"/>
        <v>Nie</v>
      </c>
      <c r="E574" s="3" t="s">
        <v>49</v>
      </c>
      <c r="F574" s="3" t="s">
        <v>48</v>
      </c>
      <c r="G574" s="2" t="str">
        <f t="shared" si="569"/>
        <v>Stredné zmluvy</v>
      </c>
      <c r="H574" s="5" t="s">
        <v>751</v>
      </c>
      <c r="I574" s="2" t="s">
        <v>752</v>
      </c>
      <c r="J574" s="2" t="s">
        <v>753</v>
      </c>
      <c r="K574" s="5">
        <v>31385401</v>
      </c>
      <c r="L574" s="2" t="s">
        <v>142</v>
      </c>
      <c r="M574" s="2" t="s">
        <v>754</v>
      </c>
      <c r="N574" s="6">
        <v>44560</v>
      </c>
      <c r="O574" s="4">
        <v>3186204</v>
      </c>
      <c r="P574" s="2">
        <v>114535</v>
      </c>
      <c r="Q574" s="2" t="s">
        <v>755</v>
      </c>
      <c r="R574" s="2" t="s">
        <v>756</v>
      </c>
      <c r="S574" s="2" t="s">
        <v>56</v>
      </c>
      <c r="T574" s="2" t="s">
        <v>96</v>
      </c>
      <c r="U574" s="2" t="s">
        <v>97</v>
      </c>
      <c r="W574" s="4">
        <v>450</v>
      </c>
      <c r="X574" s="4">
        <v>540</v>
      </c>
      <c r="Y574" s="4">
        <f t="shared" ref="Y574" si="634">INDEX(InternalRates,MATCH($S574,InternalRates01,FALSE),2)</f>
        <v>278.98333333333335</v>
      </c>
      <c r="Z574" s="3" t="str">
        <f t="shared" si="613"/>
        <v>Nie</v>
      </c>
      <c r="AA574" s="3" t="str">
        <f t="shared" si="614"/>
        <v>ZoD</v>
      </c>
      <c r="AB574" s="4">
        <v>64</v>
      </c>
      <c r="AC574" s="4">
        <v>32</v>
      </c>
      <c r="AD574" s="3" t="s">
        <v>49</v>
      </c>
      <c r="AE574" s="6">
        <v>44936</v>
      </c>
      <c r="AF574" s="3" t="s">
        <v>59</v>
      </c>
      <c r="AG574" s="3" t="s">
        <v>49</v>
      </c>
      <c r="AH574" s="3">
        <f>YEAR(SrcDB[[#This Row],[Datum_zverejnenia]])</f>
        <v>2021</v>
      </c>
      <c r="AI574" s="3" cm="1">
        <f t="array" ref="AI574">COUNT(_xlfn.UNIQUE(_xlfn._xlws.FILTER(SrcDB[ID],SrcDB[Objednavatel_ICO]=$H574)))</f>
        <v>1</v>
      </c>
      <c r="AJ574" s="3" cm="1">
        <f t="array" ref="AJ574">COUNT(_xlfn.UNIQUE(_xlfn._xlws.FILTER(SrcDB[ID],SrcDB[Dodavatel_ICO]=$K574)))</f>
        <v>14</v>
      </c>
      <c r="AK574" s="3">
        <f t="shared" si="573"/>
        <v>0</v>
      </c>
      <c r="AL574" s="3">
        <f t="shared" si="574"/>
        <v>0</v>
      </c>
      <c r="AM574" s="17" t="str">
        <f>IF(SrcDB[[#This Row],[Pocet zmluv objednavatela]]&gt;3,SrcDB[[#This Row],[Objednavatel]],"Ostatné")</f>
        <v>Ostatné</v>
      </c>
      <c r="AN574" s="17" t="str">
        <f>IF(SrcDB[[#This Row],[Pocet zmluv dodavatela]]&gt;3,SrcDB[[#This Row],[Dodavatel]],"Ostatné")</f>
        <v>DITEC, a.s.</v>
      </c>
    </row>
    <row r="575" spans="1:40" x14ac:dyDescent="0.3">
      <c r="A575" s="2" t="s">
        <v>750</v>
      </c>
      <c r="B575" s="2">
        <v>6130283</v>
      </c>
      <c r="C575" s="3" t="str">
        <f t="shared" si="567"/>
        <v>Áno</v>
      </c>
      <c r="D575" s="3" t="str">
        <f t="shared" si="568"/>
        <v>Nie</v>
      </c>
      <c r="E575" s="3" t="s">
        <v>49</v>
      </c>
      <c r="F575" s="3" t="s">
        <v>48</v>
      </c>
      <c r="G575" s="2" t="str">
        <f t="shared" si="569"/>
        <v>Stredné zmluvy</v>
      </c>
      <c r="H575" s="5" t="s">
        <v>751</v>
      </c>
      <c r="I575" s="2" t="s">
        <v>752</v>
      </c>
      <c r="J575" s="2" t="s">
        <v>753</v>
      </c>
      <c r="K575" s="5">
        <v>31385401</v>
      </c>
      <c r="L575" s="2" t="s">
        <v>142</v>
      </c>
      <c r="M575" s="2" t="s">
        <v>754</v>
      </c>
      <c r="N575" s="6">
        <v>44560</v>
      </c>
      <c r="O575" s="4">
        <v>3186204</v>
      </c>
      <c r="P575" s="2">
        <v>114535</v>
      </c>
      <c r="Q575" s="2" t="s">
        <v>755</v>
      </c>
      <c r="R575" s="2" t="s">
        <v>756</v>
      </c>
      <c r="S575" s="2" t="s">
        <v>102</v>
      </c>
      <c r="T575" s="2" t="s">
        <v>114</v>
      </c>
      <c r="W575" s="4">
        <v>400</v>
      </c>
      <c r="X575" s="4">
        <v>480</v>
      </c>
      <c r="Y575" s="4">
        <f t="shared" ref="Y575" si="635">INDEX(InternalRates,MATCH($S575,InternalRates01,FALSE),2)</f>
        <v>278.98333333333335</v>
      </c>
      <c r="Z575" s="3" t="str">
        <f t="shared" si="613"/>
        <v>Nie</v>
      </c>
      <c r="AA575" s="3" t="str">
        <f t="shared" si="614"/>
        <v>ZoD</v>
      </c>
      <c r="AB575" s="4">
        <v>40</v>
      </c>
      <c r="AC575" s="4">
        <v>20</v>
      </c>
      <c r="AD575" s="3" t="s">
        <v>49</v>
      </c>
      <c r="AE575" s="6">
        <v>44936</v>
      </c>
      <c r="AF575" s="3" t="s">
        <v>59</v>
      </c>
      <c r="AG575" s="3" t="s">
        <v>49</v>
      </c>
      <c r="AH575" s="3">
        <f>YEAR(SrcDB[[#This Row],[Datum_zverejnenia]])</f>
        <v>2021</v>
      </c>
      <c r="AI575" s="3" cm="1">
        <f t="array" ref="AI575">COUNT(_xlfn.UNIQUE(_xlfn._xlws.FILTER(SrcDB[ID],SrcDB[Objednavatel_ICO]=$H575)))</f>
        <v>1</v>
      </c>
      <c r="AJ575" s="3" cm="1">
        <f t="array" ref="AJ575">COUNT(_xlfn.UNIQUE(_xlfn._xlws.FILTER(SrcDB[ID],SrcDB[Dodavatel_ICO]=$K575)))</f>
        <v>14</v>
      </c>
      <c r="AK575" s="3">
        <f t="shared" si="573"/>
        <v>0</v>
      </c>
      <c r="AL575" s="3">
        <f t="shared" si="574"/>
        <v>0</v>
      </c>
      <c r="AM575" s="17" t="str">
        <f>IF(SrcDB[[#This Row],[Pocet zmluv objednavatela]]&gt;3,SrcDB[[#This Row],[Objednavatel]],"Ostatné")</f>
        <v>Ostatné</v>
      </c>
      <c r="AN575" s="17" t="str">
        <f>IF(SrcDB[[#This Row],[Pocet zmluv dodavatela]]&gt;3,SrcDB[[#This Row],[Dodavatel]],"Ostatné")</f>
        <v>DITEC, a.s.</v>
      </c>
    </row>
    <row r="576" spans="1:40" x14ac:dyDescent="0.3">
      <c r="A576" s="2" t="s">
        <v>750</v>
      </c>
      <c r="B576" s="2">
        <v>6130283</v>
      </c>
      <c r="C576" s="3" t="str">
        <f t="shared" si="567"/>
        <v>Áno</v>
      </c>
      <c r="D576" s="3" t="str">
        <f t="shared" si="568"/>
        <v>Nie</v>
      </c>
      <c r="E576" s="3" t="s">
        <v>49</v>
      </c>
      <c r="F576" s="3" t="s">
        <v>48</v>
      </c>
      <c r="G576" s="2" t="str">
        <f t="shared" si="569"/>
        <v>Stredné zmluvy</v>
      </c>
      <c r="H576" s="5" t="s">
        <v>751</v>
      </c>
      <c r="I576" s="2" t="s">
        <v>752</v>
      </c>
      <c r="J576" s="2" t="s">
        <v>753</v>
      </c>
      <c r="K576" s="5">
        <v>31385401</v>
      </c>
      <c r="L576" s="2" t="s">
        <v>142</v>
      </c>
      <c r="M576" s="2" t="s">
        <v>754</v>
      </c>
      <c r="N576" s="6">
        <v>44560</v>
      </c>
      <c r="O576" s="4">
        <v>3186204</v>
      </c>
      <c r="P576" s="2">
        <v>114535</v>
      </c>
      <c r="Q576" s="2" t="s">
        <v>755</v>
      </c>
      <c r="R576" s="2" t="s">
        <v>756</v>
      </c>
      <c r="S576" s="2" t="s">
        <v>79</v>
      </c>
      <c r="T576" s="2" t="s">
        <v>79</v>
      </c>
      <c r="W576" s="4">
        <v>400</v>
      </c>
      <c r="X576" s="4">
        <v>480</v>
      </c>
      <c r="Y576" s="4">
        <f t="shared" ref="Y576" si="636">INDEX(InternalRates,MATCH($S576,InternalRates01,FALSE),2)</f>
        <v>278.98333333333335</v>
      </c>
      <c r="Z576" s="3" t="str">
        <f t="shared" si="613"/>
        <v>Nie</v>
      </c>
      <c r="AA576" s="3" t="str">
        <f t="shared" si="614"/>
        <v>ZoD</v>
      </c>
      <c r="AB576" s="4">
        <v>597</v>
      </c>
      <c r="AC576" s="4">
        <v>298.5</v>
      </c>
      <c r="AD576" s="3" t="s">
        <v>49</v>
      </c>
      <c r="AE576" s="6">
        <v>44936</v>
      </c>
      <c r="AF576" s="3" t="s">
        <v>59</v>
      </c>
      <c r="AG576" s="3" t="s">
        <v>49</v>
      </c>
      <c r="AH576" s="3">
        <f>YEAR(SrcDB[[#This Row],[Datum_zverejnenia]])</f>
        <v>2021</v>
      </c>
      <c r="AI576" s="3" cm="1">
        <f t="array" ref="AI576">COUNT(_xlfn.UNIQUE(_xlfn._xlws.FILTER(SrcDB[ID],SrcDB[Objednavatel_ICO]=$H576)))</f>
        <v>1</v>
      </c>
      <c r="AJ576" s="3" cm="1">
        <f t="array" ref="AJ576">COUNT(_xlfn.UNIQUE(_xlfn._xlws.FILTER(SrcDB[ID],SrcDB[Dodavatel_ICO]=$K576)))</f>
        <v>14</v>
      </c>
      <c r="AK576" s="3">
        <f t="shared" si="573"/>
        <v>0</v>
      </c>
      <c r="AL576" s="3">
        <f t="shared" si="574"/>
        <v>0</v>
      </c>
      <c r="AM576" s="17" t="str">
        <f>IF(SrcDB[[#This Row],[Pocet zmluv objednavatela]]&gt;3,SrcDB[[#This Row],[Objednavatel]],"Ostatné")</f>
        <v>Ostatné</v>
      </c>
      <c r="AN576" s="17" t="str">
        <f>IF(SrcDB[[#This Row],[Pocet zmluv dodavatela]]&gt;3,SrcDB[[#This Row],[Dodavatel]],"Ostatné")</f>
        <v>DITEC, a.s.</v>
      </c>
    </row>
    <row r="577" spans="1:40" x14ac:dyDescent="0.3">
      <c r="A577" s="2" t="s">
        <v>750</v>
      </c>
      <c r="B577" s="2">
        <v>6130283</v>
      </c>
      <c r="C577" s="3" t="str">
        <f t="shared" si="567"/>
        <v>Áno</v>
      </c>
      <c r="D577" s="3" t="str">
        <f t="shared" si="568"/>
        <v>Nie</v>
      </c>
      <c r="E577" s="3" t="s">
        <v>49</v>
      </c>
      <c r="F577" s="3" t="s">
        <v>48</v>
      </c>
      <c r="G577" s="2" t="str">
        <f t="shared" si="569"/>
        <v>Stredné zmluvy</v>
      </c>
      <c r="H577" s="5" t="s">
        <v>751</v>
      </c>
      <c r="I577" s="2" t="s">
        <v>752</v>
      </c>
      <c r="J577" s="2" t="s">
        <v>753</v>
      </c>
      <c r="K577" s="5">
        <v>31385401</v>
      </c>
      <c r="L577" s="2" t="s">
        <v>142</v>
      </c>
      <c r="M577" s="2" t="s">
        <v>754</v>
      </c>
      <c r="N577" s="6">
        <v>44560</v>
      </c>
      <c r="O577" s="4">
        <v>3186204</v>
      </c>
      <c r="P577" s="2">
        <v>114535</v>
      </c>
      <c r="Q577" s="2" t="s">
        <v>755</v>
      </c>
      <c r="R577" s="2" t="s">
        <v>756</v>
      </c>
      <c r="S577" s="2" t="s">
        <v>98</v>
      </c>
      <c r="T577" s="2" t="s">
        <v>98</v>
      </c>
      <c r="W577" s="4">
        <v>400</v>
      </c>
      <c r="X577" s="4">
        <v>480</v>
      </c>
      <c r="Y577" s="4">
        <f t="shared" ref="Y577" si="637">INDEX(InternalRates,MATCH($S577,InternalRates01,FALSE),2)</f>
        <v>278.98333333333335</v>
      </c>
      <c r="Z577" s="3" t="str">
        <f t="shared" si="613"/>
        <v>Nie</v>
      </c>
      <c r="AA577" s="3" t="str">
        <f t="shared" si="614"/>
        <v>ZoD</v>
      </c>
      <c r="AB577" s="4">
        <v>32</v>
      </c>
      <c r="AC577" s="4">
        <v>16</v>
      </c>
      <c r="AD577" s="3" t="s">
        <v>49</v>
      </c>
      <c r="AE577" s="6">
        <v>44936</v>
      </c>
      <c r="AF577" s="3" t="s">
        <v>59</v>
      </c>
      <c r="AG577" s="3" t="s">
        <v>49</v>
      </c>
      <c r="AH577" s="3">
        <f>YEAR(SrcDB[[#This Row],[Datum_zverejnenia]])</f>
        <v>2021</v>
      </c>
      <c r="AI577" s="3" cm="1">
        <f t="array" ref="AI577">COUNT(_xlfn.UNIQUE(_xlfn._xlws.FILTER(SrcDB[ID],SrcDB[Objednavatel_ICO]=$H577)))</f>
        <v>1</v>
      </c>
      <c r="AJ577" s="3" cm="1">
        <f t="array" ref="AJ577">COUNT(_xlfn.UNIQUE(_xlfn._xlws.FILTER(SrcDB[ID],SrcDB[Dodavatel_ICO]=$K577)))</f>
        <v>14</v>
      </c>
      <c r="AK577" s="3">
        <f t="shared" si="573"/>
        <v>0</v>
      </c>
      <c r="AL577" s="3">
        <f t="shared" si="574"/>
        <v>0</v>
      </c>
      <c r="AM577" s="17" t="str">
        <f>IF(SrcDB[[#This Row],[Pocet zmluv objednavatela]]&gt;3,SrcDB[[#This Row],[Objednavatel]],"Ostatné")</f>
        <v>Ostatné</v>
      </c>
      <c r="AN577" s="17" t="str">
        <f>IF(SrcDB[[#This Row],[Pocet zmluv dodavatela]]&gt;3,SrcDB[[#This Row],[Dodavatel]],"Ostatné")</f>
        <v>DITEC, a.s.</v>
      </c>
    </row>
    <row r="578" spans="1:40" x14ac:dyDescent="0.3">
      <c r="A578" s="2" t="s">
        <v>750</v>
      </c>
      <c r="B578" s="2">
        <v>6130283</v>
      </c>
      <c r="C578" s="3" t="str">
        <f t="shared" ref="C578:C641" si="638">IF(OR(NOT(ISERROR(FIND("O DIEL",UPPER($A578)))),NOT(ISERROR(FIND("O IMPLEM",UPPER($A578)))))=TRUE,"Áno",IF(OR(NOT(ISERROR(FIND("PODPOR",UPPER($A578)))),NOT(ISERROR(FIND("SLA",UPPER($A578)))),NOT(ISERROR(FIND("SERVIS",UPPER($A578)))))=TRUE,"Nie","Nejasné"))</f>
        <v>Áno</v>
      </c>
      <c r="D578" s="3" t="str">
        <f t="shared" ref="D578:D641" si="639">IF(OR(NOT(ISERROR(FIND("PODPOR",UPPER($A578)))),NOT(ISERROR(FIND("SLA",UPPER($A578)))),NOT(ISERROR(FIND("SERVIS",UPPER($A578)))))=TRUE,"Áno",IF(OR(NOT(ISERROR(FIND("O DIEL",UPPER($A578)))),NOT(ISERROR(FIND("O IMPLEM",UPPER($A578)))))=TRUE,"Nie","Nejasné"))</f>
        <v>Nie</v>
      </c>
      <c r="E578" s="3" t="s">
        <v>49</v>
      </c>
      <c r="F578" s="3" t="s">
        <v>48</v>
      </c>
      <c r="G578" s="2" t="str">
        <f t="shared" ref="G578:G641" si="640">IF($O578&gt;=8000000,"Veľké zmluvy",IF($O578&gt;=1000000,"Stredné zmluvy","Malé zmluvy"))</f>
        <v>Stredné zmluvy</v>
      </c>
      <c r="H578" s="5" t="s">
        <v>751</v>
      </c>
      <c r="I578" s="2" t="s">
        <v>752</v>
      </c>
      <c r="J578" s="2" t="s">
        <v>753</v>
      </c>
      <c r="K578" s="5">
        <v>31385401</v>
      </c>
      <c r="L578" s="2" t="s">
        <v>142</v>
      </c>
      <c r="M578" s="2" t="s">
        <v>754</v>
      </c>
      <c r="N578" s="6">
        <v>44560.497719907406</v>
      </c>
      <c r="O578" s="4">
        <v>3186204</v>
      </c>
      <c r="P578" s="2">
        <v>114535</v>
      </c>
      <c r="Q578" s="2" t="s">
        <v>755</v>
      </c>
      <c r="R578" s="2" t="s">
        <v>756</v>
      </c>
      <c r="S578" s="2" t="s">
        <v>73</v>
      </c>
      <c r="T578" s="2" t="s">
        <v>73</v>
      </c>
      <c r="W578" s="4">
        <v>550</v>
      </c>
      <c r="X578" s="4">
        <v>660</v>
      </c>
      <c r="Y578" s="4">
        <f t="shared" ref="Y578" si="641">INDEX(InternalRates,MATCH($S578,InternalRates01,FALSE),2)</f>
        <v>278.98333333333335</v>
      </c>
      <c r="Z578" s="3" t="str">
        <f t="shared" si="613"/>
        <v>Nie</v>
      </c>
      <c r="AA578" s="3" t="str">
        <f t="shared" si="614"/>
        <v>ZoD</v>
      </c>
      <c r="AB578" s="4">
        <v>694</v>
      </c>
      <c r="AC578" s="4">
        <v>347</v>
      </c>
      <c r="AD578" s="3" t="s">
        <v>48</v>
      </c>
      <c r="AE578" s="6">
        <v>44581</v>
      </c>
      <c r="AF578" s="3" t="s">
        <v>59</v>
      </c>
      <c r="AG578" s="3" t="s">
        <v>49</v>
      </c>
      <c r="AH578" s="3">
        <f>YEAR(SrcDB[[#This Row],[Datum_zverejnenia]])</f>
        <v>2021</v>
      </c>
      <c r="AI578" s="3" cm="1">
        <f t="array" ref="AI578">COUNT(_xlfn.UNIQUE(_xlfn._xlws.FILTER(SrcDB[ID],SrcDB[Objednavatel_ICO]=$H578)))</f>
        <v>1</v>
      </c>
      <c r="AJ578" s="3" cm="1">
        <f t="array" ref="AJ578">COUNT(_xlfn.UNIQUE(_xlfn._xlws.FILTER(SrcDB[ID],SrcDB[Dodavatel_ICO]=$K578)))</f>
        <v>14</v>
      </c>
      <c r="AK578" s="3">
        <f t="shared" si="573"/>
        <v>0</v>
      </c>
      <c r="AL578" s="3">
        <f t="shared" si="574"/>
        <v>0</v>
      </c>
      <c r="AM578" s="17" t="str">
        <f>IF(SrcDB[[#This Row],[Pocet zmluv objednavatela]]&gt;3,SrcDB[[#This Row],[Objednavatel]],"Ostatné")</f>
        <v>Ostatné</v>
      </c>
      <c r="AN578" s="17" t="str">
        <f>IF(SrcDB[[#This Row],[Pocet zmluv dodavatela]]&gt;3,SrcDB[[#This Row],[Dodavatel]],"Ostatné")</f>
        <v>DITEC, a.s.</v>
      </c>
    </row>
    <row r="579" spans="1:40" x14ac:dyDescent="0.3">
      <c r="A579" s="2" t="s">
        <v>750</v>
      </c>
      <c r="B579" s="2">
        <v>6130283</v>
      </c>
      <c r="C579" s="3" t="str">
        <f t="shared" si="638"/>
        <v>Áno</v>
      </c>
      <c r="D579" s="3" t="str">
        <f t="shared" si="639"/>
        <v>Nie</v>
      </c>
      <c r="E579" s="3" t="s">
        <v>49</v>
      </c>
      <c r="F579" s="3" t="s">
        <v>48</v>
      </c>
      <c r="G579" s="2" t="str">
        <f t="shared" si="640"/>
        <v>Stredné zmluvy</v>
      </c>
      <c r="H579" s="5" t="s">
        <v>751</v>
      </c>
      <c r="I579" s="2" t="s">
        <v>752</v>
      </c>
      <c r="J579" s="2" t="s">
        <v>753</v>
      </c>
      <c r="K579" s="5">
        <v>31385401</v>
      </c>
      <c r="L579" s="2" t="s">
        <v>142</v>
      </c>
      <c r="M579" s="2" t="s">
        <v>754</v>
      </c>
      <c r="N579" s="6">
        <v>44560.497719907406</v>
      </c>
      <c r="O579" s="4">
        <v>3186204</v>
      </c>
      <c r="P579" s="2">
        <v>114535</v>
      </c>
      <c r="Q579" s="2" t="s">
        <v>755</v>
      </c>
      <c r="R579" s="2" t="s">
        <v>756</v>
      </c>
      <c r="S579" s="2" t="s">
        <v>56</v>
      </c>
      <c r="T579" s="2" t="s">
        <v>522</v>
      </c>
      <c r="U579" s="2" t="s">
        <v>289</v>
      </c>
      <c r="W579" s="4">
        <v>450</v>
      </c>
      <c r="X579" s="4">
        <v>540</v>
      </c>
      <c r="Y579" s="4">
        <f t="shared" ref="Y579" si="642">INDEX(InternalRates,MATCH($S579,InternalRates01,FALSE),2)</f>
        <v>278.98333333333335</v>
      </c>
      <c r="Z579" s="3" t="str">
        <f t="shared" si="613"/>
        <v>Nie</v>
      </c>
      <c r="AA579" s="3" t="str">
        <f t="shared" si="614"/>
        <v>ZoD</v>
      </c>
      <c r="AB579" s="4">
        <v>552</v>
      </c>
      <c r="AC579" s="4">
        <v>276</v>
      </c>
      <c r="AD579" s="3" t="s">
        <v>48</v>
      </c>
      <c r="AE579" s="6">
        <v>44581</v>
      </c>
      <c r="AF579" s="3" t="s">
        <v>59</v>
      </c>
      <c r="AG579" s="3" t="s">
        <v>49</v>
      </c>
      <c r="AH579" s="3">
        <f>YEAR(SrcDB[[#This Row],[Datum_zverejnenia]])</f>
        <v>2021</v>
      </c>
      <c r="AI579" s="3" cm="1">
        <f t="array" ref="AI579">COUNT(_xlfn.UNIQUE(_xlfn._xlws.FILTER(SrcDB[ID],SrcDB[Objednavatel_ICO]=$H579)))</f>
        <v>1</v>
      </c>
      <c r="AJ579" s="3" cm="1">
        <f t="array" ref="AJ579">COUNT(_xlfn.UNIQUE(_xlfn._xlws.FILTER(SrcDB[ID],SrcDB[Dodavatel_ICO]=$K579)))</f>
        <v>14</v>
      </c>
      <c r="AK579" s="3">
        <f t="shared" si="573"/>
        <v>0</v>
      </c>
      <c r="AL579" s="3">
        <f t="shared" si="574"/>
        <v>0</v>
      </c>
      <c r="AM579" s="17" t="str">
        <f>IF(SrcDB[[#This Row],[Pocet zmluv objednavatela]]&gt;3,SrcDB[[#This Row],[Objednavatel]],"Ostatné")</f>
        <v>Ostatné</v>
      </c>
      <c r="AN579" s="17" t="str">
        <f>IF(SrcDB[[#This Row],[Pocet zmluv dodavatela]]&gt;3,SrcDB[[#This Row],[Dodavatel]],"Ostatné")</f>
        <v>DITEC, a.s.</v>
      </c>
    </row>
    <row r="580" spans="1:40" x14ac:dyDescent="0.3">
      <c r="A580" s="2" t="s">
        <v>750</v>
      </c>
      <c r="B580" s="2">
        <v>6130283</v>
      </c>
      <c r="C580" s="3" t="str">
        <f t="shared" si="638"/>
        <v>Áno</v>
      </c>
      <c r="D580" s="3" t="str">
        <f t="shared" si="639"/>
        <v>Nie</v>
      </c>
      <c r="E580" s="3" t="s">
        <v>49</v>
      </c>
      <c r="F580" s="3" t="s">
        <v>48</v>
      </c>
      <c r="G580" s="2" t="str">
        <f t="shared" si="640"/>
        <v>Stredné zmluvy</v>
      </c>
      <c r="H580" s="5" t="s">
        <v>751</v>
      </c>
      <c r="I580" s="2" t="s">
        <v>752</v>
      </c>
      <c r="J580" s="2" t="s">
        <v>753</v>
      </c>
      <c r="K580" s="5">
        <v>31385401</v>
      </c>
      <c r="L580" s="2" t="s">
        <v>142</v>
      </c>
      <c r="M580" s="2" t="s">
        <v>754</v>
      </c>
      <c r="N580" s="6">
        <v>44560.497719907406</v>
      </c>
      <c r="O580" s="4">
        <v>3186204</v>
      </c>
      <c r="P580" s="2">
        <v>114535</v>
      </c>
      <c r="Q580" s="2" t="s">
        <v>755</v>
      </c>
      <c r="R580" s="2" t="s">
        <v>756</v>
      </c>
      <c r="S580" s="2" t="s">
        <v>56</v>
      </c>
      <c r="T580" s="2" t="s">
        <v>94</v>
      </c>
      <c r="U580" s="2" t="s">
        <v>95</v>
      </c>
      <c r="W580" s="4">
        <v>500</v>
      </c>
      <c r="X580" s="4">
        <v>600</v>
      </c>
      <c r="Y580" s="4">
        <f t="shared" ref="Y580" si="643">INDEX(InternalRates,MATCH($S580,InternalRates01,FALSE),2)</f>
        <v>278.98333333333335</v>
      </c>
      <c r="Z580" s="3" t="str">
        <f t="shared" si="613"/>
        <v>Nie</v>
      </c>
      <c r="AA580" s="3" t="str">
        <f t="shared" si="614"/>
        <v>ZoD</v>
      </c>
      <c r="AB580" s="4">
        <v>128</v>
      </c>
      <c r="AC580" s="4">
        <v>64</v>
      </c>
      <c r="AD580" s="3" t="s">
        <v>48</v>
      </c>
      <c r="AE580" s="6">
        <v>44581</v>
      </c>
      <c r="AF580" s="3" t="s">
        <v>59</v>
      </c>
      <c r="AG580" s="3" t="s">
        <v>49</v>
      </c>
      <c r="AH580" s="3">
        <f>YEAR(SrcDB[[#This Row],[Datum_zverejnenia]])</f>
        <v>2021</v>
      </c>
      <c r="AI580" s="3" cm="1">
        <f t="array" ref="AI580">COUNT(_xlfn.UNIQUE(_xlfn._xlws.FILTER(SrcDB[ID],SrcDB[Objednavatel_ICO]=$H580)))</f>
        <v>1</v>
      </c>
      <c r="AJ580" s="3" cm="1">
        <f t="array" ref="AJ580">COUNT(_xlfn.UNIQUE(_xlfn._xlws.FILTER(SrcDB[ID],SrcDB[Dodavatel_ICO]=$K580)))</f>
        <v>14</v>
      </c>
      <c r="AK580" s="3">
        <f t="shared" ref="AK580:AK643" si="644">IF($H579&lt;&gt;$H580,1,IF($B579&lt;&gt;$B580,1,0))</f>
        <v>0</v>
      </c>
      <c r="AL580" s="3">
        <f t="shared" ref="AL580:AL643" si="645">IF($K579&lt;&gt;$K580,1,IF($B579&lt;&gt;$B580,1,0))</f>
        <v>0</v>
      </c>
      <c r="AM580" s="17" t="str">
        <f>IF(SrcDB[[#This Row],[Pocet zmluv objednavatela]]&gt;3,SrcDB[[#This Row],[Objednavatel]],"Ostatné")</f>
        <v>Ostatné</v>
      </c>
      <c r="AN580" s="17" t="str">
        <f>IF(SrcDB[[#This Row],[Pocet zmluv dodavatela]]&gt;3,SrcDB[[#This Row],[Dodavatel]],"Ostatné")</f>
        <v>DITEC, a.s.</v>
      </c>
    </row>
    <row r="581" spans="1:40" x14ac:dyDescent="0.3">
      <c r="A581" s="2" t="s">
        <v>750</v>
      </c>
      <c r="B581" s="2">
        <v>6130283</v>
      </c>
      <c r="C581" s="3" t="str">
        <f t="shared" si="638"/>
        <v>Áno</v>
      </c>
      <c r="D581" s="3" t="str">
        <f t="shared" si="639"/>
        <v>Nie</v>
      </c>
      <c r="E581" s="3" t="s">
        <v>49</v>
      </c>
      <c r="F581" s="3" t="s">
        <v>48</v>
      </c>
      <c r="G581" s="2" t="str">
        <f t="shared" si="640"/>
        <v>Stredné zmluvy</v>
      </c>
      <c r="H581" s="5" t="s">
        <v>751</v>
      </c>
      <c r="I581" s="2" t="s">
        <v>752</v>
      </c>
      <c r="J581" s="2" t="s">
        <v>753</v>
      </c>
      <c r="K581" s="5">
        <v>31385401</v>
      </c>
      <c r="L581" s="2" t="s">
        <v>142</v>
      </c>
      <c r="M581" s="2" t="s">
        <v>754</v>
      </c>
      <c r="N581" s="6">
        <v>44560.497719907406</v>
      </c>
      <c r="O581" s="4">
        <v>3186204</v>
      </c>
      <c r="P581" s="2">
        <v>114535</v>
      </c>
      <c r="Q581" s="2" t="s">
        <v>755</v>
      </c>
      <c r="R581" s="2" t="s">
        <v>756</v>
      </c>
      <c r="S581" s="2" t="s">
        <v>71</v>
      </c>
      <c r="T581" s="2" t="s">
        <v>71</v>
      </c>
      <c r="W581" s="4">
        <v>500</v>
      </c>
      <c r="X581" s="4">
        <v>600</v>
      </c>
      <c r="Y581" s="4">
        <f t="shared" ref="Y581" si="646">INDEX(InternalRates,MATCH($S581,InternalRates01,FALSE),2)</f>
        <v>354.0333333333333</v>
      </c>
      <c r="Z581" s="3" t="str">
        <f t="shared" si="613"/>
        <v>Nie</v>
      </c>
      <c r="AA581" s="3" t="str">
        <f t="shared" si="614"/>
        <v>ZoD</v>
      </c>
      <c r="AB581" s="4">
        <v>391</v>
      </c>
      <c r="AC581" s="4">
        <v>195.5</v>
      </c>
      <c r="AD581" s="3" t="s">
        <v>48</v>
      </c>
      <c r="AE581" s="6">
        <v>44581</v>
      </c>
      <c r="AF581" s="3" t="s">
        <v>59</v>
      </c>
      <c r="AG581" s="3" t="s">
        <v>49</v>
      </c>
      <c r="AH581" s="3">
        <f>YEAR(SrcDB[[#This Row],[Datum_zverejnenia]])</f>
        <v>2021</v>
      </c>
      <c r="AI581" s="3" cm="1">
        <f t="array" ref="AI581">COUNT(_xlfn.UNIQUE(_xlfn._xlws.FILTER(SrcDB[ID],SrcDB[Objednavatel_ICO]=$H581)))</f>
        <v>1</v>
      </c>
      <c r="AJ581" s="3" cm="1">
        <f t="array" ref="AJ581">COUNT(_xlfn.UNIQUE(_xlfn._xlws.FILTER(SrcDB[ID],SrcDB[Dodavatel_ICO]=$K581)))</f>
        <v>14</v>
      </c>
      <c r="AK581" s="3">
        <f t="shared" si="644"/>
        <v>0</v>
      </c>
      <c r="AL581" s="3">
        <f t="shared" si="645"/>
        <v>0</v>
      </c>
      <c r="AM581" s="17" t="str">
        <f>IF(SrcDB[[#This Row],[Pocet zmluv objednavatela]]&gt;3,SrcDB[[#This Row],[Objednavatel]],"Ostatné")</f>
        <v>Ostatné</v>
      </c>
      <c r="AN581" s="17" t="str">
        <f>IF(SrcDB[[#This Row],[Pocet zmluv dodavatela]]&gt;3,SrcDB[[#This Row],[Dodavatel]],"Ostatné")</f>
        <v>DITEC, a.s.</v>
      </c>
    </row>
    <row r="582" spans="1:40" x14ac:dyDescent="0.3">
      <c r="A582" s="2" t="s">
        <v>750</v>
      </c>
      <c r="B582" s="2">
        <v>6130283</v>
      </c>
      <c r="C582" s="3" t="str">
        <f t="shared" si="638"/>
        <v>Áno</v>
      </c>
      <c r="D582" s="3" t="str">
        <f t="shared" si="639"/>
        <v>Nie</v>
      </c>
      <c r="E582" s="3" t="s">
        <v>49</v>
      </c>
      <c r="F582" s="3" t="s">
        <v>48</v>
      </c>
      <c r="G582" s="2" t="str">
        <f t="shared" si="640"/>
        <v>Stredné zmluvy</v>
      </c>
      <c r="H582" s="5" t="s">
        <v>751</v>
      </c>
      <c r="I582" s="2" t="s">
        <v>752</v>
      </c>
      <c r="J582" s="2" t="s">
        <v>753</v>
      </c>
      <c r="K582" s="5">
        <v>31385401</v>
      </c>
      <c r="L582" s="2" t="s">
        <v>142</v>
      </c>
      <c r="M582" s="2" t="s">
        <v>754</v>
      </c>
      <c r="N582" s="6">
        <v>44560.497719907406</v>
      </c>
      <c r="O582" s="4">
        <v>3186204</v>
      </c>
      <c r="P582" s="2">
        <v>114535</v>
      </c>
      <c r="Q582" s="2" t="s">
        <v>755</v>
      </c>
      <c r="R582" s="2" t="s">
        <v>756</v>
      </c>
      <c r="S582" s="2" t="s">
        <v>77</v>
      </c>
      <c r="T582" s="2" t="s">
        <v>77</v>
      </c>
      <c r="W582" s="4">
        <v>450</v>
      </c>
      <c r="X582" s="4">
        <v>540</v>
      </c>
      <c r="Y582" s="4">
        <f t="shared" ref="Y582" si="647">INDEX(InternalRates,MATCH($S582,InternalRates01,FALSE),2)</f>
        <v>278.98333333333335</v>
      </c>
      <c r="Z582" s="3" t="str">
        <f t="shared" si="613"/>
        <v>Nie</v>
      </c>
      <c r="AA582" s="3" t="str">
        <f t="shared" si="614"/>
        <v>ZoD</v>
      </c>
      <c r="AB582" s="4">
        <v>2741</v>
      </c>
      <c r="AC582" s="4">
        <v>1370.5</v>
      </c>
      <c r="AD582" s="3" t="s">
        <v>48</v>
      </c>
      <c r="AE582" s="6">
        <v>44581</v>
      </c>
      <c r="AF582" s="3" t="s">
        <v>59</v>
      </c>
      <c r="AG582" s="3" t="s">
        <v>49</v>
      </c>
      <c r="AH582" s="3">
        <f>YEAR(SrcDB[[#This Row],[Datum_zverejnenia]])</f>
        <v>2021</v>
      </c>
      <c r="AI582" s="3" cm="1">
        <f t="array" ref="AI582">COUNT(_xlfn.UNIQUE(_xlfn._xlws.FILTER(SrcDB[ID],SrcDB[Objednavatel_ICO]=$H582)))</f>
        <v>1</v>
      </c>
      <c r="AJ582" s="3" cm="1">
        <f t="array" ref="AJ582">COUNT(_xlfn.UNIQUE(_xlfn._xlws.FILTER(SrcDB[ID],SrcDB[Dodavatel_ICO]=$K582)))</f>
        <v>14</v>
      </c>
      <c r="AK582" s="3">
        <f t="shared" si="644"/>
        <v>0</v>
      </c>
      <c r="AL582" s="3">
        <f t="shared" si="645"/>
        <v>0</v>
      </c>
      <c r="AM582" s="17" t="str">
        <f>IF(SrcDB[[#This Row],[Pocet zmluv objednavatela]]&gt;3,SrcDB[[#This Row],[Objednavatel]],"Ostatné")</f>
        <v>Ostatné</v>
      </c>
      <c r="AN582" s="17" t="str">
        <f>IF(SrcDB[[#This Row],[Pocet zmluv dodavatela]]&gt;3,SrcDB[[#This Row],[Dodavatel]],"Ostatné")</f>
        <v>DITEC, a.s.</v>
      </c>
    </row>
    <row r="583" spans="1:40" x14ac:dyDescent="0.3">
      <c r="A583" s="2" t="s">
        <v>750</v>
      </c>
      <c r="B583" s="2">
        <v>6130283</v>
      </c>
      <c r="C583" s="3" t="str">
        <f t="shared" si="638"/>
        <v>Áno</v>
      </c>
      <c r="D583" s="3" t="str">
        <f t="shared" si="639"/>
        <v>Nie</v>
      </c>
      <c r="E583" s="3" t="s">
        <v>49</v>
      </c>
      <c r="F583" s="3" t="s">
        <v>48</v>
      </c>
      <c r="G583" s="2" t="str">
        <f t="shared" si="640"/>
        <v>Stredné zmluvy</v>
      </c>
      <c r="H583" s="5" t="s">
        <v>751</v>
      </c>
      <c r="I583" s="2" t="s">
        <v>752</v>
      </c>
      <c r="J583" s="2" t="s">
        <v>753</v>
      </c>
      <c r="K583" s="5">
        <v>31385401</v>
      </c>
      <c r="L583" s="2" t="s">
        <v>142</v>
      </c>
      <c r="M583" s="2" t="s">
        <v>754</v>
      </c>
      <c r="N583" s="6">
        <v>44560.497719907406</v>
      </c>
      <c r="O583" s="4">
        <v>3186204</v>
      </c>
      <c r="P583" s="2">
        <v>114535</v>
      </c>
      <c r="Q583" s="2" t="s">
        <v>755</v>
      </c>
      <c r="R583" s="2" t="s">
        <v>756</v>
      </c>
      <c r="S583" s="2" t="s">
        <v>56</v>
      </c>
      <c r="T583" s="2" t="s">
        <v>286</v>
      </c>
      <c r="U583" s="2" t="s">
        <v>129</v>
      </c>
      <c r="W583" s="4">
        <v>400</v>
      </c>
      <c r="X583" s="4">
        <v>480</v>
      </c>
      <c r="Y583" s="4">
        <f t="shared" ref="Y583" si="648">INDEX(InternalRates,MATCH($S583,InternalRates01,FALSE),2)</f>
        <v>278.98333333333335</v>
      </c>
      <c r="Z583" s="3" t="str">
        <f t="shared" si="613"/>
        <v>Nie</v>
      </c>
      <c r="AA583" s="3" t="str">
        <f t="shared" si="614"/>
        <v>ZoD</v>
      </c>
      <c r="AB583" s="4">
        <v>56</v>
      </c>
      <c r="AC583" s="4">
        <v>28</v>
      </c>
      <c r="AD583" s="3" t="s">
        <v>48</v>
      </c>
      <c r="AE583" s="6">
        <v>44581</v>
      </c>
      <c r="AF583" s="3" t="s">
        <v>59</v>
      </c>
      <c r="AG583" s="3" t="s">
        <v>49</v>
      </c>
      <c r="AH583" s="3">
        <f>YEAR(SrcDB[[#This Row],[Datum_zverejnenia]])</f>
        <v>2021</v>
      </c>
      <c r="AI583" s="3" cm="1">
        <f t="array" ref="AI583">COUNT(_xlfn.UNIQUE(_xlfn._xlws.FILTER(SrcDB[ID],SrcDB[Objednavatel_ICO]=$H583)))</f>
        <v>1</v>
      </c>
      <c r="AJ583" s="3" cm="1">
        <f t="array" ref="AJ583">COUNT(_xlfn.UNIQUE(_xlfn._xlws.FILTER(SrcDB[ID],SrcDB[Dodavatel_ICO]=$K583)))</f>
        <v>14</v>
      </c>
      <c r="AK583" s="3">
        <f t="shared" si="644"/>
        <v>0</v>
      </c>
      <c r="AL583" s="3">
        <f t="shared" si="645"/>
        <v>0</v>
      </c>
      <c r="AM583" s="17" t="str">
        <f>IF(SrcDB[[#This Row],[Pocet zmluv objednavatela]]&gt;3,SrcDB[[#This Row],[Objednavatel]],"Ostatné")</f>
        <v>Ostatné</v>
      </c>
      <c r="AN583" s="17" t="str">
        <f>IF(SrcDB[[#This Row],[Pocet zmluv dodavatela]]&gt;3,SrcDB[[#This Row],[Dodavatel]],"Ostatné")</f>
        <v>DITEC, a.s.</v>
      </c>
    </row>
    <row r="584" spans="1:40" x14ac:dyDescent="0.3">
      <c r="A584" s="2" t="s">
        <v>750</v>
      </c>
      <c r="B584" s="2">
        <v>6130283</v>
      </c>
      <c r="C584" s="3" t="str">
        <f t="shared" si="638"/>
        <v>Áno</v>
      </c>
      <c r="D584" s="3" t="str">
        <f t="shared" si="639"/>
        <v>Nie</v>
      </c>
      <c r="E584" s="3" t="s">
        <v>49</v>
      </c>
      <c r="F584" s="3" t="s">
        <v>48</v>
      </c>
      <c r="G584" s="2" t="str">
        <f t="shared" si="640"/>
        <v>Stredné zmluvy</v>
      </c>
      <c r="H584" s="5" t="s">
        <v>751</v>
      </c>
      <c r="I584" s="2" t="s">
        <v>752</v>
      </c>
      <c r="J584" s="2" t="s">
        <v>753</v>
      </c>
      <c r="K584" s="5">
        <v>31385401</v>
      </c>
      <c r="L584" s="2" t="s">
        <v>142</v>
      </c>
      <c r="M584" s="2" t="s">
        <v>754</v>
      </c>
      <c r="N584" s="6">
        <v>44560.497719907406</v>
      </c>
      <c r="O584" s="4">
        <v>3186204</v>
      </c>
      <c r="P584" s="2">
        <v>114535</v>
      </c>
      <c r="Q584" s="2" t="s">
        <v>755</v>
      </c>
      <c r="R584" s="2" t="s">
        <v>756</v>
      </c>
      <c r="S584" s="2" t="s">
        <v>56</v>
      </c>
      <c r="T584" s="2" t="s">
        <v>448</v>
      </c>
      <c r="U584" s="2" t="s">
        <v>449</v>
      </c>
      <c r="W584" s="4">
        <v>450</v>
      </c>
      <c r="X584" s="4">
        <v>540</v>
      </c>
      <c r="Y584" s="4">
        <f t="shared" ref="Y584" si="649">INDEX(InternalRates,MATCH($S584,InternalRates01,FALSE),2)</f>
        <v>278.98333333333335</v>
      </c>
      <c r="Z584" s="3" t="str">
        <f t="shared" si="613"/>
        <v>Nie</v>
      </c>
      <c r="AA584" s="3" t="str">
        <f t="shared" si="614"/>
        <v>ZoD</v>
      </c>
      <c r="AB584" s="4">
        <v>136</v>
      </c>
      <c r="AC584" s="4">
        <v>68</v>
      </c>
      <c r="AD584" s="3" t="s">
        <v>48</v>
      </c>
      <c r="AE584" s="6">
        <v>44581</v>
      </c>
      <c r="AF584" s="3" t="s">
        <v>59</v>
      </c>
      <c r="AG584" s="3" t="s">
        <v>49</v>
      </c>
      <c r="AH584" s="3">
        <f>YEAR(SrcDB[[#This Row],[Datum_zverejnenia]])</f>
        <v>2021</v>
      </c>
      <c r="AI584" s="3" cm="1">
        <f t="array" ref="AI584">COUNT(_xlfn.UNIQUE(_xlfn._xlws.FILTER(SrcDB[ID],SrcDB[Objednavatel_ICO]=$H584)))</f>
        <v>1</v>
      </c>
      <c r="AJ584" s="3" cm="1">
        <f t="array" ref="AJ584">COUNT(_xlfn.UNIQUE(_xlfn._xlws.FILTER(SrcDB[ID],SrcDB[Dodavatel_ICO]=$K584)))</f>
        <v>14</v>
      </c>
      <c r="AK584" s="3">
        <f t="shared" si="644"/>
        <v>0</v>
      </c>
      <c r="AL584" s="3">
        <f t="shared" si="645"/>
        <v>0</v>
      </c>
      <c r="AM584" s="17" t="str">
        <f>IF(SrcDB[[#This Row],[Pocet zmluv objednavatela]]&gt;3,SrcDB[[#This Row],[Objednavatel]],"Ostatné")</f>
        <v>Ostatné</v>
      </c>
      <c r="AN584" s="17" t="str">
        <f>IF(SrcDB[[#This Row],[Pocet zmluv dodavatela]]&gt;3,SrcDB[[#This Row],[Dodavatel]],"Ostatné")</f>
        <v>DITEC, a.s.</v>
      </c>
    </row>
    <row r="585" spans="1:40" x14ac:dyDescent="0.3">
      <c r="A585" s="2" t="s">
        <v>750</v>
      </c>
      <c r="B585" s="2">
        <v>6130283</v>
      </c>
      <c r="C585" s="3" t="str">
        <f t="shared" si="638"/>
        <v>Áno</v>
      </c>
      <c r="D585" s="3" t="str">
        <f t="shared" si="639"/>
        <v>Nie</v>
      </c>
      <c r="E585" s="3" t="s">
        <v>49</v>
      </c>
      <c r="F585" s="3" t="s">
        <v>48</v>
      </c>
      <c r="G585" s="2" t="str">
        <f t="shared" si="640"/>
        <v>Stredné zmluvy</v>
      </c>
      <c r="H585" s="5" t="s">
        <v>751</v>
      </c>
      <c r="I585" s="2" t="s">
        <v>752</v>
      </c>
      <c r="J585" s="2" t="s">
        <v>753</v>
      </c>
      <c r="K585" s="5">
        <v>31385401</v>
      </c>
      <c r="L585" s="2" t="s">
        <v>142</v>
      </c>
      <c r="M585" s="2" t="s">
        <v>754</v>
      </c>
      <c r="N585" s="6">
        <v>44560.497719907406</v>
      </c>
      <c r="O585" s="4">
        <v>3186204</v>
      </c>
      <c r="P585" s="2">
        <v>114535</v>
      </c>
      <c r="Q585" s="2" t="s">
        <v>755</v>
      </c>
      <c r="R585" s="2" t="s">
        <v>756</v>
      </c>
      <c r="S585" s="2" t="s">
        <v>56</v>
      </c>
      <c r="T585" s="2" t="s">
        <v>96</v>
      </c>
      <c r="U585" s="2" t="s">
        <v>97</v>
      </c>
      <c r="W585" s="4">
        <v>450</v>
      </c>
      <c r="X585" s="4">
        <v>540</v>
      </c>
      <c r="Y585" s="4">
        <f t="shared" ref="Y585" si="650">INDEX(InternalRates,MATCH($S585,InternalRates01,FALSE),2)</f>
        <v>278.98333333333335</v>
      </c>
      <c r="Z585" s="3" t="str">
        <f t="shared" si="613"/>
        <v>Nie</v>
      </c>
      <c r="AA585" s="3" t="str">
        <f t="shared" si="614"/>
        <v>ZoD</v>
      </c>
      <c r="AB585" s="4">
        <v>64</v>
      </c>
      <c r="AC585" s="4">
        <v>32</v>
      </c>
      <c r="AD585" s="3" t="s">
        <v>48</v>
      </c>
      <c r="AE585" s="6">
        <v>44581</v>
      </c>
      <c r="AF585" s="3" t="s">
        <v>59</v>
      </c>
      <c r="AG585" s="3" t="s">
        <v>49</v>
      </c>
      <c r="AH585" s="3">
        <f>YEAR(SrcDB[[#This Row],[Datum_zverejnenia]])</f>
        <v>2021</v>
      </c>
      <c r="AI585" s="3" cm="1">
        <f t="array" ref="AI585">COUNT(_xlfn.UNIQUE(_xlfn._xlws.FILTER(SrcDB[ID],SrcDB[Objednavatel_ICO]=$H585)))</f>
        <v>1</v>
      </c>
      <c r="AJ585" s="3" cm="1">
        <f t="array" ref="AJ585">COUNT(_xlfn.UNIQUE(_xlfn._xlws.FILTER(SrcDB[ID],SrcDB[Dodavatel_ICO]=$K585)))</f>
        <v>14</v>
      </c>
      <c r="AK585" s="3">
        <f t="shared" si="644"/>
        <v>0</v>
      </c>
      <c r="AL585" s="3">
        <f t="shared" si="645"/>
        <v>0</v>
      </c>
      <c r="AM585" s="17" t="str">
        <f>IF(SrcDB[[#This Row],[Pocet zmluv objednavatela]]&gt;3,SrcDB[[#This Row],[Objednavatel]],"Ostatné")</f>
        <v>Ostatné</v>
      </c>
      <c r="AN585" s="17" t="str">
        <f>IF(SrcDB[[#This Row],[Pocet zmluv dodavatela]]&gt;3,SrcDB[[#This Row],[Dodavatel]],"Ostatné")</f>
        <v>DITEC, a.s.</v>
      </c>
    </row>
    <row r="586" spans="1:40" x14ac:dyDescent="0.3">
      <c r="A586" s="2" t="s">
        <v>750</v>
      </c>
      <c r="B586" s="2">
        <v>6130283</v>
      </c>
      <c r="C586" s="3" t="str">
        <f t="shared" si="638"/>
        <v>Áno</v>
      </c>
      <c r="D586" s="3" t="str">
        <f t="shared" si="639"/>
        <v>Nie</v>
      </c>
      <c r="E586" s="3" t="s">
        <v>49</v>
      </c>
      <c r="F586" s="3" t="s">
        <v>48</v>
      </c>
      <c r="G586" s="2" t="str">
        <f t="shared" si="640"/>
        <v>Stredné zmluvy</v>
      </c>
      <c r="H586" s="5" t="s">
        <v>751</v>
      </c>
      <c r="I586" s="2" t="s">
        <v>752</v>
      </c>
      <c r="J586" s="2" t="s">
        <v>753</v>
      </c>
      <c r="K586" s="5">
        <v>31385401</v>
      </c>
      <c r="L586" s="2" t="s">
        <v>142</v>
      </c>
      <c r="M586" s="2" t="s">
        <v>754</v>
      </c>
      <c r="N586" s="6">
        <v>44560.497719907406</v>
      </c>
      <c r="O586" s="4">
        <v>3186204</v>
      </c>
      <c r="P586" s="2">
        <v>114535</v>
      </c>
      <c r="Q586" s="2" t="s">
        <v>755</v>
      </c>
      <c r="R586" s="2" t="s">
        <v>756</v>
      </c>
      <c r="S586" s="2" t="s">
        <v>100</v>
      </c>
      <c r="T586" s="2" t="s">
        <v>333</v>
      </c>
      <c r="W586" s="4">
        <v>400</v>
      </c>
      <c r="X586" s="4">
        <v>480</v>
      </c>
      <c r="Y586" s="4">
        <f t="shared" ref="Y586" si="651">INDEX(InternalRates,MATCH($S586,InternalRates01,FALSE),2)</f>
        <v>278.98333333333335</v>
      </c>
      <c r="Z586" s="3" t="str">
        <f t="shared" si="613"/>
        <v>Nie</v>
      </c>
      <c r="AA586" s="3" t="str">
        <f t="shared" si="614"/>
        <v>ZoD</v>
      </c>
      <c r="AB586" s="4">
        <v>40</v>
      </c>
      <c r="AC586" s="4">
        <v>20</v>
      </c>
      <c r="AD586" s="3" t="s">
        <v>48</v>
      </c>
      <c r="AE586" s="6">
        <v>44581</v>
      </c>
      <c r="AF586" s="3" t="s">
        <v>59</v>
      </c>
      <c r="AG586" s="3" t="s">
        <v>49</v>
      </c>
      <c r="AH586" s="3">
        <f>YEAR(SrcDB[[#This Row],[Datum_zverejnenia]])</f>
        <v>2021</v>
      </c>
      <c r="AI586" s="3" cm="1">
        <f t="array" ref="AI586">COUNT(_xlfn.UNIQUE(_xlfn._xlws.FILTER(SrcDB[ID],SrcDB[Objednavatel_ICO]=$H586)))</f>
        <v>1</v>
      </c>
      <c r="AJ586" s="3" cm="1">
        <f t="array" ref="AJ586">COUNT(_xlfn.UNIQUE(_xlfn._xlws.FILTER(SrcDB[ID],SrcDB[Dodavatel_ICO]=$K586)))</f>
        <v>14</v>
      </c>
      <c r="AK586" s="3">
        <f t="shared" si="644"/>
        <v>0</v>
      </c>
      <c r="AL586" s="3">
        <f t="shared" si="645"/>
        <v>0</v>
      </c>
      <c r="AM586" s="17" t="str">
        <f>IF(SrcDB[[#This Row],[Pocet zmluv objednavatela]]&gt;3,SrcDB[[#This Row],[Objednavatel]],"Ostatné")</f>
        <v>Ostatné</v>
      </c>
      <c r="AN586" s="17" t="str">
        <f>IF(SrcDB[[#This Row],[Pocet zmluv dodavatela]]&gt;3,SrcDB[[#This Row],[Dodavatel]],"Ostatné")</f>
        <v>DITEC, a.s.</v>
      </c>
    </row>
    <row r="587" spans="1:40" x14ac:dyDescent="0.3">
      <c r="A587" s="2" t="s">
        <v>750</v>
      </c>
      <c r="B587" s="2">
        <v>6130283</v>
      </c>
      <c r="C587" s="3" t="str">
        <f t="shared" si="638"/>
        <v>Áno</v>
      </c>
      <c r="D587" s="3" t="str">
        <f t="shared" si="639"/>
        <v>Nie</v>
      </c>
      <c r="E587" s="3" t="s">
        <v>49</v>
      </c>
      <c r="F587" s="3" t="s">
        <v>48</v>
      </c>
      <c r="G587" s="2" t="str">
        <f t="shared" si="640"/>
        <v>Stredné zmluvy</v>
      </c>
      <c r="H587" s="5" t="s">
        <v>751</v>
      </c>
      <c r="I587" s="2" t="s">
        <v>752</v>
      </c>
      <c r="J587" s="2" t="s">
        <v>753</v>
      </c>
      <c r="K587" s="5">
        <v>31385401</v>
      </c>
      <c r="L587" s="2" t="s">
        <v>142</v>
      </c>
      <c r="M587" s="2" t="s">
        <v>754</v>
      </c>
      <c r="N587" s="6">
        <v>44560.497719907406</v>
      </c>
      <c r="O587" s="4">
        <v>3186204</v>
      </c>
      <c r="P587" s="2">
        <v>114535</v>
      </c>
      <c r="Q587" s="2" t="s">
        <v>755</v>
      </c>
      <c r="R587" s="2" t="s">
        <v>756</v>
      </c>
      <c r="S587" s="2" t="s">
        <v>79</v>
      </c>
      <c r="T587" s="2" t="s">
        <v>79</v>
      </c>
      <c r="W587" s="4">
        <v>400</v>
      </c>
      <c r="X587" s="4">
        <v>480</v>
      </c>
      <c r="Y587" s="4">
        <f t="shared" ref="Y587" si="652">INDEX(InternalRates,MATCH($S587,InternalRates01,FALSE),2)</f>
        <v>278.98333333333335</v>
      </c>
      <c r="Z587" s="3" t="str">
        <f t="shared" si="613"/>
        <v>Nie</v>
      </c>
      <c r="AA587" s="3" t="str">
        <f t="shared" si="614"/>
        <v>ZoD</v>
      </c>
      <c r="AB587" s="4">
        <v>597</v>
      </c>
      <c r="AC587" s="4">
        <v>298.5</v>
      </c>
      <c r="AD587" s="3" t="s">
        <v>48</v>
      </c>
      <c r="AE587" s="6">
        <v>44581</v>
      </c>
      <c r="AF587" s="3" t="s">
        <v>59</v>
      </c>
      <c r="AG587" s="3" t="s">
        <v>49</v>
      </c>
      <c r="AH587" s="3">
        <f>YEAR(SrcDB[[#This Row],[Datum_zverejnenia]])</f>
        <v>2021</v>
      </c>
      <c r="AI587" s="3" cm="1">
        <f t="array" ref="AI587">COUNT(_xlfn.UNIQUE(_xlfn._xlws.FILTER(SrcDB[ID],SrcDB[Objednavatel_ICO]=$H587)))</f>
        <v>1</v>
      </c>
      <c r="AJ587" s="3" cm="1">
        <f t="array" ref="AJ587">COUNT(_xlfn.UNIQUE(_xlfn._xlws.FILTER(SrcDB[ID],SrcDB[Dodavatel_ICO]=$K587)))</f>
        <v>14</v>
      </c>
      <c r="AK587" s="3">
        <f t="shared" si="644"/>
        <v>0</v>
      </c>
      <c r="AL587" s="3">
        <f t="shared" si="645"/>
        <v>0</v>
      </c>
      <c r="AM587" s="17" t="str">
        <f>IF(SrcDB[[#This Row],[Pocet zmluv objednavatela]]&gt;3,SrcDB[[#This Row],[Objednavatel]],"Ostatné")</f>
        <v>Ostatné</v>
      </c>
      <c r="AN587" s="17" t="str">
        <f>IF(SrcDB[[#This Row],[Pocet zmluv dodavatela]]&gt;3,SrcDB[[#This Row],[Dodavatel]],"Ostatné")</f>
        <v>DITEC, a.s.</v>
      </c>
    </row>
    <row r="588" spans="1:40" x14ac:dyDescent="0.3">
      <c r="A588" s="2" t="s">
        <v>750</v>
      </c>
      <c r="B588" s="2">
        <v>6130283</v>
      </c>
      <c r="C588" s="3" t="str">
        <f t="shared" si="638"/>
        <v>Áno</v>
      </c>
      <c r="D588" s="3" t="str">
        <f t="shared" si="639"/>
        <v>Nie</v>
      </c>
      <c r="E588" s="3" t="s">
        <v>49</v>
      </c>
      <c r="F588" s="3" t="s">
        <v>48</v>
      </c>
      <c r="G588" s="2" t="str">
        <f t="shared" si="640"/>
        <v>Stredné zmluvy</v>
      </c>
      <c r="H588" s="5" t="s">
        <v>751</v>
      </c>
      <c r="I588" s="2" t="s">
        <v>752</v>
      </c>
      <c r="J588" s="2" t="s">
        <v>753</v>
      </c>
      <c r="K588" s="5">
        <v>31385401</v>
      </c>
      <c r="L588" s="2" t="s">
        <v>142</v>
      </c>
      <c r="M588" s="2" t="s">
        <v>754</v>
      </c>
      <c r="N588" s="6">
        <v>44560.497719907406</v>
      </c>
      <c r="O588" s="4">
        <v>3186204</v>
      </c>
      <c r="P588" s="2">
        <v>114535</v>
      </c>
      <c r="Q588" s="2" t="s">
        <v>755</v>
      </c>
      <c r="R588" s="2" t="s">
        <v>756</v>
      </c>
      <c r="S588" s="2" t="s">
        <v>98</v>
      </c>
      <c r="T588" s="2" t="s">
        <v>98</v>
      </c>
      <c r="W588" s="4">
        <v>400</v>
      </c>
      <c r="X588" s="4">
        <v>480</v>
      </c>
      <c r="Y588" s="4">
        <f t="shared" ref="Y588" si="653">INDEX(InternalRates,MATCH($S588,InternalRates01,FALSE),2)</f>
        <v>278.98333333333335</v>
      </c>
      <c r="Z588" s="3" t="str">
        <f t="shared" si="613"/>
        <v>Nie</v>
      </c>
      <c r="AA588" s="3" t="str">
        <f t="shared" si="614"/>
        <v>ZoD</v>
      </c>
      <c r="AB588" s="4">
        <v>32</v>
      </c>
      <c r="AC588" s="4">
        <v>16</v>
      </c>
      <c r="AD588" s="3" t="s">
        <v>48</v>
      </c>
      <c r="AE588" s="6">
        <v>44581</v>
      </c>
      <c r="AF588" s="3" t="s">
        <v>59</v>
      </c>
      <c r="AG588" s="3" t="s">
        <v>49</v>
      </c>
      <c r="AH588" s="3">
        <f>YEAR(SrcDB[[#This Row],[Datum_zverejnenia]])</f>
        <v>2021</v>
      </c>
      <c r="AI588" s="3" cm="1">
        <f t="array" ref="AI588">COUNT(_xlfn.UNIQUE(_xlfn._xlws.FILTER(SrcDB[ID],SrcDB[Objednavatel_ICO]=$H588)))</f>
        <v>1</v>
      </c>
      <c r="AJ588" s="3" cm="1">
        <f t="array" ref="AJ588">COUNT(_xlfn.UNIQUE(_xlfn._xlws.FILTER(SrcDB[ID],SrcDB[Dodavatel_ICO]=$K588)))</f>
        <v>14</v>
      </c>
      <c r="AK588" s="3">
        <f t="shared" si="644"/>
        <v>0</v>
      </c>
      <c r="AL588" s="3">
        <f t="shared" si="645"/>
        <v>0</v>
      </c>
      <c r="AM588" s="17" t="str">
        <f>IF(SrcDB[[#This Row],[Pocet zmluv objednavatela]]&gt;3,SrcDB[[#This Row],[Objednavatel]],"Ostatné")</f>
        <v>Ostatné</v>
      </c>
      <c r="AN588" s="17" t="str">
        <f>IF(SrcDB[[#This Row],[Pocet zmluv dodavatela]]&gt;3,SrcDB[[#This Row],[Dodavatel]],"Ostatné")</f>
        <v>DITEC, a.s.</v>
      </c>
    </row>
    <row r="589" spans="1:40" x14ac:dyDescent="0.3">
      <c r="A589" s="2" t="s">
        <v>750</v>
      </c>
      <c r="B589" s="2">
        <v>6130283</v>
      </c>
      <c r="C589" s="3" t="str">
        <f t="shared" si="638"/>
        <v>Áno</v>
      </c>
      <c r="D589" s="3" t="str">
        <f t="shared" si="639"/>
        <v>Nie</v>
      </c>
      <c r="E589" s="3" t="s">
        <v>49</v>
      </c>
      <c r="F589" s="3" t="s">
        <v>48</v>
      </c>
      <c r="G589" s="2" t="str">
        <f t="shared" si="640"/>
        <v>Stredné zmluvy</v>
      </c>
      <c r="H589" s="5" t="s">
        <v>751</v>
      </c>
      <c r="I589" s="2" t="s">
        <v>752</v>
      </c>
      <c r="J589" s="2" t="s">
        <v>753</v>
      </c>
      <c r="K589" s="5">
        <v>31385401</v>
      </c>
      <c r="L589" s="2" t="s">
        <v>142</v>
      </c>
      <c r="M589" s="2" t="s">
        <v>754</v>
      </c>
      <c r="N589" s="6">
        <v>44560.497719907406</v>
      </c>
      <c r="O589" s="4">
        <v>3186204</v>
      </c>
      <c r="P589" s="2">
        <v>114535</v>
      </c>
      <c r="Q589" s="2" t="s">
        <v>755</v>
      </c>
      <c r="R589" s="2" t="s">
        <v>756</v>
      </c>
      <c r="S589" s="2" t="s">
        <v>73</v>
      </c>
      <c r="T589" s="2" t="s">
        <v>73</v>
      </c>
      <c r="W589" s="4">
        <v>550</v>
      </c>
      <c r="X589" s="4">
        <v>660</v>
      </c>
      <c r="Y589" s="4">
        <f t="shared" ref="Y589" si="654">INDEX(InternalRates,MATCH($S589,InternalRates01,FALSE),2)</f>
        <v>278.98333333333335</v>
      </c>
      <c r="Z589" s="3" t="str">
        <f t="shared" si="613"/>
        <v>Nie</v>
      </c>
      <c r="AA589" s="3" t="str">
        <f t="shared" si="614"/>
        <v>ZoD</v>
      </c>
      <c r="AB589" s="4">
        <v>694</v>
      </c>
      <c r="AC589" s="4">
        <v>347</v>
      </c>
      <c r="AD589" s="3" t="s">
        <v>49</v>
      </c>
      <c r="AE589" s="6">
        <v>44936</v>
      </c>
      <c r="AF589" s="3" t="s">
        <v>59</v>
      </c>
      <c r="AG589" s="3" t="s">
        <v>49</v>
      </c>
      <c r="AH589" s="3">
        <f>YEAR(SrcDB[[#This Row],[Datum_zverejnenia]])</f>
        <v>2021</v>
      </c>
      <c r="AI589" s="3" cm="1">
        <f t="array" ref="AI589">COUNT(_xlfn.UNIQUE(_xlfn._xlws.FILTER(SrcDB[ID],SrcDB[Objednavatel_ICO]=$H589)))</f>
        <v>1</v>
      </c>
      <c r="AJ589" s="3" cm="1">
        <f t="array" ref="AJ589">COUNT(_xlfn.UNIQUE(_xlfn._xlws.FILTER(SrcDB[ID],SrcDB[Dodavatel_ICO]=$K589)))</f>
        <v>14</v>
      </c>
      <c r="AK589" s="3">
        <f t="shared" si="644"/>
        <v>0</v>
      </c>
      <c r="AL589" s="3">
        <f t="shared" si="645"/>
        <v>0</v>
      </c>
      <c r="AM589" s="17" t="str">
        <f>IF(SrcDB[[#This Row],[Pocet zmluv objednavatela]]&gt;3,SrcDB[[#This Row],[Objednavatel]],"Ostatné")</f>
        <v>Ostatné</v>
      </c>
      <c r="AN589" s="17" t="str">
        <f>IF(SrcDB[[#This Row],[Pocet zmluv dodavatela]]&gt;3,SrcDB[[#This Row],[Dodavatel]],"Ostatné")</f>
        <v>DITEC, a.s.</v>
      </c>
    </row>
    <row r="590" spans="1:40" x14ac:dyDescent="0.3">
      <c r="A590" s="2" t="s">
        <v>750</v>
      </c>
      <c r="B590" s="2">
        <v>6130283</v>
      </c>
      <c r="C590" s="3" t="str">
        <f t="shared" si="638"/>
        <v>Áno</v>
      </c>
      <c r="D590" s="3" t="str">
        <f t="shared" si="639"/>
        <v>Nie</v>
      </c>
      <c r="E590" s="3" t="s">
        <v>49</v>
      </c>
      <c r="F590" s="3" t="s">
        <v>48</v>
      </c>
      <c r="G590" s="2" t="str">
        <f t="shared" si="640"/>
        <v>Stredné zmluvy</v>
      </c>
      <c r="H590" s="5" t="s">
        <v>751</v>
      </c>
      <c r="I590" s="2" t="s">
        <v>752</v>
      </c>
      <c r="J590" s="2" t="s">
        <v>753</v>
      </c>
      <c r="K590" s="5">
        <v>31385401</v>
      </c>
      <c r="L590" s="2" t="s">
        <v>142</v>
      </c>
      <c r="M590" s="2" t="s">
        <v>754</v>
      </c>
      <c r="N590" s="6">
        <v>44560.497719907406</v>
      </c>
      <c r="O590" s="4">
        <v>3186204</v>
      </c>
      <c r="P590" s="2">
        <v>114535</v>
      </c>
      <c r="Q590" s="2" t="s">
        <v>755</v>
      </c>
      <c r="R590" s="2" t="s">
        <v>756</v>
      </c>
      <c r="S590" s="2" t="s">
        <v>56</v>
      </c>
      <c r="T590" s="2" t="s">
        <v>522</v>
      </c>
      <c r="U590" s="2" t="s">
        <v>289</v>
      </c>
      <c r="W590" s="4">
        <v>450</v>
      </c>
      <c r="X590" s="4">
        <v>540</v>
      </c>
      <c r="Y590" s="4">
        <f t="shared" ref="Y590" si="655">INDEX(InternalRates,MATCH($S590,InternalRates01,FALSE),2)</f>
        <v>278.98333333333335</v>
      </c>
      <c r="Z590" s="3" t="str">
        <f t="shared" si="613"/>
        <v>Nie</v>
      </c>
      <c r="AA590" s="3" t="str">
        <f t="shared" si="614"/>
        <v>ZoD</v>
      </c>
      <c r="AB590" s="4">
        <v>552</v>
      </c>
      <c r="AC590" s="4">
        <v>276</v>
      </c>
      <c r="AD590" s="3" t="s">
        <v>49</v>
      </c>
      <c r="AE590" s="6">
        <v>44936</v>
      </c>
      <c r="AF590" s="3" t="s">
        <v>59</v>
      </c>
      <c r="AG590" s="3" t="s">
        <v>49</v>
      </c>
      <c r="AH590" s="3">
        <f>YEAR(SrcDB[[#This Row],[Datum_zverejnenia]])</f>
        <v>2021</v>
      </c>
      <c r="AI590" s="3" cm="1">
        <f t="array" ref="AI590">COUNT(_xlfn.UNIQUE(_xlfn._xlws.FILTER(SrcDB[ID],SrcDB[Objednavatel_ICO]=$H590)))</f>
        <v>1</v>
      </c>
      <c r="AJ590" s="3" cm="1">
        <f t="array" ref="AJ590">COUNT(_xlfn.UNIQUE(_xlfn._xlws.FILTER(SrcDB[ID],SrcDB[Dodavatel_ICO]=$K590)))</f>
        <v>14</v>
      </c>
      <c r="AK590" s="3">
        <f t="shared" si="644"/>
        <v>0</v>
      </c>
      <c r="AL590" s="3">
        <f t="shared" si="645"/>
        <v>0</v>
      </c>
      <c r="AM590" s="17" t="str">
        <f>IF(SrcDB[[#This Row],[Pocet zmluv objednavatela]]&gt;3,SrcDB[[#This Row],[Objednavatel]],"Ostatné")</f>
        <v>Ostatné</v>
      </c>
      <c r="AN590" s="17" t="str">
        <f>IF(SrcDB[[#This Row],[Pocet zmluv dodavatela]]&gt;3,SrcDB[[#This Row],[Dodavatel]],"Ostatné")</f>
        <v>DITEC, a.s.</v>
      </c>
    </row>
    <row r="591" spans="1:40" x14ac:dyDescent="0.3">
      <c r="A591" s="2" t="s">
        <v>757</v>
      </c>
      <c r="B591" s="2">
        <v>6079665</v>
      </c>
      <c r="C591" s="3" t="str">
        <f t="shared" si="638"/>
        <v>Nejasné</v>
      </c>
      <c r="D591" s="3" t="str">
        <f t="shared" si="639"/>
        <v>Nejasné</v>
      </c>
      <c r="E591" s="3" t="s">
        <v>49</v>
      </c>
      <c r="F591" s="3" t="s">
        <v>48</v>
      </c>
      <c r="G591" s="2" t="str">
        <f t="shared" si="640"/>
        <v>Malé zmluvy</v>
      </c>
      <c r="H591" s="5">
        <v>35815256</v>
      </c>
      <c r="I591" s="2" t="s">
        <v>574</v>
      </c>
      <c r="J591" s="2" t="s">
        <v>575</v>
      </c>
      <c r="K591" s="5">
        <v>31326650</v>
      </c>
      <c r="L591" s="2" t="s">
        <v>156</v>
      </c>
      <c r="M591" s="2" t="s">
        <v>758</v>
      </c>
      <c r="N591" s="6">
        <v>44560.424247685187</v>
      </c>
      <c r="O591" s="4">
        <v>155000</v>
      </c>
      <c r="P591" s="2">
        <v>114499</v>
      </c>
      <c r="Q591" s="2" t="s">
        <v>759</v>
      </c>
      <c r="R591" s="2" t="s">
        <v>760</v>
      </c>
      <c r="S591" s="2" t="s">
        <v>183</v>
      </c>
      <c r="T591" s="2" t="s">
        <v>183</v>
      </c>
      <c r="W591" s="4">
        <v>685</v>
      </c>
      <c r="X591" s="4">
        <v>822</v>
      </c>
      <c r="Y591" s="4">
        <f t="shared" ref="Y591" si="656">INDEX(InternalRates,MATCH($S591,InternalRates01,FALSE),2)</f>
        <v>278.98333333333335</v>
      </c>
      <c r="Z591" s="3" t="str">
        <f>IF(W591&gt;0,IF(Y591&gt;W591,"Áno","Nie"),"Nie")</f>
        <v>Nie</v>
      </c>
      <c r="AA591" s="3" t="str">
        <f>IF(E591="Nie","SLA",IF(F591="Nie","ZoD","SLA+ZoD"))</f>
        <v>ZoD</v>
      </c>
      <c r="AB591" s="4">
        <v>300</v>
      </c>
      <c r="AC591" s="4">
        <v>150</v>
      </c>
      <c r="AD591" s="3" t="s">
        <v>48</v>
      </c>
      <c r="AE591" s="6">
        <v>44581</v>
      </c>
      <c r="AF591" s="3" t="s">
        <v>59</v>
      </c>
      <c r="AG591" s="3" t="s">
        <v>60</v>
      </c>
      <c r="AH591" s="3">
        <f>YEAR(SrcDB[[#This Row],[Datum_zverejnenia]])</f>
        <v>2021</v>
      </c>
      <c r="AI591" s="3" cm="1">
        <f t="array" ref="AI591">COUNT(_xlfn.UNIQUE(_xlfn._xlws.FILTER(SrcDB[ID],SrcDB[Objednavatel_ICO]=$H591)))</f>
        <v>6</v>
      </c>
      <c r="AJ591" s="3" cm="1">
        <f t="array" ref="AJ591">COUNT(_xlfn.UNIQUE(_xlfn._xlws.FILTER(SrcDB[ID],SrcDB[Dodavatel_ICO]=$K591)))</f>
        <v>8</v>
      </c>
      <c r="AK591" s="3">
        <f t="shared" si="644"/>
        <v>1</v>
      </c>
      <c r="AL591" s="3">
        <f t="shared" si="645"/>
        <v>1</v>
      </c>
      <c r="AM591" s="17" t="str">
        <f>IF(SrcDB[[#This Row],[Pocet zmluv objednavatela]]&gt;3,SrcDB[[#This Row],[Objednavatel]],"Ostatné")</f>
        <v>Slovenský plynárenský priemysel, a.s.</v>
      </c>
      <c r="AN591" s="17" t="str">
        <f>IF(SrcDB[[#This Row],[Pocet zmluv dodavatela]]&gt;3,SrcDB[[#This Row],[Dodavatel]],"Ostatné")</f>
        <v>TEMPEST a.s.</v>
      </c>
    </row>
    <row r="592" spans="1:40" x14ac:dyDescent="0.3">
      <c r="A592" s="2" t="s">
        <v>761</v>
      </c>
      <c r="B592" s="2">
        <v>6131152</v>
      </c>
      <c r="C592" s="3" t="str">
        <f t="shared" si="638"/>
        <v>Nejasné</v>
      </c>
      <c r="D592" s="3" t="str">
        <f t="shared" si="639"/>
        <v>Nejasné</v>
      </c>
      <c r="E592" s="3" t="s">
        <v>49</v>
      </c>
      <c r="F592" s="3" t="s">
        <v>48</v>
      </c>
      <c r="G592" s="2" t="str">
        <f t="shared" si="640"/>
        <v>Malé zmluvy</v>
      </c>
      <c r="H592" s="5" t="s">
        <v>231</v>
      </c>
      <c r="I592" s="2" t="s">
        <v>232</v>
      </c>
      <c r="J592" s="2" t="s">
        <v>233</v>
      </c>
      <c r="K592" s="5">
        <v>36831221</v>
      </c>
      <c r="L592" s="2" t="s">
        <v>366</v>
      </c>
      <c r="M592" s="2" t="s">
        <v>367</v>
      </c>
      <c r="N592" s="6">
        <v>44560.589814814812</v>
      </c>
      <c r="O592" s="4">
        <v>473088</v>
      </c>
      <c r="P592" s="2">
        <v>114497</v>
      </c>
      <c r="Q592" s="2" t="s">
        <v>762</v>
      </c>
      <c r="R592" s="2" t="s">
        <v>763</v>
      </c>
      <c r="S592" s="2" t="s">
        <v>71</v>
      </c>
      <c r="T592" s="2" t="s">
        <v>71</v>
      </c>
      <c r="W592" s="4">
        <v>790</v>
      </c>
      <c r="X592" s="4">
        <v>948</v>
      </c>
      <c r="Y592" s="4">
        <f t="shared" ref="Y592" si="657">INDEX(InternalRates,MATCH($S592,InternalRates01,FALSE),2)</f>
        <v>354.0333333333333</v>
      </c>
      <c r="Z592" s="3" t="str">
        <f t="shared" ref="Z592:Z633" si="658">IF(W592&gt;0,IF(Y592&gt;W592,"Áno","Nie"),"Nie")</f>
        <v>Nie</v>
      </c>
      <c r="AA592" s="3" t="str">
        <f t="shared" ref="AA592:AA633" si="659">IF(E592="Nie","SLA",IF(F592="Nie","ZoD","SLA+ZoD"))</f>
        <v>ZoD</v>
      </c>
      <c r="AB592" s="4">
        <v>54</v>
      </c>
      <c r="AC592" s="4">
        <v>29.25</v>
      </c>
      <c r="AD592" s="3" t="s">
        <v>48</v>
      </c>
      <c r="AE592" s="6">
        <v>44581</v>
      </c>
      <c r="AF592" s="3" t="s">
        <v>59</v>
      </c>
      <c r="AG592" s="3" t="s">
        <v>49</v>
      </c>
      <c r="AH592" s="3">
        <f>YEAR(SrcDB[[#This Row],[Datum_zverejnenia]])</f>
        <v>2021</v>
      </c>
      <c r="AI592" s="3" cm="1">
        <f t="array" ref="AI592">COUNT(_xlfn.UNIQUE(_xlfn._xlws.FILTER(SrcDB[ID],SrcDB[Objednavatel_ICO]=$H592)))</f>
        <v>9</v>
      </c>
      <c r="AJ592" s="3" cm="1">
        <f t="array" ref="AJ592">COUNT(_xlfn.UNIQUE(_xlfn._xlws.FILTER(SrcDB[ID],SrcDB[Dodavatel_ICO]=$K592)))</f>
        <v>5</v>
      </c>
      <c r="AK592" s="3">
        <f t="shared" si="644"/>
        <v>1</v>
      </c>
      <c r="AL592" s="3">
        <f t="shared" si="645"/>
        <v>1</v>
      </c>
      <c r="AM592" s="17" t="str">
        <f>IF(SrcDB[[#This Row],[Pocet zmluv objednavatela]]&gt;3,SrcDB[[#This Row],[Objednavatel]],"Ostatné")</f>
        <v>Ministerstvo školstva, výskumu, vývoja a mládeže SR</v>
      </c>
      <c r="AN592" s="17" t="str">
        <f>IF(SrcDB[[#This Row],[Pocet zmluv dodavatela]]&gt;3,SrcDB[[#This Row],[Dodavatel]],"Ostatné")</f>
        <v>Aliter Technologies, a.s.</v>
      </c>
    </row>
    <row r="593" spans="1:40" x14ac:dyDescent="0.3">
      <c r="A593" s="2" t="s">
        <v>761</v>
      </c>
      <c r="B593" s="2">
        <v>6131152</v>
      </c>
      <c r="C593" s="3" t="str">
        <f t="shared" si="638"/>
        <v>Nejasné</v>
      </c>
      <c r="D593" s="3" t="str">
        <f t="shared" si="639"/>
        <v>Nejasné</v>
      </c>
      <c r="E593" s="3" t="s">
        <v>49</v>
      </c>
      <c r="F593" s="3" t="s">
        <v>48</v>
      </c>
      <c r="G593" s="2" t="str">
        <f t="shared" si="640"/>
        <v>Malé zmluvy</v>
      </c>
      <c r="H593" s="5" t="s">
        <v>231</v>
      </c>
      <c r="I593" s="2" t="s">
        <v>232</v>
      </c>
      <c r="J593" s="2" t="s">
        <v>764</v>
      </c>
      <c r="K593" s="5">
        <v>36831221</v>
      </c>
      <c r="L593" s="2" t="s">
        <v>366</v>
      </c>
      <c r="M593" s="2" t="s">
        <v>367</v>
      </c>
      <c r="N593" s="6">
        <v>44560.589814814812</v>
      </c>
      <c r="O593" s="4">
        <v>473088</v>
      </c>
      <c r="P593" s="2">
        <v>114497</v>
      </c>
      <c r="Q593" s="2" t="s">
        <v>762</v>
      </c>
      <c r="R593" s="2" t="s">
        <v>763</v>
      </c>
      <c r="S593" s="2" t="s">
        <v>73</v>
      </c>
      <c r="T593" s="2" t="s">
        <v>73</v>
      </c>
      <c r="W593" s="4">
        <v>720</v>
      </c>
      <c r="X593" s="4">
        <v>864</v>
      </c>
      <c r="Y593" s="4">
        <f t="shared" ref="Y593" si="660">INDEX(InternalRates,MATCH($S593,InternalRates01,FALSE),2)</f>
        <v>278.98333333333335</v>
      </c>
      <c r="Z593" s="3" t="str">
        <f t="shared" si="658"/>
        <v>Nie</v>
      </c>
      <c r="AA593" s="3" t="str">
        <f t="shared" si="659"/>
        <v>ZoD</v>
      </c>
      <c r="AB593" s="4">
        <v>22</v>
      </c>
      <c r="AC593" s="4">
        <v>11.916666666666666</v>
      </c>
      <c r="AD593" s="3" t="s">
        <v>48</v>
      </c>
      <c r="AE593" s="6">
        <v>44581</v>
      </c>
      <c r="AF593" s="3" t="s">
        <v>59</v>
      </c>
      <c r="AG593" s="3" t="s">
        <v>49</v>
      </c>
      <c r="AH593" s="3">
        <f>YEAR(SrcDB[[#This Row],[Datum_zverejnenia]])</f>
        <v>2021</v>
      </c>
      <c r="AI593" s="3" cm="1">
        <f t="array" ref="AI593">COUNT(_xlfn.UNIQUE(_xlfn._xlws.FILTER(SrcDB[ID],SrcDB[Objednavatel_ICO]=$H593)))</f>
        <v>9</v>
      </c>
      <c r="AJ593" s="3" cm="1">
        <f t="array" ref="AJ593">COUNT(_xlfn.UNIQUE(_xlfn._xlws.FILTER(SrcDB[ID],SrcDB[Dodavatel_ICO]=$K593)))</f>
        <v>5</v>
      </c>
      <c r="AK593" s="3">
        <f t="shared" si="644"/>
        <v>0</v>
      </c>
      <c r="AL593" s="3">
        <f t="shared" si="645"/>
        <v>0</v>
      </c>
      <c r="AM593" s="17" t="str">
        <f>IF(SrcDB[[#This Row],[Pocet zmluv objednavatela]]&gt;3,SrcDB[[#This Row],[Objednavatel]],"Ostatné")</f>
        <v>Ministerstvo školstva, výskumu, vývoja a mládeže SR</v>
      </c>
      <c r="AN593" s="17" t="str">
        <f>IF(SrcDB[[#This Row],[Pocet zmluv dodavatela]]&gt;3,SrcDB[[#This Row],[Dodavatel]],"Ostatné")</f>
        <v>Aliter Technologies, a.s.</v>
      </c>
    </row>
    <row r="594" spans="1:40" x14ac:dyDescent="0.3">
      <c r="A594" s="2" t="s">
        <v>761</v>
      </c>
      <c r="B594" s="2">
        <v>6131152</v>
      </c>
      <c r="C594" s="3" t="str">
        <f t="shared" si="638"/>
        <v>Nejasné</v>
      </c>
      <c r="D594" s="3" t="str">
        <f t="shared" si="639"/>
        <v>Nejasné</v>
      </c>
      <c r="E594" s="3" t="s">
        <v>49</v>
      </c>
      <c r="F594" s="3" t="s">
        <v>48</v>
      </c>
      <c r="G594" s="2" t="str">
        <f t="shared" si="640"/>
        <v>Malé zmluvy</v>
      </c>
      <c r="H594" s="5" t="s">
        <v>231</v>
      </c>
      <c r="I594" s="2" t="s">
        <v>232</v>
      </c>
      <c r="J594" s="2" t="s">
        <v>765</v>
      </c>
      <c r="K594" s="5">
        <v>36831221</v>
      </c>
      <c r="L594" s="2" t="s">
        <v>366</v>
      </c>
      <c r="M594" s="2" t="s">
        <v>367</v>
      </c>
      <c r="N594" s="6">
        <v>44560.589814814812</v>
      </c>
      <c r="O594" s="4">
        <v>473088</v>
      </c>
      <c r="P594" s="2">
        <v>114497</v>
      </c>
      <c r="Q594" s="2" t="s">
        <v>762</v>
      </c>
      <c r="R594" s="2" t="s">
        <v>763</v>
      </c>
      <c r="S594" s="2" t="s">
        <v>56</v>
      </c>
      <c r="T594" s="2" t="s">
        <v>94</v>
      </c>
      <c r="U594" s="2" t="s">
        <v>95</v>
      </c>
      <c r="W594" s="4">
        <v>790</v>
      </c>
      <c r="X594" s="4">
        <v>948</v>
      </c>
      <c r="Y594" s="4">
        <f t="shared" ref="Y594" si="661">INDEX(InternalRates,MATCH($S594,InternalRates01,FALSE),2)</f>
        <v>278.98333333333335</v>
      </c>
      <c r="Z594" s="3" t="str">
        <f t="shared" si="658"/>
        <v>Nie</v>
      </c>
      <c r="AA594" s="3" t="str">
        <f t="shared" si="659"/>
        <v>ZoD</v>
      </c>
      <c r="AB594" s="4">
        <v>4</v>
      </c>
      <c r="AC594" s="4">
        <v>2.1666666666666665</v>
      </c>
      <c r="AD594" s="3" t="s">
        <v>48</v>
      </c>
      <c r="AE594" s="6">
        <v>44581</v>
      </c>
      <c r="AF594" s="3" t="s">
        <v>59</v>
      </c>
      <c r="AG594" s="3" t="s">
        <v>49</v>
      </c>
      <c r="AH594" s="3">
        <f>YEAR(SrcDB[[#This Row],[Datum_zverejnenia]])</f>
        <v>2021</v>
      </c>
      <c r="AI594" s="3" cm="1">
        <f t="array" ref="AI594">COUNT(_xlfn.UNIQUE(_xlfn._xlws.FILTER(SrcDB[ID],SrcDB[Objednavatel_ICO]=$H594)))</f>
        <v>9</v>
      </c>
      <c r="AJ594" s="3" cm="1">
        <f t="array" ref="AJ594">COUNT(_xlfn.UNIQUE(_xlfn._xlws.FILTER(SrcDB[ID],SrcDB[Dodavatel_ICO]=$K594)))</f>
        <v>5</v>
      </c>
      <c r="AK594" s="3">
        <f t="shared" si="644"/>
        <v>0</v>
      </c>
      <c r="AL594" s="3">
        <f t="shared" si="645"/>
        <v>0</v>
      </c>
      <c r="AM594" s="17" t="str">
        <f>IF(SrcDB[[#This Row],[Pocet zmluv objednavatela]]&gt;3,SrcDB[[#This Row],[Objednavatel]],"Ostatné")</f>
        <v>Ministerstvo školstva, výskumu, vývoja a mládeže SR</v>
      </c>
      <c r="AN594" s="17" t="str">
        <f>IF(SrcDB[[#This Row],[Pocet zmluv dodavatela]]&gt;3,SrcDB[[#This Row],[Dodavatel]],"Ostatné")</f>
        <v>Aliter Technologies, a.s.</v>
      </c>
    </row>
    <row r="595" spans="1:40" x14ac:dyDescent="0.3">
      <c r="A595" s="2" t="s">
        <v>761</v>
      </c>
      <c r="B595" s="2">
        <v>6131152</v>
      </c>
      <c r="C595" s="3" t="str">
        <f t="shared" si="638"/>
        <v>Nejasné</v>
      </c>
      <c r="D595" s="3" t="str">
        <f t="shared" si="639"/>
        <v>Nejasné</v>
      </c>
      <c r="E595" s="3" t="s">
        <v>49</v>
      </c>
      <c r="F595" s="3" t="s">
        <v>48</v>
      </c>
      <c r="G595" s="2" t="str">
        <f t="shared" si="640"/>
        <v>Malé zmluvy</v>
      </c>
      <c r="H595" s="5" t="s">
        <v>231</v>
      </c>
      <c r="I595" s="2" t="s">
        <v>232</v>
      </c>
      <c r="J595" s="2" t="s">
        <v>766</v>
      </c>
      <c r="K595" s="5">
        <v>36831221</v>
      </c>
      <c r="L595" s="2" t="s">
        <v>366</v>
      </c>
      <c r="M595" s="2" t="s">
        <v>367</v>
      </c>
      <c r="N595" s="6">
        <v>44560.589814814812</v>
      </c>
      <c r="O595" s="4">
        <v>473088</v>
      </c>
      <c r="P595" s="2">
        <v>114497</v>
      </c>
      <c r="Q595" s="2" t="s">
        <v>762</v>
      </c>
      <c r="R595" s="2" t="s">
        <v>763</v>
      </c>
      <c r="S595" s="2" t="s">
        <v>69</v>
      </c>
      <c r="T595" s="2" t="s">
        <v>70</v>
      </c>
      <c r="W595" s="4">
        <v>780</v>
      </c>
      <c r="X595" s="4">
        <v>936</v>
      </c>
      <c r="Y595" s="4">
        <f t="shared" ref="Y595" si="662">INDEX(InternalRates,MATCH($S595,InternalRates01,FALSE),2)</f>
        <v>278.98333333333335</v>
      </c>
      <c r="Z595" s="3" t="str">
        <f t="shared" si="658"/>
        <v>Nie</v>
      </c>
      <c r="AA595" s="3" t="str">
        <f t="shared" si="659"/>
        <v>ZoD</v>
      </c>
      <c r="AB595" s="4">
        <v>22</v>
      </c>
      <c r="AC595" s="4">
        <v>11.916666666666666</v>
      </c>
      <c r="AD595" s="3" t="s">
        <v>48</v>
      </c>
      <c r="AE595" s="6">
        <v>44581</v>
      </c>
      <c r="AF595" s="3" t="s">
        <v>59</v>
      </c>
      <c r="AG595" s="3" t="s">
        <v>49</v>
      </c>
      <c r="AH595" s="3">
        <f>YEAR(SrcDB[[#This Row],[Datum_zverejnenia]])</f>
        <v>2021</v>
      </c>
      <c r="AI595" s="3" cm="1">
        <f t="array" ref="AI595">COUNT(_xlfn.UNIQUE(_xlfn._xlws.FILTER(SrcDB[ID],SrcDB[Objednavatel_ICO]=$H595)))</f>
        <v>9</v>
      </c>
      <c r="AJ595" s="3" cm="1">
        <f t="array" ref="AJ595">COUNT(_xlfn.UNIQUE(_xlfn._xlws.FILTER(SrcDB[ID],SrcDB[Dodavatel_ICO]=$K595)))</f>
        <v>5</v>
      </c>
      <c r="AK595" s="3">
        <f t="shared" si="644"/>
        <v>0</v>
      </c>
      <c r="AL595" s="3">
        <f t="shared" si="645"/>
        <v>0</v>
      </c>
      <c r="AM595" s="17" t="str">
        <f>IF(SrcDB[[#This Row],[Pocet zmluv objednavatela]]&gt;3,SrcDB[[#This Row],[Objednavatel]],"Ostatné")</f>
        <v>Ministerstvo školstva, výskumu, vývoja a mládeže SR</v>
      </c>
      <c r="AN595" s="17" t="str">
        <f>IF(SrcDB[[#This Row],[Pocet zmluv dodavatela]]&gt;3,SrcDB[[#This Row],[Dodavatel]],"Ostatné")</f>
        <v>Aliter Technologies, a.s.</v>
      </c>
    </row>
    <row r="596" spans="1:40" x14ac:dyDescent="0.3">
      <c r="A596" s="2" t="s">
        <v>761</v>
      </c>
      <c r="B596" s="2">
        <v>6131152</v>
      </c>
      <c r="C596" s="3" t="str">
        <f t="shared" si="638"/>
        <v>Nejasné</v>
      </c>
      <c r="D596" s="3" t="str">
        <f t="shared" si="639"/>
        <v>Nejasné</v>
      </c>
      <c r="E596" s="3" t="s">
        <v>49</v>
      </c>
      <c r="F596" s="3" t="s">
        <v>48</v>
      </c>
      <c r="G596" s="2" t="str">
        <f t="shared" si="640"/>
        <v>Malé zmluvy</v>
      </c>
      <c r="H596" s="5" t="s">
        <v>231</v>
      </c>
      <c r="I596" s="2" t="s">
        <v>232</v>
      </c>
      <c r="J596" s="2" t="s">
        <v>767</v>
      </c>
      <c r="K596" s="5">
        <v>36831221</v>
      </c>
      <c r="L596" s="2" t="s">
        <v>366</v>
      </c>
      <c r="M596" s="2" t="s">
        <v>367</v>
      </c>
      <c r="N596" s="6">
        <v>44560.589814814812</v>
      </c>
      <c r="O596" s="4">
        <v>473088</v>
      </c>
      <c r="P596" s="2">
        <v>114497</v>
      </c>
      <c r="Q596" s="2" t="s">
        <v>762</v>
      </c>
      <c r="R596" s="2" t="s">
        <v>763</v>
      </c>
      <c r="S596" s="2" t="s">
        <v>56</v>
      </c>
      <c r="T596" s="2" t="s">
        <v>768</v>
      </c>
      <c r="U596" s="2" t="s">
        <v>97</v>
      </c>
      <c r="W596" s="4">
        <v>720</v>
      </c>
      <c r="X596" s="4">
        <v>864</v>
      </c>
      <c r="Y596" s="4">
        <f t="shared" ref="Y596" si="663">INDEX(InternalRates,MATCH($S596,InternalRates01,FALSE),2)</f>
        <v>278.98333333333335</v>
      </c>
      <c r="Z596" s="3" t="str">
        <f t="shared" si="658"/>
        <v>Nie</v>
      </c>
      <c r="AA596" s="3" t="str">
        <f t="shared" si="659"/>
        <v>ZoD</v>
      </c>
      <c r="AB596" s="4">
        <v>69.5</v>
      </c>
      <c r="AC596" s="4">
        <v>37.645833333333336</v>
      </c>
      <c r="AD596" s="3" t="s">
        <v>48</v>
      </c>
      <c r="AE596" s="6">
        <v>44581</v>
      </c>
      <c r="AF596" s="3" t="s">
        <v>59</v>
      </c>
      <c r="AG596" s="3" t="s">
        <v>49</v>
      </c>
      <c r="AH596" s="3">
        <f>YEAR(SrcDB[[#This Row],[Datum_zverejnenia]])</f>
        <v>2021</v>
      </c>
      <c r="AI596" s="3" cm="1">
        <f t="array" ref="AI596">COUNT(_xlfn.UNIQUE(_xlfn._xlws.FILTER(SrcDB[ID],SrcDB[Objednavatel_ICO]=$H596)))</f>
        <v>9</v>
      </c>
      <c r="AJ596" s="3" cm="1">
        <f t="array" ref="AJ596">COUNT(_xlfn.UNIQUE(_xlfn._xlws.FILTER(SrcDB[ID],SrcDB[Dodavatel_ICO]=$K596)))</f>
        <v>5</v>
      </c>
      <c r="AK596" s="3">
        <f t="shared" si="644"/>
        <v>0</v>
      </c>
      <c r="AL596" s="3">
        <f t="shared" si="645"/>
        <v>0</v>
      </c>
      <c r="AM596" s="17" t="str">
        <f>IF(SrcDB[[#This Row],[Pocet zmluv objednavatela]]&gt;3,SrcDB[[#This Row],[Objednavatel]],"Ostatné")</f>
        <v>Ministerstvo školstva, výskumu, vývoja a mládeže SR</v>
      </c>
      <c r="AN596" s="17" t="str">
        <f>IF(SrcDB[[#This Row],[Pocet zmluv dodavatela]]&gt;3,SrcDB[[#This Row],[Dodavatel]],"Ostatné")</f>
        <v>Aliter Technologies, a.s.</v>
      </c>
    </row>
    <row r="597" spans="1:40" x14ac:dyDescent="0.3">
      <c r="A597" s="2" t="s">
        <v>761</v>
      </c>
      <c r="B597" s="2">
        <v>6131152</v>
      </c>
      <c r="C597" s="3" t="str">
        <f t="shared" si="638"/>
        <v>Nejasné</v>
      </c>
      <c r="D597" s="3" t="str">
        <f t="shared" si="639"/>
        <v>Nejasné</v>
      </c>
      <c r="E597" s="3" t="s">
        <v>49</v>
      </c>
      <c r="F597" s="3" t="s">
        <v>48</v>
      </c>
      <c r="G597" s="2" t="str">
        <f t="shared" si="640"/>
        <v>Malé zmluvy</v>
      </c>
      <c r="H597" s="5" t="s">
        <v>231</v>
      </c>
      <c r="I597" s="2" t="s">
        <v>232</v>
      </c>
      <c r="J597" s="2" t="s">
        <v>769</v>
      </c>
      <c r="K597" s="5">
        <v>36831221</v>
      </c>
      <c r="L597" s="2" t="s">
        <v>366</v>
      </c>
      <c r="M597" s="2" t="s">
        <v>367</v>
      </c>
      <c r="N597" s="6">
        <v>44560.589814814812</v>
      </c>
      <c r="O597" s="4">
        <v>473088</v>
      </c>
      <c r="P597" s="2">
        <v>114497</v>
      </c>
      <c r="Q597" s="2" t="s">
        <v>762</v>
      </c>
      <c r="R597" s="2" t="s">
        <v>763</v>
      </c>
      <c r="S597" s="2" t="s">
        <v>56</v>
      </c>
      <c r="T597" s="2" t="s">
        <v>592</v>
      </c>
      <c r="U597" s="2" t="s">
        <v>97</v>
      </c>
      <c r="W597" s="4">
        <v>720</v>
      </c>
      <c r="X597" s="4">
        <v>864</v>
      </c>
      <c r="Y597" s="4">
        <f t="shared" ref="Y597" si="664">INDEX(InternalRates,MATCH($S597,InternalRates01,FALSE),2)</f>
        <v>278.98333333333335</v>
      </c>
      <c r="Z597" s="3" t="str">
        <f t="shared" si="658"/>
        <v>Nie</v>
      </c>
      <c r="AA597" s="3" t="str">
        <f t="shared" si="659"/>
        <v>ZoD</v>
      </c>
      <c r="AB597" s="4">
        <v>69.5</v>
      </c>
      <c r="AC597" s="4">
        <v>37.645833333333336</v>
      </c>
      <c r="AD597" s="3" t="s">
        <v>48</v>
      </c>
      <c r="AE597" s="6">
        <v>44581</v>
      </c>
      <c r="AF597" s="3" t="s">
        <v>59</v>
      </c>
      <c r="AG597" s="3" t="s">
        <v>49</v>
      </c>
      <c r="AH597" s="3">
        <f>YEAR(SrcDB[[#This Row],[Datum_zverejnenia]])</f>
        <v>2021</v>
      </c>
      <c r="AI597" s="3" cm="1">
        <f t="array" ref="AI597">COUNT(_xlfn.UNIQUE(_xlfn._xlws.FILTER(SrcDB[ID],SrcDB[Objednavatel_ICO]=$H597)))</f>
        <v>9</v>
      </c>
      <c r="AJ597" s="3" cm="1">
        <f t="array" ref="AJ597">COUNT(_xlfn.UNIQUE(_xlfn._xlws.FILTER(SrcDB[ID],SrcDB[Dodavatel_ICO]=$K597)))</f>
        <v>5</v>
      </c>
      <c r="AK597" s="3">
        <f t="shared" si="644"/>
        <v>0</v>
      </c>
      <c r="AL597" s="3">
        <f t="shared" si="645"/>
        <v>0</v>
      </c>
      <c r="AM597" s="17" t="str">
        <f>IF(SrcDB[[#This Row],[Pocet zmluv objednavatela]]&gt;3,SrcDB[[#This Row],[Objednavatel]],"Ostatné")</f>
        <v>Ministerstvo školstva, výskumu, vývoja a mládeže SR</v>
      </c>
      <c r="AN597" s="17" t="str">
        <f>IF(SrcDB[[#This Row],[Pocet zmluv dodavatela]]&gt;3,SrcDB[[#This Row],[Dodavatel]],"Ostatné")</f>
        <v>Aliter Technologies, a.s.</v>
      </c>
    </row>
    <row r="598" spans="1:40" x14ac:dyDescent="0.3">
      <c r="A598" s="2" t="s">
        <v>761</v>
      </c>
      <c r="B598" s="2">
        <v>6131152</v>
      </c>
      <c r="C598" s="3" t="str">
        <f t="shared" si="638"/>
        <v>Nejasné</v>
      </c>
      <c r="D598" s="3" t="str">
        <f t="shared" si="639"/>
        <v>Nejasné</v>
      </c>
      <c r="E598" s="3" t="s">
        <v>49</v>
      </c>
      <c r="F598" s="3" t="s">
        <v>48</v>
      </c>
      <c r="G598" s="2" t="str">
        <f t="shared" si="640"/>
        <v>Malé zmluvy</v>
      </c>
      <c r="H598" s="5" t="s">
        <v>231</v>
      </c>
      <c r="I598" s="2" t="s">
        <v>232</v>
      </c>
      <c r="J598" s="2" t="s">
        <v>770</v>
      </c>
      <c r="K598" s="5">
        <v>36831221</v>
      </c>
      <c r="L598" s="2" t="s">
        <v>366</v>
      </c>
      <c r="M598" s="2" t="s">
        <v>367</v>
      </c>
      <c r="N598" s="6">
        <v>44560.589814814812</v>
      </c>
      <c r="O598" s="4">
        <v>473088</v>
      </c>
      <c r="P598" s="2">
        <v>114497</v>
      </c>
      <c r="Q598" s="2" t="s">
        <v>762</v>
      </c>
      <c r="R598" s="2" t="s">
        <v>763</v>
      </c>
      <c r="S598" s="2" t="s">
        <v>56</v>
      </c>
      <c r="T598" s="2" t="s">
        <v>286</v>
      </c>
      <c r="U598" s="2" t="s">
        <v>129</v>
      </c>
      <c r="W598" s="4">
        <v>780</v>
      </c>
      <c r="X598" s="4">
        <v>936</v>
      </c>
      <c r="Y598" s="4">
        <f t="shared" ref="Y598" si="665">INDEX(InternalRates,MATCH($S598,InternalRates01,FALSE),2)</f>
        <v>278.98333333333335</v>
      </c>
      <c r="Z598" s="3" t="str">
        <f t="shared" si="658"/>
        <v>Nie</v>
      </c>
      <c r="AA598" s="3" t="str">
        <f t="shared" si="659"/>
        <v>ZoD</v>
      </c>
      <c r="AB598" s="4">
        <v>155</v>
      </c>
      <c r="AC598" s="4">
        <v>83.958333333333329</v>
      </c>
      <c r="AD598" s="3" t="s">
        <v>48</v>
      </c>
      <c r="AE598" s="6">
        <v>44581</v>
      </c>
      <c r="AF598" s="3" t="s">
        <v>59</v>
      </c>
      <c r="AG598" s="3" t="s">
        <v>49</v>
      </c>
      <c r="AH598" s="3">
        <f>YEAR(SrcDB[[#This Row],[Datum_zverejnenia]])</f>
        <v>2021</v>
      </c>
      <c r="AI598" s="3" cm="1">
        <f t="array" ref="AI598">COUNT(_xlfn.UNIQUE(_xlfn._xlws.FILTER(SrcDB[ID],SrcDB[Objednavatel_ICO]=$H598)))</f>
        <v>9</v>
      </c>
      <c r="AJ598" s="3" cm="1">
        <f t="array" ref="AJ598">COUNT(_xlfn.UNIQUE(_xlfn._xlws.FILTER(SrcDB[ID],SrcDB[Dodavatel_ICO]=$K598)))</f>
        <v>5</v>
      </c>
      <c r="AK598" s="3">
        <f t="shared" si="644"/>
        <v>0</v>
      </c>
      <c r="AL598" s="3">
        <f t="shared" si="645"/>
        <v>0</v>
      </c>
      <c r="AM598" s="17" t="str">
        <f>IF(SrcDB[[#This Row],[Pocet zmluv objednavatela]]&gt;3,SrcDB[[#This Row],[Objednavatel]],"Ostatné")</f>
        <v>Ministerstvo školstva, výskumu, vývoja a mládeže SR</v>
      </c>
      <c r="AN598" s="17" t="str">
        <f>IF(SrcDB[[#This Row],[Pocet zmluv dodavatela]]&gt;3,SrcDB[[#This Row],[Dodavatel]],"Ostatné")</f>
        <v>Aliter Technologies, a.s.</v>
      </c>
    </row>
    <row r="599" spans="1:40" x14ac:dyDescent="0.3">
      <c r="A599" s="2" t="s">
        <v>761</v>
      </c>
      <c r="B599" s="2">
        <v>6131152</v>
      </c>
      <c r="C599" s="3" t="str">
        <f t="shared" si="638"/>
        <v>Nejasné</v>
      </c>
      <c r="D599" s="3" t="str">
        <f t="shared" si="639"/>
        <v>Nejasné</v>
      </c>
      <c r="E599" s="3" t="s">
        <v>49</v>
      </c>
      <c r="F599" s="3" t="s">
        <v>48</v>
      </c>
      <c r="G599" s="2" t="str">
        <f t="shared" si="640"/>
        <v>Malé zmluvy</v>
      </c>
      <c r="H599" s="5" t="s">
        <v>231</v>
      </c>
      <c r="I599" s="2" t="s">
        <v>232</v>
      </c>
      <c r="J599" s="2" t="s">
        <v>771</v>
      </c>
      <c r="K599" s="5">
        <v>36831221</v>
      </c>
      <c r="L599" s="2" t="s">
        <v>366</v>
      </c>
      <c r="M599" s="2" t="s">
        <v>367</v>
      </c>
      <c r="N599" s="6">
        <v>44560.589814814812</v>
      </c>
      <c r="O599" s="4">
        <v>473088</v>
      </c>
      <c r="P599" s="2">
        <v>114497</v>
      </c>
      <c r="Q599" s="2" t="s">
        <v>762</v>
      </c>
      <c r="R599" s="2" t="s">
        <v>763</v>
      </c>
      <c r="S599" s="2" t="s">
        <v>77</v>
      </c>
      <c r="T599" s="2" t="s">
        <v>77</v>
      </c>
      <c r="W599" s="4">
        <v>640</v>
      </c>
      <c r="X599" s="4">
        <v>768</v>
      </c>
      <c r="Y599" s="4">
        <f t="shared" ref="Y599" si="666">INDEX(InternalRates,MATCH($S599,InternalRates01,FALSE),2)</f>
        <v>278.98333333333335</v>
      </c>
      <c r="Z599" s="3" t="str">
        <f t="shared" si="658"/>
        <v>Nie</v>
      </c>
      <c r="AA599" s="3" t="str">
        <f t="shared" si="659"/>
        <v>ZoD</v>
      </c>
      <c r="AB599" s="4">
        <v>85</v>
      </c>
      <c r="AC599" s="4">
        <v>46.041666666666664</v>
      </c>
      <c r="AD599" s="3" t="s">
        <v>48</v>
      </c>
      <c r="AE599" s="6">
        <v>44581</v>
      </c>
      <c r="AF599" s="3" t="s">
        <v>59</v>
      </c>
      <c r="AG599" s="3" t="s">
        <v>49</v>
      </c>
      <c r="AH599" s="3">
        <f>YEAR(SrcDB[[#This Row],[Datum_zverejnenia]])</f>
        <v>2021</v>
      </c>
      <c r="AI599" s="3" cm="1">
        <f t="array" ref="AI599">COUNT(_xlfn.UNIQUE(_xlfn._xlws.FILTER(SrcDB[ID],SrcDB[Objednavatel_ICO]=$H599)))</f>
        <v>9</v>
      </c>
      <c r="AJ599" s="3" cm="1">
        <f t="array" ref="AJ599">COUNT(_xlfn.UNIQUE(_xlfn._xlws.FILTER(SrcDB[ID],SrcDB[Dodavatel_ICO]=$K599)))</f>
        <v>5</v>
      </c>
      <c r="AK599" s="3">
        <f t="shared" si="644"/>
        <v>0</v>
      </c>
      <c r="AL599" s="3">
        <f t="shared" si="645"/>
        <v>0</v>
      </c>
      <c r="AM599" s="17" t="str">
        <f>IF(SrcDB[[#This Row],[Pocet zmluv objednavatela]]&gt;3,SrcDB[[#This Row],[Objednavatel]],"Ostatné")</f>
        <v>Ministerstvo školstva, výskumu, vývoja a mládeže SR</v>
      </c>
      <c r="AN599" s="17" t="str">
        <f>IF(SrcDB[[#This Row],[Pocet zmluv dodavatela]]&gt;3,SrcDB[[#This Row],[Dodavatel]],"Ostatné")</f>
        <v>Aliter Technologies, a.s.</v>
      </c>
    </row>
    <row r="600" spans="1:40" x14ac:dyDescent="0.3">
      <c r="A600" s="2" t="s">
        <v>761</v>
      </c>
      <c r="B600" s="2">
        <v>6131152</v>
      </c>
      <c r="C600" s="3" t="str">
        <f t="shared" si="638"/>
        <v>Nejasné</v>
      </c>
      <c r="D600" s="3" t="str">
        <f t="shared" si="639"/>
        <v>Nejasné</v>
      </c>
      <c r="E600" s="3" t="s">
        <v>49</v>
      </c>
      <c r="F600" s="3" t="s">
        <v>48</v>
      </c>
      <c r="G600" s="2" t="str">
        <f t="shared" si="640"/>
        <v>Malé zmluvy</v>
      </c>
      <c r="H600" s="5" t="s">
        <v>231</v>
      </c>
      <c r="I600" s="2" t="s">
        <v>232</v>
      </c>
      <c r="J600" s="2" t="s">
        <v>772</v>
      </c>
      <c r="K600" s="5">
        <v>36831221</v>
      </c>
      <c r="L600" s="2" t="s">
        <v>366</v>
      </c>
      <c r="M600" s="2" t="s">
        <v>367</v>
      </c>
      <c r="N600" s="6">
        <v>44560.589814814812</v>
      </c>
      <c r="O600" s="4">
        <v>473088</v>
      </c>
      <c r="P600" s="2">
        <v>114497</v>
      </c>
      <c r="Q600" s="2" t="s">
        <v>762</v>
      </c>
      <c r="R600" s="2" t="s">
        <v>763</v>
      </c>
      <c r="S600" s="2" t="s">
        <v>98</v>
      </c>
      <c r="T600" s="2" t="s">
        <v>98</v>
      </c>
      <c r="W600" s="4">
        <v>700</v>
      </c>
      <c r="X600" s="4">
        <v>840</v>
      </c>
      <c r="Y600" s="4">
        <f t="shared" ref="Y600" si="667">INDEX(InternalRates,MATCH($S600,InternalRates01,FALSE),2)</f>
        <v>278.98333333333335</v>
      </c>
      <c r="Z600" s="3" t="str">
        <f t="shared" si="658"/>
        <v>Nie</v>
      </c>
      <c r="AA600" s="3" t="str">
        <f t="shared" si="659"/>
        <v>ZoD</v>
      </c>
      <c r="AB600" s="4">
        <v>6</v>
      </c>
      <c r="AC600" s="4">
        <v>3.25</v>
      </c>
      <c r="AD600" s="3" t="s">
        <v>48</v>
      </c>
      <c r="AE600" s="6">
        <v>44581</v>
      </c>
      <c r="AF600" s="3" t="s">
        <v>59</v>
      </c>
      <c r="AG600" s="3" t="s">
        <v>49</v>
      </c>
      <c r="AH600" s="3">
        <f>YEAR(SrcDB[[#This Row],[Datum_zverejnenia]])</f>
        <v>2021</v>
      </c>
      <c r="AI600" s="3" cm="1">
        <f t="array" ref="AI600">COUNT(_xlfn.UNIQUE(_xlfn._xlws.FILTER(SrcDB[ID],SrcDB[Objednavatel_ICO]=$H600)))</f>
        <v>9</v>
      </c>
      <c r="AJ600" s="3" cm="1">
        <f t="array" ref="AJ600">COUNT(_xlfn.UNIQUE(_xlfn._xlws.FILTER(SrcDB[ID],SrcDB[Dodavatel_ICO]=$K600)))</f>
        <v>5</v>
      </c>
      <c r="AK600" s="3">
        <f t="shared" si="644"/>
        <v>0</v>
      </c>
      <c r="AL600" s="3">
        <f t="shared" si="645"/>
        <v>0</v>
      </c>
      <c r="AM600" s="17" t="str">
        <f>IF(SrcDB[[#This Row],[Pocet zmluv objednavatela]]&gt;3,SrcDB[[#This Row],[Objednavatel]],"Ostatné")</f>
        <v>Ministerstvo školstva, výskumu, vývoja a mládeže SR</v>
      </c>
      <c r="AN600" s="17" t="str">
        <f>IF(SrcDB[[#This Row],[Pocet zmluv dodavatela]]&gt;3,SrcDB[[#This Row],[Dodavatel]],"Ostatné")</f>
        <v>Aliter Technologies, a.s.</v>
      </c>
    </row>
    <row r="601" spans="1:40" x14ac:dyDescent="0.3">
      <c r="A601" s="2" t="s">
        <v>761</v>
      </c>
      <c r="B601" s="2">
        <v>6131152</v>
      </c>
      <c r="C601" s="3" t="str">
        <f t="shared" si="638"/>
        <v>Nejasné</v>
      </c>
      <c r="D601" s="3" t="str">
        <f t="shared" si="639"/>
        <v>Nejasné</v>
      </c>
      <c r="E601" s="3" t="s">
        <v>49</v>
      </c>
      <c r="F601" s="3" t="s">
        <v>48</v>
      </c>
      <c r="G601" s="2" t="str">
        <f t="shared" si="640"/>
        <v>Malé zmluvy</v>
      </c>
      <c r="H601" s="5" t="s">
        <v>231</v>
      </c>
      <c r="I601" s="2" t="s">
        <v>232</v>
      </c>
      <c r="J601" s="2" t="s">
        <v>772</v>
      </c>
      <c r="K601" s="5">
        <v>36831221</v>
      </c>
      <c r="L601" s="2" t="s">
        <v>366</v>
      </c>
      <c r="M601" s="2" t="s">
        <v>367</v>
      </c>
      <c r="N601" s="6">
        <v>44560.589814814812</v>
      </c>
      <c r="O601" s="4">
        <v>473088</v>
      </c>
      <c r="P601" s="2">
        <v>114497</v>
      </c>
      <c r="Q601" s="2" t="s">
        <v>762</v>
      </c>
      <c r="R601" s="2" t="s">
        <v>763</v>
      </c>
      <c r="S601" s="2" t="s">
        <v>79</v>
      </c>
      <c r="T601" s="2" t="s">
        <v>79</v>
      </c>
      <c r="W601" s="4">
        <v>560</v>
      </c>
      <c r="X601" s="4">
        <v>672</v>
      </c>
      <c r="Y601" s="4">
        <f t="shared" ref="Y601" si="668">INDEX(InternalRates,MATCH($S601,InternalRates01,FALSE),2)</f>
        <v>278.98333333333335</v>
      </c>
      <c r="Z601" s="3" t="str">
        <f t="shared" si="658"/>
        <v>Nie</v>
      </c>
      <c r="AA601" s="3" t="str">
        <f t="shared" si="659"/>
        <v>ZoD</v>
      </c>
      <c r="AB601" s="4">
        <v>64</v>
      </c>
      <c r="AC601" s="4">
        <v>34.666666666666664</v>
      </c>
      <c r="AD601" s="3" t="s">
        <v>48</v>
      </c>
      <c r="AE601" s="6">
        <v>44581</v>
      </c>
      <c r="AF601" s="3" t="s">
        <v>59</v>
      </c>
      <c r="AG601" s="3" t="s">
        <v>49</v>
      </c>
      <c r="AH601" s="3">
        <f>YEAR(SrcDB[[#This Row],[Datum_zverejnenia]])</f>
        <v>2021</v>
      </c>
      <c r="AI601" s="3" cm="1">
        <f t="array" ref="AI601">COUNT(_xlfn.UNIQUE(_xlfn._xlws.FILTER(SrcDB[ID],SrcDB[Objednavatel_ICO]=$H601)))</f>
        <v>9</v>
      </c>
      <c r="AJ601" s="3" cm="1">
        <f t="array" ref="AJ601">COUNT(_xlfn.UNIQUE(_xlfn._xlws.FILTER(SrcDB[ID],SrcDB[Dodavatel_ICO]=$K601)))</f>
        <v>5</v>
      </c>
      <c r="AK601" s="3">
        <f t="shared" si="644"/>
        <v>0</v>
      </c>
      <c r="AL601" s="3">
        <f t="shared" si="645"/>
        <v>0</v>
      </c>
      <c r="AM601" s="17" t="str">
        <f>IF(SrcDB[[#This Row],[Pocet zmluv objednavatela]]&gt;3,SrcDB[[#This Row],[Objednavatel]],"Ostatné")</f>
        <v>Ministerstvo školstva, výskumu, vývoja a mládeže SR</v>
      </c>
      <c r="AN601" s="17" t="str">
        <f>IF(SrcDB[[#This Row],[Pocet zmluv dodavatela]]&gt;3,SrcDB[[#This Row],[Dodavatel]],"Ostatné")</f>
        <v>Aliter Technologies, a.s.</v>
      </c>
    </row>
    <row r="602" spans="1:40" x14ac:dyDescent="0.3">
      <c r="A602" s="2" t="s">
        <v>761</v>
      </c>
      <c r="B602" s="2">
        <v>6131152</v>
      </c>
      <c r="C602" s="3" t="str">
        <f t="shared" si="638"/>
        <v>Nejasné</v>
      </c>
      <c r="D602" s="3" t="str">
        <f t="shared" si="639"/>
        <v>Nejasné</v>
      </c>
      <c r="E602" s="3" t="s">
        <v>48</v>
      </c>
      <c r="F602" s="3" t="s">
        <v>49</v>
      </c>
      <c r="G602" s="2" t="str">
        <f t="shared" si="640"/>
        <v>Malé zmluvy</v>
      </c>
      <c r="H602" s="5" t="s">
        <v>231</v>
      </c>
      <c r="I602" s="2" t="s">
        <v>232</v>
      </c>
      <c r="J602" s="2" t="s">
        <v>233</v>
      </c>
      <c r="K602" s="5">
        <v>36831221</v>
      </c>
      <c r="L602" s="2" t="s">
        <v>366</v>
      </c>
      <c r="M602" s="2" t="s">
        <v>367</v>
      </c>
      <c r="N602" s="6">
        <v>44560.589814814812</v>
      </c>
      <c r="O602" s="4">
        <v>473088</v>
      </c>
      <c r="P602" s="2">
        <v>114497</v>
      </c>
      <c r="Q602" s="2" t="s">
        <v>762</v>
      </c>
      <c r="R602" s="2" t="s">
        <v>763</v>
      </c>
      <c r="S602" s="2" t="s">
        <v>71</v>
      </c>
      <c r="T602" s="2" t="s">
        <v>71</v>
      </c>
      <c r="W602" s="4">
        <v>790</v>
      </c>
      <c r="X602" s="4">
        <v>948</v>
      </c>
      <c r="Y602" s="4">
        <f t="shared" ref="Y602" si="669">INDEX(InternalRates,MATCH($S602,InternalRates01,FALSE),2)</f>
        <v>354.0333333333333</v>
      </c>
      <c r="Z602" s="3" t="str">
        <f t="shared" si="658"/>
        <v>Nie</v>
      </c>
      <c r="AA602" s="3" t="str">
        <f t="shared" si="659"/>
        <v>SLA</v>
      </c>
      <c r="AB602" s="4">
        <v>54</v>
      </c>
      <c r="AD602" s="3" t="s">
        <v>48</v>
      </c>
      <c r="AE602" s="6">
        <v>44937</v>
      </c>
      <c r="AF602" s="3" t="s">
        <v>59</v>
      </c>
      <c r="AG602" s="3" t="s">
        <v>49</v>
      </c>
      <c r="AH602" s="3">
        <f>YEAR(SrcDB[[#This Row],[Datum_zverejnenia]])</f>
        <v>2021</v>
      </c>
      <c r="AI602" s="3" cm="1">
        <f t="array" ref="AI602">COUNT(_xlfn.UNIQUE(_xlfn._xlws.FILTER(SrcDB[ID],SrcDB[Objednavatel_ICO]=$H602)))</f>
        <v>9</v>
      </c>
      <c r="AJ602" s="3" cm="1">
        <f t="array" ref="AJ602">COUNT(_xlfn.UNIQUE(_xlfn._xlws.FILTER(SrcDB[ID],SrcDB[Dodavatel_ICO]=$K602)))</f>
        <v>5</v>
      </c>
      <c r="AK602" s="3">
        <f t="shared" si="644"/>
        <v>0</v>
      </c>
      <c r="AL602" s="3">
        <f t="shared" si="645"/>
        <v>0</v>
      </c>
      <c r="AM602" s="17" t="str">
        <f>IF(SrcDB[[#This Row],[Pocet zmluv objednavatela]]&gt;3,SrcDB[[#This Row],[Objednavatel]],"Ostatné")</f>
        <v>Ministerstvo školstva, výskumu, vývoja a mládeže SR</v>
      </c>
      <c r="AN602" s="17" t="str">
        <f>IF(SrcDB[[#This Row],[Pocet zmluv dodavatela]]&gt;3,SrcDB[[#This Row],[Dodavatel]],"Ostatné")</f>
        <v>Aliter Technologies, a.s.</v>
      </c>
    </row>
    <row r="603" spans="1:40" x14ac:dyDescent="0.3">
      <c r="A603" s="2" t="s">
        <v>761</v>
      </c>
      <c r="B603" s="2">
        <v>6131152</v>
      </c>
      <c r="C603" s="3" t="str">
        <f t="shared" si="638"/>
        <v>Nejasné</v>
      </c>
      <c r="D603" s="3" t="str">
        <f t="shared" si="639"/>
        <v>Nejasné</v>
      </c>
      <c r="E603" s="3" t="s">
        <v>48</v>
      </c>
      <c r="F603" s="3" t="s">
        <v>49</v>
      </c>
      <c r="G603" s="2" t="str">
        <f t="shared" si="640"/>
        <v>Malé zmluvy</v>
      </c>
      <c r="H603" s="5" t="s">
        <v>231</v>
      </c>
      <c r="I603" s="2" t="s">
        <v>232</v>
      </c>
      <c r="J603" s="2" t="s">
        <v>233</v>
      </c>
      <c r="K603" s="5">
        <v>36831221</v>
      </c>
      <c r="L603" s="2" t="s">
        <v>366</v>
      </c>
      <c r="M603" s="2" t="s">
        <v>367</v>
      </c>
      <c r="N603" s="6">
        <v>44560.589814814812</v>
      </c>
      <c r="O603" s="4">
        <v>473088</v>
      </c>
      <c r="P603" s="2">
        <v>114497</v>
      </c>
      <c r="Q603" s="2" t="s">
        <v>762</v>
      </c>
      <c r="R603" s="2" t="s">
        <v>763</v>
      </c>
      <c r="S603" s="2" t="s">
        <v>73</v>
      </c>
      <c r="T603" s="2" t="s">
        <v>73</v>
      </c>
      <c r="W603" s="4">
        <v>720</v>
      </c>
      <c r="X603" s="4">
        <v>864</v>
      </c>
      <c r="Y603" s="4">
        <f t="shared" ref="Y603" si="670">INDEX(InternalRates,MATCH($S603,InternalRates01,FALSE),2)</f>
        <v>278.98333333333335</v>
      </c>
      <c r="Z603" s="3" t="str">
        <f t="shared" si="658"/>
        <v>Nie</v>
      </c>
      <c r="AA603" s="3" t="str">
        <f t="shared" si="659"/>
        <v>SLA</v>
      </c>
      <c r="AB603" s="4">
        <v>22</v>
      </c>
      <c r="AD603" s="3" t="s">
        <v>48</v>
      </c>
      <c r="AE603" s="6">
        <v>44937</v>
      </c>
      <c r="AF603" s="3" t="s">
        <v>59</v>
      </c>
      <c r="AG603" s="3" t="s">
        <v>49</v>
      </c>
      <c r="AH603" s="3">
        <f>YEAR(SrcDB[[#This Row],[Datum_zverejnenia]])</f>
        <v>2021</v>
      </c>
      <c r="AI603" s="3" cm="1">
        <f t="array" ref="AI603">COUNT(_xlfn.UNIQUE(_xlfn._xlws.FILTER(SrcDB[ID],SrcDB[Objednavatel_ICO]=$H603)))</f>
        <v>9</v>
      </c>
      <c r="AJ603" s="3" cm="1">
        <f t="array" ref="AJ603">COUNT(_xlfn.UNIQUE(_xlfn._xlws.FILTER(SrcDB[ID],SrcDB[Dodavatel_ICO]=$K603)))</f>
        <v>5</v>
      </c>
      <c r="AK603" s="3">
        <f t="shared" si="644"/>
        <v>0</v>
      </c>
      <c r="AL603" s="3">
        <f t="shared" si="645"/>
        <v>0</v>
      </c>
      <c r="AM603" s="17" t="str">
        <f>IF(SrcDB[[#This Row],[Pocet zmluv objednavatela]]&gt;3,SrcDB[[#This Row],[Objednavatel]],"Ostatné")</f>
        <v>Ministerstvo školstva, výskumu, vývoja a mládeže SR</v>
      </c>
      <c r="AN603" s="17" t="str">
        <f>IF(SrcDB[[#This Row],[Pocet zmluv dodavatela]]&gt;3,SrcDB[[#This Row],[Dodavatel]],"Ostatné")</f>
        <v>Aliter Technologies, a.s.</v>
      </c>
    </row>
    <row r="604" spans="1:40" x14ac:dyDescent="0.3">
      <c r="A604" s="2" t="s">
        <v>761</v>
      </c>
      <c r="B604" s="2">
        <v>6131152</v>
      </c>
      <c r="C604" s="3" t="str">
        <f t="shared" si="638"/>
        <v>Nejasné</v>
      </c>
      <c r="D604" s="3" t="str">
        <f t="shared" si="639"/>
        <v>Nejasné</v>
      </c>
      <c r="E604" s="3" t="s">
        <v>48</v>
      </c>
      <c r="F604" s="3" t="s">
        <v>49</v>
      </c>
      <c r="G604" s="2" t="str">
        <f t="shared" si="640"/>
        <v>Malé zmluvy</v>
      </c>
      <c r="H604" s="5" t="s">
        <v>231</v>
      </c>
      <c r="I604" s="2" t="s">
        <v>232</v>
      </c>
      <c r="J604" s="2" t="s">
        <v>233</v>
      </c>
      <c r="K604" s="5">
        <v>36831221</v>
      </c>
      <c r="L604" s="2" t="s">
        <v>366</v>
      </c>
      <c r="M604" s="2" t="s">
        <v>367</v>
      </c>
      <c r="N604" s="6">
        <v>44560.589814814812</v>
      </c>
      <c r="O604" s="4">
        <v>473088</v>
      </c>
      <c r="P604" s="2">
        <v>114497</v>
      </c>
      <c r="Q604" s="2" t="s">
        <v>762</v>
      </c>
      <c r="R604" s="2" t="s">
        <v>763</v>
      </c>
      <c r="S604" s="2" t="s">
        <v>56</v>
      </c>
      <c r="T604" s="2" t="s">
        <v>94</v>
      </c>
      <c r="U604" s="2" t="s">
        <v>95</v>
      </c>
      <c r="W604" s="4">
        <v>790</v>
      </c>
      <c r="X604" s="4">
        <v>948</v>
      </c>
      <c r="Y604" s="4">
        <f t="shared" ref="Y604" si="671">INDEX(InternalRates,MATCH($S604,InternalRates01,FALSE),2)</f>
        <v>278.98333333333335</v>
      </c>
      <c r="Z604" s="3" t="str">
        <f t="shared" si="658"/>
        <v>Nie</v>
      </c>
      <c r="AA604" s="3" t="str">
        <f t="shared" si="659"/>
        <v>SLA</v>
      </c>
      <c r="AB604" s="4">
        <v>4</v>
      </c>
      <c r="AD604" s="3" t="s">
        <v>48</v>
      </c>
      <c r="AE604" s="6">
        <v>44937</v>
      </c>
      <c r="AF604" s="3" t="s">
        <v>59</v>
      </c>
      <c r="AG604" s="3" t="s">
        <v>49</v>
      </c>
      <c r="AH604" s="3">
        <f>YEAR(SrcDB[[#This Row],[Datum_zverejnenia]])</f>
        <v>2021</v>
      </c>
      <c r="AI604" s="3" cm="1">
        <f t="array" ref="AI604">COUNT(_xlfn.UNIQUE(_xlfn._xlws.FILTER(SrcDB[ID],SrcDB[Objednavatel_ICO]=$H604)))</f>
        <v>9</v>
      </c>
      <c r="AJ604" s="3" cm="1">
        <f t="array" ref="AJ604">COUNT(_xlfn.UNIQUE(_xlfn._xlws.FILTER(SrcDB[ID],SrcDB[Dodavatel_ICO]=$K604)))</f>
        <v>5</v>
      </c>
      <c r="AK604" s="3">
        <f t="shared" si="644"/>
        <v>0</v>
      </c>
      <c r="AL604" s="3">
        <f t="shared" si="645"/>
        <v>0</v>
      </c>
      <c r="AM604" s="17" t="str">
        <f>IF(SrcDB[[#This Row],[Pocet zmluv objednavatela]]&gt;3,SrcDB[[#This Row],[Objednavatel]],"Ostatné")</f>
        <v>Ministerstvo školstva, výskumu, vývoja a mládeže SR</v>
      </c>
      <c r="AN604" s="17" t="str">
        <f>IF(SrcDB[[#This Row],[Pocet zmluv dodavatela]]&gt;3,SrcDB[[#This Row],[Dodavatel]],"Ostatné")</f>
        <v>Aliter Technologies, a.s.</v>
      </c>
    </row>
    <row r="605" spans="1:40" x14ac:dyDescent="0.3">
      <c r="A605" s="2" t="s">
        <v>761</v>
      </c>
      <c r="B605" s="2">
        <v>6131152</v>
      </c>
      <c r="C605" s="3" t="str">
        <f t="shared" si="638"/>
        <v>Nejasné</v>
      </c>
      <c r="D605" s="3" t="str">
        <f t="shared" si="639"/>
        <v>Nejasné</v>
      </c>
      <c r="E605" s="3" t="s">
        <v>48</v>
      </c>
      <c r="F605" s="3" t="s">
        <v>49</v>
      </c>
      <c r="G605" s="2" t="str">
        <f t="shared" si="640"/>
        <v>Malé zmluvy</v>
      </c>
      <c r="H605" s="5" t="s">
        <v>231</v>
      </c>
      <c r="I605" s="2" t="s">
        <v>232</v>
      </c>
      <c r="J605" s="2" t="s">
        <v>233</v>
      </c>
      <c r="K605" s="5">
        <v>36831221</v>
      </c>
      <c r="L605" s="2" t="s">
        <v>366</v>
      </c>
      <c r="M605" s="2" t="s">
        <v>367</v>
      </c>
      <c r="N605" s="6">
        <v>44560.589814814812</v>
      </c>
      <c r="O605" s="4">
        <v>473088</v>
      </c>
      <c r="P605" s="2">
        <v>114497</v>
      </c>
      <c r="Q605" s="2" t="s">
        <v>762</v>
      </c>
      <c r="R605" s="2" t="s">
        <v>763</v>
      </c>
      <c r="S605" s="2" t="s">
        <v>69</v>
      </c>
      <c r="T605" s="2" t="s">
        <v>70</v>
      </c>
      <c r="W605" s="4">
        <v>780</v>
      </c>
      <c r="X605" s="4">
        <v>936</v>
      </c>
      <c r="Y605" s="4">
        <f t="shared" ref="Y605" si="672">INDEX(InternalRates,MATCH($S605,InternalRates01,FALSE),2)</f>
        <v>278.98333333333335</v>
      </c>
      <c r="Z605" s="3" t="str">
        <f t="shared" si="658"/>
        <v>Nie</v>
      </c>
      <c r="AA605" s="3" t="str">
        <f t="shared" si="659"/>
        <v>SLA</v>
      </c>
      <c r="AB605" s="4">
        <v>22</v>
      </c>
      <c r="AD605" s="3" t="s">
        <v>48</v>
      </c>
      <c r="AE605" s="6">
        <v>44937</v>
      </c>
      <c r="AF605" s="3" t="s">
        <v>59</v>
      </c>
      <c r="AG605" s="3" t="s">
        <v>49</v>
      </c>
      <c r="AH605" s="3">
        <f>YEAR(SrcDB[[#This Row],[Datum_zverejnenia]])</f>
        <v>2021</v>
      </c>
      <c r="AI605" s="3" cm="1">
        <f t="array" ref="AI605">COUNT(_xlfn.UNIQUE(_xlfn._xlws.FILTER(SrcDB[ID],SrcDB[Objednavatel_ICO]=$H605)))</f>
        <v>9</v>
      </c>
      <c r="AJ605" s="3" cm="1">
        <f t="array" ref="AJ605">COUNT(_xlfn.UNIQUE(_xlfn._xlws.FILTER(SrcDB[ID],SrcDB[Dodavatel_ICO]=$K605)))</f>
        <v>5</v>
      </c>
      <c r="AK605" s="3">
        <f t="shared" si="644"/>
        <v>0</v>
      </c>
      <c r="AL605" s="3">
        <f t="shared" si="645"/>
        <v>0</v>
      </c>
      <c r="AM605" s="17" t="str">
        <f>IF(SrcDB[[#This Row],[Pocet zmluv objednavatela]]&gt;3,SrcDB[[#This Row],[Objednavatel]],"Ostatné")</f>
        <v>Ministerstvo školstva, výskumu, vývoja a mládeže SR</v>
      </c>
      <c r="AN605" s="17" t="str">
        <f>IF(SrcDB[[#This Row],[Pocet zmluv dodavatela]]&gt;3,SrcDB[[#This Row],[Dodavatel]],"Ostatné")</f>
        <v>Aliter Technologies, a.s.</v>
      </c>
    </row>
    <row r="606" spans="1:40" x14ac:dyDescent="0.3">
      <c r="A606" s="2" t="s">
        <v>761</v>
      </c>
      <c r="B606" s="2">
        <v>6131152</v>
      </c>
      <c r="C606" s="3" t="str">
        <f t="shared" si="638"/>
        <v>Nejasné</v>
      </c>
      <c r="D606" s="3" t="str">
        <f t="shared" si="639"/>
        <v>Nejasné</v>
      </c>
      <c r="E606" s="3" t="s">
        <v>48</v>
      </c>
      <c r="F606" s="3" t="s">
        <v>49</v>
      </c>
      <c r="G606" s="2" t="str">
        <f t="shared" si="640"/>
        <v>Malé zmluvy</v>
      </c>
      <c r="H606" s="5" t="s">
        <v>231</v>
      </c>
      <c r="I606" s="2" t="s">
        <v>232</v>
      </c>
      <c r="J606" s="2" t="s">
        <v>233</v>
      </c>
      <c r="K606" s="5">
        <v>36831221</v>
      </c>
      <c r="L606" s="2" t="s">
        <v>366</v>
      </c>
      <c r="M606" s="2" t="s">
        <v>367</v>
      </c>
      <c r="N606" s="6">
        <v>44560.589814814812</v>
      </c>
      <c r="O606" s="4">
        <v>473088</v>
      </c>
      <c r="P606" s="2">
        <v>114497</v>
      </c>
      <c r="Q606" s="2" t="s">
        <v>762</v>
      </c>
      <c r="R606" s="2" t="s">
        <v>763</v>
      </c>
      <c r="S606" s="2" t="s">
        <v>56</v>
      </c>
      <c r="T606" s="2" t="s">
        <v>96</v>
      </c>
      <c r="U606" s="2" t="s">
        <v>97</v>
      </c>
      <c r="W606" s="4">
        <v>720</v>
      </c>
      <c r="X606" s="4">
        <v>864</v>
      </c>
      <c r="Y606" s="4">
        <f t="shared" ref="Y606" si="673">INDEX(InternalRates,MATCH($S606,InternalRates01,FALSE),2)</f>
        <v>278.98333333333335</v>
      </c>
      <c r="Z606" s="3" t="str">
        <f t="shared" si="658"/>
        <v>Nie</v>
      </c>
      <c r="AA606" s="3" t="str">
        <f t="shared" si="659"/>
        <v>SLA</v>
      </c>
      <c r="AB606" s="4">
        <v>139</v>
      </c>
      <c r="AD606" s="3" t="s">
        <v>48</v>
      </c>
      <c r="AE606" s="6">
        <v>44937</v>
      </c>
      <c r="AF606" s="3" t="s">
        <v>59</v>
      </c>
      <c r="AG606" s="3" t="s">
        <v>49</v>
      </c>
      <c r="AH606" s="3">
        <f>YEAR(SrcDB[[#This Row],[Datum_zverejnenia]])</f>
        <v>2021</v>
      </c>
      <c r="AI606" s="3" cm="1">
        <f t="array" ref="AI606">COUNT(_xlfn.UNIQUE(_xlfn._xlws.FILTER(SrcDB[ID],SrcDB[Objednavatel_ICO]=$H606)))</f>
        <v>9</v>
      </c>
      <c r="AJ606" s="3" cm="1">
        <f t="array" ref="AJ606">COUNT(_xlfn.UNIQUE(_xlfn._xlws.FILTER(SrcDB[ID],SrcDB[Dodavatel_ICO]=$K606)))</f>
        <v>5</v>
      </c>
      <c r="AK606" s="3">
        <f t="shared" si="644"/>
        <v>0</v>
      </c>
      <c r="AL606" s="3">
        <f t="shared" si="645"/>
        <v>0</v>
      </c>
      <c r="AM606" s="17" t="str">
        <f>IF(SrcDB[[#This Row],[Pocet zmluv objednavatela]]&gt;3,SrcDB[[#This Row],[Objednavatel]],"Ostatné")</f>
        <v>Ministerstvo školstva, výskumu, vývoja a mládeže SR</v>
      </c>
      <c r="AN606" s="17" t="str">
        <f>IF(SrcDB[[#This Row],[Pocet zmluv dodavatela]]&gt;3,SrcDB[[#This Row],[Dodavatel]],"Ostatné")</f>
        <v>Aliter Technologies, a.s.</v>
      </c>
    </row>
    <row r="607" spans="1:40" x14ac:dyDescent="0.3">
      <c r="A607" s="2" t="s">
        <v>761</v>
      </c>
      <c r="B607" s="2">
        <v>6131152</v>
      </c>
      <c r="C607" s="3" t="str">
        <f t="shared" si="638"/>
        <v>Nejasné</v>
      </c>
      <c r="D607" s="3" t="str">
        <f t="shared" si="639"/>
        <v>Nejasné</v>
      </c>
      <c r="E607" s="3" t="s">
        <v>48</v>
      </c>
      <c r="F607" s="3" t="s">
        <v>49</v>
      </c>
      <c r="G607" s="2" t="str">
        <f t="shared" si="640"/>
        <v>Malé zmluvy</v>
      </c>
      <c r="H607" s="5" t="s">
        <v>231</v>
      </c>
      <c r="I607" s="2" t="s">
        <v>232</v>
      </c>
      <c r="J607" s="2" t="s">
        <v>233</v>
      </c>
      <c r="K607" s="5">
        <v>36831221</v>
      </c>
      <c r="L607" s="2" t="s">
        <v>366</v>
      </c>
      <c r="M607" s="2" t="s">
        <v>367</v>
      </c>
      <c r="N607" s="6">
        <v>44560.589814814812</v>
      </c>
      <c r="O607" s="4">
        <v>473088</v>
      </c>
      <c r="P607" s="2">
        <v>114497</v>
      </c>
      <c r="Q607" s="2" t="s">
        <v>762</v>
      </c>
      <c r="R607" s="2" t="s">
        <v>763</v>
      </c>
      <c r="S607" s="2" t="s">
        <v>56</v>
      </c>
      <c r="T607" s="2" t="s">
        <v>286</v>
      </c>
      <c r="U607" s="2" t="s">
        <v>129</v>
      </c>
      <c r="W607" s="4">
        <v>780</v>
      </c>
      <c r="X607" s="4">
        <v>936</v>
      </c>
      <c r="Y607" s="4">
        <f t="shared" ref="Y607" si="674">INDEX(InternalRates,MATCH($S607,InternalRates01,FALSE),2)</f>
        <v>278.98333333333335</v>
      </c>
      <c r="Z607" s="3" t="str">
        <f t="shared" si="658"/>
        <v>Nie</v>
      </c>
      <c r="AA607" s="3" t="str">
        <f t="shared" si="659"/>
        <v>SLA</v>
      </c>
      <c r="AB607" s="4">
        <v>155</v>
      </c>
      <c r="AD607" s="3" t="s">
        <v>48</v>
      </c>
      <c r="AE607" s="6">
        <v>44937</v>
      </c>
      <c r="AF607" s="3" t="s">
        <v>59</v>
      </c>
      <c r="AG607" s="3" t="s">
        <v>49</v>
      </c>
      <c r="AH607" s="3">
        <f>YEAR(SrcDB[[#This Row],[Datum_zverejnenia]])</f>
        <v>2021</v>
      </c>
      <c r="AI607" s="3" cm="1">
        <f t="array" ref="AI607">COUNT(_xlfn.UNIQUE(_xlfn._xlws.FILTER(SrcDB[ID],SrcDB[Objednavatel_ICO]=$H607)))</f>
        <v>9</v>
      </c>
      <c r="AJ607" s="3" cm="1">
        <f t="array" ref="AJ607">COUNT(_xlfn.UNIQUE(_xlfn._xlws.FILTER(SrcDB[ID],SrcDB[Dodavatel_ICO]=$K607)))</f>
        <v>5</v>
      </c>
      <c r="AK607" s="3">
        <f t="shared" si="644"/>
        <v>0</v>
      </c>
      <c r="AL607" s="3">
        <f t="shared" si="645"/>
        <v>0</v>
      </c>
      <c r="AM607" s="17" t="str">
        <f>IF(SrcDB[[#This Row],[Pocet zmluv objednavatela]]&gt;3,SrcDB[[#This Row],[Objednavatel]],"Ostatné")</f>
        <v>Ministerstvo školstva, výskumu, vývoja a mládeže SR</v>
      </c>
      <c r="AN607" s="17" t="str">
        <f>IF(SrcDB[[#This Row],[Pocet zmluv dodavatela]]&gt;3,SrcDB[[#This Row],[Dodavatel]],"Ostatné")</f>
        <v>Aliter Technologies, a.s.</v>
      </c>
    </row>
    <row r="608" spans="1:40" x14ac:dyDescent="0.3">
      <c r="A608" s="2" t="s">
        <v>761</v>
      </c>
      <c r="B608" s="2">
        <v>6131152</v>
      </c>
      <c r="C608" s="3" t="str">
        <f t="shared" si="638"/>
        <v>Nejasné</v>
      </c>
      <c r="D608" s="3" t="str">
        <f t="shared" si="639"/>
        <v>Nejasné</v>
      </c>
      <c r="E608" s="3" t="s">
        <v>48</v>
      </c>
      <c r="F608" s="3" t="s">
        <v>49</v>
      </c>
      <c r="G608" s="2" t="str">
        <f t="shared" si="640"/>
        <v>Malé zmluvy</v>
      </c>
      <c r="H608" s="5" t="s">
        <v>231</v>
      </c>
      <c r="I608" s="2" t="s">
        <v>232</v>
      </c>
      <c r="J608" s="2" t="s">
        <v>233</v>
      </c>
      <c r="K608" s="5">
        <v>36831221</v>
      </c>
      <c r="L608" s="2" t="s">
        <v>366</v>
      </c>
      <c r="M608" s="2" t="s">
        <v>367</v>
      </c>
      <c r="N608" s="6">
        <v>44560.589814814812</v>
      </c>
      <c r="O608" s="4">
        <v>473088</v>
      </c>
      <c r="P608" s="2">
        <v>114497</v>
      </c>
      <c r="Q608" s="2" t="s">
        <v>762</v>
      </c>
      <c r="R608" s="2" t="s">
        <v>763</v>
      </c>
      <c r="S608" s="2" t="s">
        <v>77</v>
      </c>
      <c r="T608" s="2" t="s">
        <v>77</v>
      </c>
      <c r="W608" s="4">
        <v>640</v>
      </c>
      <c r="X608" s="4">
        <v>768</v>
      </c>
      <c r="Y608" s="4">
        <f t="shared" ref="Y608" si="675">INDEX(InternalRates,MATCH($S608,InternalRates01,FALSE),2)</f>
        <v>278.98333333333335</v>
      </c>
      <c r="Z608" s="3" t="str">
        <f t="shared" si="658"/>
        <v>Nie</v>
      </c>
      <c r="AA608" s="3" t="str">
        <f t="shared" si="659"/>
        <v>SLA</v>
      </c>
      <c r="AB608" s="4">
        <v>85</v>
      </c>
      <c r="AD608" s="3" t="s">
        <v>48</v>
      </c>
      <c r="AE608" s="6">
        <v>44937</v>
      </c>
      <c r="AF608" s="3" t="s">
        <v>59</v>
      </c>
      <c r="AG608" s="3" t="s">
        <v>49</v>
      </c>
      <c r="AH608" s="3">
        <f>YEAR(SrcDB[[#This Row],[Datum_zverejnenia]])</f>
        <v>2021</v>
      </c>
      <c r="AI608" s="3" cm="1">
        <f t="array" ref="AI608">COUNT(_xlfn.UNIQUE(_xlfn._xlws.FILTER(SrcDB[ID],SrcDB[Objednavatel_ICO]=$H608)))</f>
        <v>9</v>
      </c>
      <c r="AJ608" s="3" cm="1">
        <f t="array" ref="AJ608">COUNT(_xlfn.UNIQUE(_xlfn._xlws.FILTER(SrcDB[ID],SrcDB[Dodavatel_ICO]=$K608)))</f>
        <v>5</v>
      </c>
      <c r="AK608" s="3">
        <f t="shared" si="644"/>
        <v>0</v>
      </c>
      <c r="AL608" s="3">
        <f t="shared" si="645"/>
        <v>0</v>
      </c>
      <c r="AM608" s="17" t="str">
        <f>IF(SrcDB[[#This Row],[Pocet zmluv objednavatela]]&gt;3,SrcDB[[#This Row],[Objednavatel]],"Ostatné")</f>
        <v>Ministerstvo školstva, výskumu, vývoja a mládeže SR</v>
      </c>
      <c r="AN608" s="17" t="str">
        <f>IF(SrcDB[[#This Row],[Pocet zmluv dodavatela]]&gt;3,SrcDB[[#This Row],[Dodavatel]],"Ostatné")</f>
        <v>Aliter Technologies, a.s.</v>
      </c>
    </row>
    <row r="609" spans="1:40" x14ac:dyDescent="0.3">
      <c r="A609" s="2" t="s">
        <v>761</v>
      </c>
      <c r="B609" s="2">
        <v>6131152</v>
      </c>
      <c r="C609" s="3" t="str">
        <f t="shared" si="638"/>
        <v>Nejasné</v>
      </c>
      <c r="D609" s="3" t="str">
        <f t="shared" si="639"/>
        <v>Nejasné</v>
      </c>
      <c r="E609" s="3" t="s">
        <v>48</v>
      </c>
      <c r="F609" s="3" t="s">
        <v>49</v>
      </c>
      <c r="G609" s="2" t="str">
        <f t="shared" si="640"/>
        <v>Malé zmluvy</v>
      </c>
      <c r="H609" s="5" t="s">
        <v>231</v>
      </c>
      <c r="I609" s="2" t="s">
        <v>232</v>
      </c>
      <c r="J609" s="2" t="s">
        <v>233</v>
      </c>
      <c r="K609" s="5">
        <v>36831221</v>
      </c>
      <c r="L609" s="2" t="s">
        <v>366</v>
      </c>
      <c r="M609" s="2" t="s">
        <v>367</v>
      </c>
      <c r="N609" s="6">
        <v>44560.589814814812</v>
      </c>
      <c r="O609" s="4">
        <v>473088</v>
      </c>
      <c r="P609" s="2">
        <v>114497</v>
      </c>
      <c r="Q609" s="2" t="s">
        <v>762</v>
      </c>
      <c r="R609" s="2" t="s">
        <v>763</v>
      </c>
      <c r="S609" s="2" t="s">
        <v>98</v>
      </c>
      <c r="T609" s="2" t="s">
        <v>98</v>
      </c>
      <c r="W609" s="4">
        <v>700</v>
      </c>
      <c r="X609" s="4">
        <v>840</v>
      </c>
      <c r="Y609" s="4">
        <f t="shared" ref="Y609" si="676">INDEX(InternalRates,MATCH($S609,InternalRates01,FALSE),2)</f>
        <v>278.98333333333335</v>
      </c>
      <c r="Z609" s="3" t="str">
        <f t="shared" si="658"/>
        <v>Nie</v>
      </c>
      <c r="AA609" s="3" t="str">
        <f t="shared" si="659"/>
        <v>SLA</v>
      </c>
      <c r="AB609" s="4">
        <v>6</v>
      </c>
      <c r="AD609" s="3" t="s">
        <v>48</v>
      </c>
      <c r="AE609" s="6">
        <v>44937</v>
      </c>
      <c r="AF609" s="3" t="s">
        <v>59</v>
      </c>
      <c r="AG609" s="3" t="s">
        <v>49</v>
      </c>
      <c r="AH609" s="3">
        <f>YEAR(SrcDB[[#This Row],[Datum_zverejnenia]])</f>
        <v>2021</v>
      </c>
      <c r="AI609" s="3" cm="1">
        <f t="array" ref="AI609">COUNT(_xlfn.UNIQUE(_xlfn._xlws.FILTER(SrcDB[ID],SrcDB[Objednavatel_ICO]=$H609)))</f>
        <v>9</v>
      </c>
      <c r="AJ609" s="3" cm="1">
        <f t="array" ref="AJ609">COUNT(_xlfn.UNIQUE(_xlfn._xlws.FILTER(SrcDB[ID],SrcDB[Dodavatel_ICO]=$K609)))</f>
        <v>5</v>
      </c>
      <c r="AK609" s="3">
        <f t="shared" si="644"/>
        <v>0</v>
      </c>
      <c r="AL609" s="3">
        <f t="shared" si="645"/>
        <v>0</v>
      </c>
      <c r="AM609" s="17" t="str">
        <f>IF(SrcDB[[#This Row],[Pocet zmluv objednavatela]]&gt;3,SrcDB[[#This Row],[Objednavatel]],"Ostatné")</f>
        <v>Ministerstvo školstva, výskumu, vývoja a mládeže SR</v>
      </c>
      <c r="AN609" s="17" t="str">
        <f>IF(SrcDB[[#This Row],[Pocet zmluv dodavatela]]&gt;3,SrcDB[[#This Row],[Dodavatel]],"Ostatné")</f>
        <v>Aliter Technologies, a.s.</v>
      </c>
    </row>
    <row r="610" spans="1:40" x14ac:dyDescent="0.3">
      <c r="A610" s="2" t="s">
        <v>761</v>
      </c>
      <c r="B610" s="2">
        <v>6131152</v>
      </c>
      <c r="C610" s="3" t="str">
        <f t="shared" si="638"/>
        <v>Nejasné</v>
      </c>
      <c r="D610" s="3" t="str">
        <f t="shared" si="639"/>
        <v>Nejasné</v>
      </c>
      <c r="E610" s="3" t="s">
        <v>48</v>
      </c>
      <c r="F610" s="3" t="s">
        <v>49</v>
      </c>
      <c r="G610" s="2" t="str">
        <f t="shared" si="640"/>
        <v>Malé zmluvy</v>
      </c>
      <c r="H610" s="5" t="s">
        <v>231</v>
      </c>
      <c r="I610" s="2" t="s">
        <v>232</v>
      </c>
      <c r="J610" s="2" t="s">
        <v>233</v>
      </c>
      <c r="K610" s="5">
        <v>36831221</v>
      </c>
      <c r="L610" s="2" t="s">
        <v>366</v>
      </c>
      <c r="M610" s="2" t="s">
        <v>367</v>
      </c>
      <c r="N610" s="6">
        <v>44560.589814814812</v>
      </c>
      <c r="O610" s="4">
        <v>473088</v>
      </c>
      <c r="P610" s="2">
        <v>114497</v>
      </c>
      <c r="Q610" s="2" t="s">
        <v>762</v>
      </c>
      <c r="R610" s="2" t="s">
        <v>763</v>
      </c>
      <c r="S610" s="2" t="s">
        <v>79</v>
      </c>
      <c r="T610" s="2" t="s">
        <v>79</v>
      </c>
      <c r="W610" s="4">
        <v>560</v>
      </c>
      <c r="X610" s="4">
        <v>672</v>
      </c>
      <c r="Y610" s="4">
        <f t="shared" ref="Y610" si="677">INDEX(InternalRates,MATCH($S610,InternalRates01,FALSE),2)</f>
        <v>278.98333333333335</v>
      </c>
      <c r="Z610" s="3" t="str">
        <f t="shared" si="658"/>
        <v>Nie</v>
      </c>
      <c r="AA610" s="3" t="str">
        <f t="shared" si="659"/>
        <v>SLA</v>
      </c>
      <c r="AB610" s="4">
        <v>64</v>
      </c>
      <c r="AD610" s="3" t="s">
        <v>48</v>
      </c>
      <c r="AE610" s="6">
        <v>44937</v>
      </c>
      <c r="AF610" s="3" t="s">
        <v>59</v>
      </c>
      <c r="AG610" s="3" t="s">
        <v>49</v>
      </c>
      <c r="AH610" s="3">
        <f>YEAR(SrcDB[[#This Row],[Datum_zverejnenia]])</f>
        <v>2021</v>
      </c>
      <c r="AI610" s="3" cm="1">
        <f t="array" ref="AI610">COUNT(_xlfn.UNIQUE(_xlfn._xlws.FILTER(SrcDB[ID],SrcDB[Objednavatel_ICO]=$H610)))</f>
        <v>9</v>
      </c>
      <c r="AJ610" s="3" cm="1">
        <f t="array" ref="AJ610">COUNT(_xlfn.UNIQUE(_xlfn._xlws.FILTER(SrcDB[ID],SrcDB[Dodavatel_ICO]=$K610)))</f>
        <v>5</v>
      </c>
      <c r="AK610" s="3">
        <f t="shared" si="644"/>
        <v>0</v>
      </c>
      <c r="AL610" s="3">
        <f t="shared" si="645"/>
        <v>0</v>
      </c>
      <c r="AM610" s="17" t="str">
        <f>IF(SrcDB[[#This Row],[Pocet zmluv objednavatela]]&gt;3,SrcDB[[#This Row],[Objednavatel]],"Ostatné")</f>
        <v>Ministerstvo školstva, výskumu, vývoja a mládeže SR</v>
      </c>
      <c r="AN610" s="17" t="str">
        <f>IF(SrcDB[[#This Row],[Pocet zmluv dodavatela]]&gt;3,SrcDB[[#This Row],[Dodavatel]],"Ostatné")</f>
        <v>Aliter Technologies, a.s.</v>
      </c>
    </row>
    <row r="611" spans="1:40" x14ac:dyDescent="0.3">
      <c r="A611" s="2" t="s">
        <v>773</v>
      </c>
      <c r="B611" s="2">
        <v>6135439</v>
      </c>
      <c r="C611" s="3" t="str">
        <f t="shared" si="638"/>
        <v>Nie</v>
      </c>
      <c r="D611" s="3" t="str">
        <f t="shared" si="639"/>
        <v>Áno</v>
      </c>
      <c r="E611" s="3" t="s">
        <v>48</v>
      </c>
      <c r="F611" s="3" t="s">
        <v>49</v>
      </c>
      <c r="G611" s="2" t="str">
        <f t="shared" si="640"/>
        <v>Malé zmluvy</v>
      </c>
      <c r="H611" s="5">
        <v>36211541</v>
      </c>
      <c r="I611" s="2" t="s">
        <v>689</v>
      </c>
      <c r="J611" s="2" t="s">
        <v>690</v>
      </c>
      <c r="K611" s="5">
        <v>36363383</v>
      </c>
      <c r="L611" s="2" t="s">
        <v>774</v>
      </c>
      <c r="M611" s="2" t="s">
        <v>775</v>
      </c>
      <c r="N611" s="6">
        <v>44565.523425925923</v>
      </c>
      <c r="O611" s="4">
        <v>133826.4</v>
      </c>
      <c r="P611" s="2">
        <v>406837</v>
      </c>
      <c r="Q611" s="2" t="s">
        <v>776</v>
      </c>
      <c r="R611" s="2" t="s">
        <v>777</v>
      </c>
      <c r="S611" s="2" t="s">
        <v>183</v>
      </c>
      <c r="T611" s="2" t="s">
        <v>183</v>
      </c>
      <c r="W611" s="4">
        <v>580</v>
      </c>
      <c r="X611" s="4">
        <v>696</v>
      </c>
      <c r="Y611" s="4">
        <f t="shared" ref="Y611" si="678">INDEX(InternalRates,MATCH($S611,InternalRates01,FALSE),2)</f>
        <v>278.98333333333335</v>
      </c>
      <c r="Z611" s="3" t="str">
        <f t="shared" si="658"/>
        <v>Nie</v>
      </c>
      <c r="AA611" s="3" t="str">
        <f t="shared" si="659"/>
        <v>SLA</v>
      </c>
      <c r="AD611" s="3" t="s">
        <v>48</v>
      </c>
      <c r="AE611" s="6">
        <v>44991</v>
      </c>
      <c r="AF611" s="3" t="s">
        <v>59</v>
      </c>
      <c r="AG611" s="3" t="s">
        <v>60</v>
      </c>
      <c r="AH611" s="3">
        <f>YEAR(SrcDB[[#This Row],[Datum_zverejnenia]])</f>
        <v>2022</v>
      </c>
      <c r="AI611" s="3" cm="1">
        <f t="array" ref="AI611">COUNT(_xlfn.UNIQUE(_xlfn._xlws.FILTER(SrcDB[ID],SrcDB[Objednavatel_ICO]=$H611)))</f>
        <v>6</v>
      </c>
      <c r="AJ611" s="3" cm="1">
        <f t="array" ref="AJ611">COUNT(_xlfn.UNIQUE(_xlfn._xlws.FILTER(SrcDB[ID],SrcDB[Dodavatel_ICO]=$K611)))</f>
        <v>1</v>
      </c>
      <c r="AK611" s="3">
        <f t="shared" si="644"/>
        <v>1</v>
      </c>
      <c r="AL611" s="3">
        <f t="shared" si="645"/>
        <v>1</v>
      </c>
      <c r="AM611" s="17" t="str">
        <f>IF(SrcDB[[#This Row],[Pocet zmluv objednavatela]]&gt;3,SrcDB[[#This Row],[Objednavatel]],"Ostatné")</f>
        <v>TEKO, a. s. / MH Teplárenský holding, a.s.</v>
      </c>
      <c r="AN611" s="17" t="str">
        <f>IF(SrcDB[[#This Row],[Pocet zmluv dodavatela]]&gt;3,SrcDB[[#This Row],[Dodavatel]],"Ostatné")</f>
        <v>Ostatné</v>
      </c>
    </row>
    <row r="612" spans="1:40" x14ac:dyDescent="0.3">
      <c r="A612" s="2" t="s">
        <v>176</v>
      </c>
      <c r="B612" s="2">
        <v>6137686</v>
      </c>
      <c r="C612" s="3" t="str">
        <f t="shared" si="638"/>
        <v>Áno</v>
      </c>
      <c r="D612" s="3" t="str">
        <f t="shared" si="639"/>
        <v>Nie</v>
      </c>
      <c r="E612" s="3" t="s">
        <v>49</v>
      </c>
      <c r="F612" s="3" t="s">
        <v>48</v>
      </c>
      <c r="G612" s="2" t="str">
        <f t="shared" si="640"/>
        <v>Malé zmluvy</v>
      </c>
      <c r="H612" s="5">
        <v>30810787</v>
      </c>
      <c r="I612" s="2" t="s">
        <v>722</v>
      </c>
      <c r="J612" s="2" t="s">
        <v>723</v>
      </c>
      <c r="K612" s="5">
        <v>44694695</v>
      </c>
      <c r="L612" s="2" t="s">
        <v>302</v>
      </c>
      <c r="M612" s="2" t="s">
        <v>303</v>
      </c>
      <c r="N612" s="6">
        <v>44566.649502314816</v>
      </c>
      <c r="O612" s="4">
        <v>715800</v>
      </c>
      <c r="P612" s="2">
        <v>114489</v>
      </c>
      <c r="Q612" s="2" t="s">
        <v>778</v>
      </c>
      <c r="R612" s="2" t="s">
        <v>779</v>
      </c>
      <c r="S612" s="2" t="s">
        <v>77</v>
      </c>
      <c r="T612" s="2" t="s">
        <v>77</v>
      </c>
      <c r="W612" s="4">
        <v>600</v>
      </c>
      <c r="X612" s="4">
        <v>720</v>
      </c>
      <c r="Y612" s="4">
        <f t="shared" ref="Y612" si="679">INDEX(InternalRates,MATCH($S612,InternalRates01,FALSE),2)</f>
        <v>278.98333333333335</v>
      </c>
      <c r="Z612" s="3" t="str">
        <f t="shared" si="658"/>
        <v>Nie</v>
      </c>
      <c r="AA612" s="3" t="str">
        <f t="shared" si="659"/>
        <v>ZoD</v>
      </c>
      <c r="AB612" s="4">
        <v>584</v>
      </c>
      <c r="AC612" s="4">
        <v>584</v>
      </c>
      <c r="AD612" s="3" t="s">
        <v>48</v>
      </c>
      <c r="AE612" s="6">
        <v>44937</v>
      </c>
      <c r="AF612" s="3" t="s">
        <v>59</v>
      </c>
      <c r="AG612" s="3" t="s">
        <v>49</v>
      </c>
      <c r="AH612" s="3">
        <f>YEAR(SrcDB[[#This Row],[Datum_zverejnenia]])</f>
        <v>2022</v>
      </c>
      <c r="AI612" s="3" cm="1">
        <f t="array" ref="AI612">COUNT(_xlfn.UNIQUE(_xlfn._xlws.FILTER(SrcDB[ID],SrcDB[Objednavatel_ICO]=$H612)))</f>
        <v>3</v>
      </c>
      <c r="AJ612" s="3" cm="1">
        <f t="array" ref="AJ612">COUNT(_xlfn.UNIQUE(_xlfn._xlws.FILTER(SrcDB[ID],SrcDB[Dodavatel_ICO]=$K612)))</f>
        <v>4</v>
      </c>
      <c r="AK612" s="3">
        <f t="shared" si="644"/>
        <v>1</v>
      </c>
      <c r="AL612" s="3">
        <f t="shared" si="645"/>
        <v>1</v>
      </c>
      <c r="AM612" s="17" t="str">
        <f>IF(SrcDB[[#This Row],[Pocet zmluv objednavatela]]&gt;3,SrcDB[[#This Row],[Objednavatel]],"Ostatné")</f>
        <v>Ostatné</v>
      </c>
      <c r="AN612" s="17" t="str">
        <f>IF(SrcDB[[#This Row],[Pocet zmluv dodavatela]]&gt;3,SrcDB[[#This Row],[Dodavatel]],"Ostatné")</f>
        <v>NextIT s.r.o.</v>
      </c>
    </row>
    <row r="613" spans="1:40" x14ac:dyDescent="0.3">
      <c r="A613" s="2" t="s">
        <v>176</v>
      </c>
      <c r="B613" s="2">
        <v>6137686</v>
      </c>
      <c r="C613" s="3" t="str">
        <f t="shared" si="638"/>
        <v>Áno</v>
      </c>
      <c r="D613" s="3" t="str">
        <f t="shared" si="639"/>
        <v>Nie</v>
      </c>
      <c r="E613" s="3" t="s">
        <v>49</v>
      </c>
      <c r="F613" s="3" t="s">
        <v>48</v>
      </c>
      <c r="G613" s="2" t="str">
        <f t="shared" si="640"/>
        <v>Malé zmluvy</v>
      </c>
      <c r="H613" s="5">
        <v>30810787</v>
      </c>
      <c r="I613" s="2" t="s">
        <v>722</v>
      </c>
      <c r="J613" s="2" t="s">
        <v>723</v>
      </c>
      <c r="K613" s="5">
        <v>44694695</v>
      </c>
      <c r="L613" s="2" t="s">
        <v>302</v>
      </c>
      <c r="M613" s="2" t="s">
        <v>303</v>
      </c>
      <c r="N613" s="6">
        <v>44566.649502314816</v>
      </c>
      <c r="O613" s="4">
        <v>715800</v>
      </c>
      <c r="P613" s="2">
        <v>114489</v>
      </c>
      <c r="Q613" s="2" t="s">
        <v>778</v>
      </c>
      <c r="R613" s="2" t="s">
        <v>779</v>
      </c>
      <c r="S613" s="2" t="s">
        <v>56</v>
      </c>
      <c r="T613" s="2" t="s">
        <v>96</v>
      </c>
      <c r="U613" s="2" t="s">
        <v>97</v>
      </c>
      <c r="W613" s="4">
        <v>600</v>
      </c>
      <c r="X613" s="4">
        <v>720</v>
      </c>
      <c r="Y613" s="4">
        <f t="shared" ref="Y613" si="680">INDEX(InternalRates,MATCH($S613,InternalRates01,FALSE),2)</f>
        <v>278.98333333333335</v>
      </c>
      <c r="Z613" s="3" t="str">
        <f t="shared" si="658"/>
        <v>Nie</v>
      </c>
      <c r="AA613" s="3" t="str">
        <f t="shared" si="659"/>
        <v>ZoD</v>
      </c>
      <c r="AB613" s="4">
        <v>61</v>
      </c>
      <c r="AC613" s="4">
        <v>61</v>
      </c>
      <c r="AD613" s="3" t="s">
        <v>48</v>
      </c>
      <c r="AE613" s="6">
        <v>44937</v>
      </c>
      <c r="AF613" s="3" t="s">
        <v>59</v>
      </c>
      <c r="AG613" s="3" t="s">
        <v>49</v>
      </c>
      <c r="AH613" s="3">
        <f>YEAR(SrcDB[[#This Row],[Datum_zverejnenia]])</f>
        <v>2022</v>
      </c>
      <c r="AI613" s="3" cm="1">
        <f t="array" ref="AI613">COUNT(_xlfn.UNIQUE(_xlfn._xlws.FILTER(SrcDB[ID],SrcDB[Objednavatel_ICO]=$H613)))</f>
        <v>3</v>
      </c>
      <c r="AJ613" s="3" cm="1">
        <f t="array" ref="AJ613">COUNT(_xlfn.UNIQUE(_xlfn._xlws.FILTER(SrcDB[ID],SrcDB[Dodavatel_ICO]=$K613)))</f>
        <v>4</v>
      </c>
      <c r="AK613" s="3">
        <f t="shared" si="644"/>
        <v>0</v>
      </c>
      <c r="AL613" s="3">
        <f t="shared" si="645"/>
        <v>0</v>
      </c>
      <c r="AM613" s="17" t="str">
        <f>IF(SrcDB[[#This Row],[Pocet zmluv objednavatela]]&gt;3,SrcDB[[#This Row],[Objednavatel]],"Ostatné")</f>
        <v>Ostatné</v>
      </c>
      <c r="AN613" s="17" t="str">
        <f>IF(SrcDB[[#This Row],[Pocet zmluv dodavatela]]&gt;3,SrcDB[[#This Row],[Dodavatel]],"Ostatné")</f>
        <v>NextIT s.r.o.</v>
      </c>
    </row>
    <row r="614" spans="1:40" x14ac:dyDescent="0.3">
      <c r="A614" s="2" t="s">
        <v>176</v>
      </c>
      <c r="B614" s="2">
        <v>6137686</v>
      </c>
      <c r="C614" s="3" t="str">
        <f t="shared" si="638"/>
        <v>Áno</v>
      </c>
      <c r="D614" s="3" t="str">
        <f t="shared" si="639"/>
        <v>Nie</v>
      </c>
      <c r="E614" s="3" t="s">
        <v>49</v>
      </c>
      <c r="F614" s="3" t="s">
        <v>48</v>
      </c>
      <c r="G614" s="2" t="str">
        <f t="shared" si="640"/>
        <v>Malé zmluvy</v>
      </c>
      <c r="H614" s="5">
        <v>30810787</v>
      </c>
      <c r="I614" s="2" t="s">
        <v>722</v>
      </c>
      <c r="J614" s="2" t="s">
        <v>723</v>
      </c>
      <c r="K614" s="5">
        <v>44694695</v>
      </c>
      <c r="L614" s="2" t="s">
        <v>302</v>
      </c>
      <c r="M614" s="2" t="s">
        <v>303</v>
      </c>
      <c r="N614" s="6">
        <v>44566.649502314816</v>
      </c>
      <c r="O614" s="4">
        <v>715800</v>
      </c>
      <c r="P614" s="2">
        <v>114489</v>
      </c>
      <c r="Q614" s="2" t="s">
        <v>778</v>
      </c>
      <c r="R614" s="2" t="s">
        <v>779</v>
      </c>
      <c r="S614" s="2" t="s">
        <v>73</v>
      </c>
      <c r="T614" s="2" t="s">
        <v>73</v>
      </c>
      <c r="W614" s="4">
        <v>600</v>
      </c>
      <c r="X614" s="4">
        <v>720</v>
      </c>
      <c r="Y614" s="4">
        <f t="shared" ref="Y614" si="681">INDEX(InternalRates,MATCH($S614,InternalRates01,FALSE),2)</f>
        <v>278.98333333333335</v>
      </c>
      <c r="Z614" s="3" t="str">
        <f t="shared" si="658"/>
        <v>Nie</v>
      </c>
      <c r="AA614" s="3" t="str">
        <f t="shared" si="659"/>
        <v>ZoD</v>
      </c>
      <c r="AB614" s="4">
        <v>190</v>
      </c>
      <c r="AC614" s="4">
        <v>190</v>
      </c>
      <c r="AD614" s="3" t="s">
        <v>48</v>
      </c>
      <c r="AE614" s="6">
        <v>44937</v>
      </c>
      <c r="AF614" s="3" t="s">
        <v>59</v>
      </c>
      <c r="AG614" s="3" t="s">
        <v>49</v>
      </c>
      <c r="AH614" s="3">
        <f>YEAR(SrcDB[[#This Row],[Datum_zverejnenia]])</f>
        <v>2022</v>
      </c>
      <c r="AI614" s="3" cm="1">
        <f t="array" ref="AI614">COUNT(_xlfn.UNIQUE(_xlfn._xlws.FILTER(SrcDB[ID],SrcDB[Objednavatel_ICO]=$H614)))</f>
        <v>3</v>
      </c>
      <c r="AJ614" s="3" cm="1">
        <f t="array" ref="AJ614">COUNT(_xlfn.UNIQUE(_xlfn._xlws.FILTER(SrcDB[ID],SrcDB[Dodavatel_ICO]=$K614)))</f>
        <v>4</v>
      </c>
      <c r="AK614" s="3">
        <f t="shared" si="644"/>
        <v>0</v>
      </c>
      <c r="AL614" s="3">
        <f t="shared" si="645"/>
        <v>0</v>
      </c>
      <c r="AM614" s="17" t="str">
        <f>IF(SrcDB[[#This Row],[Pocet zmluv objednavatela]]&gt;3,SrcDB[[#This Row],[Objednavatel]],"Ostatné")</f>
        <v>Ostatné</v>
      </c>
      <c r="AN614" s="17" t="str">
        <f>IF(SrcDB[[#This Row],[Pocet zmluv dodavatela]]&gt;3,SrcDB[[#This Row],[Dodavatel]],"Ostatné")</f>
        <v>NextIT s.r.o.</v>
      </c>
    </row>
    <row r="615" spans="1:40" x14ac:dyDescent="0.3">
      <c r="A615" s="2" t="s">
        <v>176</v>
      </c>
      <c r="B615" s="2">
        <v>6137686</v>
      </c>
      <c r="C615" s="3" t="str">
        <f t="shared" si="638"/>
        <v>Áno</v>
      </c>
      <c r="D615" s="3" t="str">
        <f t="shared" si="639"/>
        <v>Nie</v>
      </c>
      <c r="E615" s="3" t="s">
        <v>49</v>
      </c>
      <c r="F615" s="3" t="s">
        <v>48</v>
      </c>
      <c r="G615" s="2" t="str">
        <f t="shared" si="640"/>
        <v>Malé zmluvy</v>
      </c>
      <c r="H615" s="5">
        <v>30810787</v>
      </c>
      <c r="I615" s="2" t="s">
        <v>722</v>
      </c>
      <c r="J615" s="2" t="s">
        <v>723</v>
      </c>
      <c r="K615" s="5">
        <v>44694695</v>
      </c>
      <c r="L615" s="2" t="s">
        <v>302</v>
      </c>
      <c r="M615" s="2" t="s">
        <v>303</v>
      </c>
      <c r="N615" s="6">
        <v>44566.649502314816</v>
      </c>
      <c r="O615" s="4">
        <v>715800</v>
      </c>
      <c r="P615" s="2">
        <v>114489</v>
      </c>
      <c r="Q615" s="2" t="s">
        <v>778</v>
      </c>
      <c r="R615" s="2" t="s">
        <v>779</v>
      </c>
      <c r="S615" s="2" t="s">
        <v>79</v>
      </c>
      <c r="T615" s="2" t="s">
        <v>79</v>
      </c>
      <c r="W615" s="4">
        <v>600</v>
      </c>
      <c r="X615" s="4">
        <v>720</v>
      </c>
      <c r="Y615" s="4">
        <f t="shared" ref="Y615" si="682">INDEX(InternalRates,MATCH($S615,InternalRates01,FALSE),2)</f>
        <v>278.98333333333335</v>
      </c>
      <c r="Z615" s="3" t="str">
        <f t="shared" si="658"/>
        <v>Nie</v>
      </c>
      <c r="AA615" s="3" t="str">
        <f t="shared" si="659"/>
        <v>ZoD</v>
      </c>
      <c r="AB615" s="4">
        <v>113</v>
      </c>
      <c r="AC615" s="4">
        <v>113</v>
      </c>
      <c r="AD615" s="3" t="s">
        <v>48</v>
      </c>
      <c r="AE615" s="6">
        <v>44937</v>
      </c>
      <c r="AF615" s="3" t="s">
        <v>59</v>
      </c>
      <c r="AG615" s="3" t="s">
        <v>49</v>
      </c>
      <c r="AH615" s="3">
        <f>YEAR(SrcDB[[#This Row],[Datum_zverejnenia]])</f>
        <v>2022</v>
      </c>
      <c r="AI615" s="3" cm="1">
        <f t="array" ref="AI615">COUNT(_xlfn.UNIQUE(_xlfn._xlws.FILTER(SrcDB[ID],SrcDB[Objednavatel_ICO]=$H615)))</f>
        <v>3</v>
      </c>
      <c r="AJ615" s="3" cm="1">
        <f t="array" ref="AJ615">COUNT(_xlfn.UNIQUE(_xlfn._xlws.FILTER(SrcDB[ID],SrcDB[Dodavatel_ICO]=$K615)))</f>
        <v>4</v>
      </c>
      <c r="AK615" s="3">
        <f t="shared" si="644"/>
        <v>0</v>
      </c>
      <c r="AL615" s="3">
        <f t="shared" si="645"/>
        <v>0</v>
      </c>
      <c r="AM615" s="17" t="str">
        <f>IF(SrcDB[[#This Row],[Pocet zmluv objednavatela]]&gt;3,SrcDB[[#This Row],[Objednavatel]],"Ostatné")</f>
        <v>Ostatné</v>
      </c>
      <c r="AN615" s="17" t="str">
        <f>IF(SrcDB[[#This Row],[Pocet zmluv dodavatela]]&gt;3,SrcDB[[#This Row],[Dodavatel]],"Ostatné")</f>
        <v>NextIT s.r.o.</v>
      </c>
    </row>
    <row r="616" spans="1:40" x14ac:dyDescent="0.3">
      <c r="A616" s="2" t="s">
        <v>176</v>
      </c>
      <c r="B616" s="2">
        <v>6137686</v>
      </c>
      <c r="C616" s="3" t="str">
        <f t="shared" si="638"/>
        <v>Áno</v>
      </c>
      <c r="D616" s="3" t="str">
        <f t="shared" si="639"/>
        <v>Nie</v>
      </c>
      <c r="E616" s="3" t="s">
        <v>49</v>
      </c>
      <c r="F616" s="3" t="s">
        <v>48</v>
      </c>
      <c r="G616" s="2" t="str">
        <f t="shared" si="640"/>
        <v>Malé zmluvy</v>
      </c>
      <c r="H616" s="5">
        <v>30810787</v>
      </c>
      <c r="I616" s="2" t="s">
        <v>722</v>
      </c>
      <c r="J616" s="2" t="s">
        <v>723</v>
      </c>
      <c r="K616" s="5">
        <v>44694695</v>
      </c>
      <c r="L616" s="2" t="s">
        <v>302</v>
      </c>
      <c r="M616" s="2" t="s">
        <v>303</v>
      </c>
      <c r="N616" s="6">
        <v>44566.649502314816</v>
      </c>
      <c r="O616" s="4">
        <v>715800</v>
      </c>
      <c r="P616" s="2">
        <v>114489</v>
      </c>
      <c r="Q616" s="2" t="s">
        <v>778</v>
      </c>
      <c r="R616" s="2" t="s">
        <v>779</v>
      </c>
      <c r="S616" s="2" t="s">
        <v>56</v>
      </c>
      <c r="T616" s="2" t="s">
        <v>448</v>
      </c>
      <c r="U616" s="2" t="s">
        <v>449</v>
      </c>
      <c r="W616" s="4">
        <v>600</v>
      </c>
      <c r="X616" s="4">
        <v>720</v>
      </c>
      <c r="Y616" s="4">
        <f t="shared" ref="Y616" si="683">INDEX(InternalRates,MATCH($S616,InternalRates01,FALSE),2)</f>
        <v>278.98333333333335</v>
      </c>
      <c r="Z616" s="3" t="str">
        <f t="shared" si="658"/>
        <v>Nie</v>
      </c>
      <c r="AA616" s="3" t="str">
        <f t="shared" si="659"/>
        <v>ZoD</v>
      </c>
      <c r="AB616" s="4">
        <v>16</v>
      </c>
      <c r="AC616" s="4">
        <v>16</v>
      </c>
      <c r="AD616" s="3" t="s">
        <v>48</v>
      </c>
      <c r="AE616" s="6">
        <v>44937</v>
      </c>
      <c r="AF616" s="3" t="s">
        <v>59</v>
      </c>
      <c r="AG616" s="3" t="s">
        <v>49</v>
      </c>
      <c r="AH616" s="3">
        <f>YEAR(SrcDB[[#This Row],[Datum_zverejnenia]])</f>
        <v>2022</v>
      </c>
      <c r="AI616" s="3" cm="1">
        <f t="array" ref="AI616">COUNT(_xlfn.UNIQUE(_xlfn._xlws.FILTER(SrcDB[ID],SrcDB[Objednavatel_ICO]=$H616)))</f>
        <v>3</v>
      </c>
      <c r="AJ616" s="3" cm="1">
        <f t="array" ref="AJ616">COUNT(_xlfn.UNIQUE(_xlfn._xlws.FILTER(SrcDB[ID],SrcDB[Dodavatel_ICO]=$K616)))</f>
        <v>4</v>
      </c>
      <c r="AK616" s="3">
        <f t="shared" si="644"/>
        <v>0</v>
      </c>
      <c r="AL616" s="3">
        <f t="shared" si="645"/>
        <v>0</v>
      </c>
      <c r="AM616" s="17" t="str">
        <f>IF(SrcDB[[#This Row],[Pocet zmluv objednavatela]]&gt;3,SrcDB[[#This Row],[Objednavatel]],"Ostatné")</f>
        <v>Ostatné</v>
      </c>
      <c r="AN616" s="17" t="str">
        <f>IF(SrcDB[[#This Row],[Pocet zmluv dodavatela]]&gt;3,SrcDB[[#This Row],[Dodavatel]],"Ostatné")</f>
        <v>NextIT s.r.o.</v>
      </c>
    </row>
    <row r="617" spans="1:40" x14ac:dyDescent="0.3">
      <c r="A617" s="2" t="s">
        <v>176</v>
      </c>
      <c r="B617" s="2">
        <v>6137686</v>
      </c>
      <c r="C617" s="3" t="str">
        <f t="shared" si="638"/>
        <v>Áno</v>
      </c>
      <c r="D617" s="3" t="str">
        <f t="shared" si="639"/>
        <v>Nie</v>
      </c>
      <c r="E617" s="3" t="s">
        <v>49</v>
      </c>
      <c r="F617" s="3" t="s">
        <v>48</v>
      </c>
      <c r="G617" s="2" t="str">
        <f t="shared" si="640"/>
        <v>Malé zmluvy</v>
      </c>
      <c r="H617" s="5">
        <v>30810787</v>
      </c>
      <c r="I617" s="2" t="s">
        <v>722</v>
      </c>
      <c r="J617" s="2" t="s">
        <v>723</v>
      </c>
      <c r="K617" s="5">
        <v>44694695</v>
      </c>
      <c r="L617" s="2" t="s">
        <v>302</v>
      </c>
      <c r="M617" s="2" t="s">
        <v>303</v>
      </c>
      <c r="N617" s="6">
        <v>44566.649502314816</v>
      </c>
      <c r="O617" s="4">
        <v>715800</v>
      </c>
      <c r="P617" s="2">
        <v>114489</v>
      </c>
      <c r="Q617" s="2" t="s">
        <v>778</v>
      </c>
      <c r="R617" s="2" t="s">
        <v>779</v>
      </c>
      <c r="S617" s="2" t="s">
        <v>69</v>
      </c>
      <c r="T617" s="2" t="s">
        <v>70</v>
      </c>
      <c r="W617" s="4">
        <v>600</v>
      </c>
      <c r="X617" s="4">
        <v>720</v>
      </c>
      <c r="Y617" s="4">
        <f t="shared" ref="Y617" si="684">INDEX(InternalRates,MATCH($S617,InternalRates01,FALSE),2)</f>
        <v>278.98333333333335</v>
      </c>
      <c r="Z617" s="3" t="str">
        <f t="shared" si="658"/>
        <v>Nie</v>
      </c>
      <c r="AA617" s="3" t="str">
        <f t="shared" si="659"/>
        <v>ZoD</v>
      </c>
      <c r="AB617" s="4">
        <v>39</v>
      </c>
      <c r="AC617" s="4">
        <v>39</v>
      </c>
      <c r="AD617" s="3" t="s">
        <v>48</v>
      </c>
      <c r="AE617" s="6">
        <v>44937</v>
      </c>
      <c r="AF617" s="3" t="s">
        <v>59</v>
      </c>
      <c r="AG617" s="3" t="s">
        <v>49</v>
      </c>
      <c r="AH617" s="3">
        <f>YEAR(SrcDB[[#This Row],[Datum_zverejnenia]])</f>
        <v>2022</v>
      </c>
      <c r="AI617" s="3" cm="1">
        <f t="array" ref="AI617">COUNT(_xlfn.UNIQUE(_xlfn._xlws.FILTER(SrcDB[ID],SrcDB[Objednavatel_ICO]=$H617)))</f>
        <v>3</v>
      </c>
      <c r="AJ617" s="3" cm="1">
        <f t="array" ref="AJ617">COUNT(_xlfn.UNIQUE(_xlfn._xlws.FILTER(SrcDB[ID],SrcDB[Dodavatel_ICO]=$K617)))</f>
        <v>4</v>
      </c>
      <c r="AK617" s="3">
        <f t="shared" si="644"/>
        <v>0</v>
      </c>
      <c r="AL617" s="3">
        <f t="shared" si="645"/>
        <v>0</v>
      </c>
      <c r="AM617" s="17" t="str">
        <f>IF(SrcDB[[#This Row],[Pocet zmluv objednavatela]]&gt;3,SrcDB[[#This Row],[Objednavatel]],"Ostatné")</f>
        <v>Ostatné</v>
      </c>
      <c r="AN617" s="17" t="str">
        <f>IF(SrcDB[[#This Row],[Pocet zmluv dodavatela]]&gt;3,SrcDB[[#This Row],[Dodavatel]],"Ostatné")</f>
        <v>NextIT s.r.o.</v>
      </c>
    </row>
    <row r="618" spans="1:40" x14ac:dyDescent="0.3">
      <c r="A618" s="2" t="s">
        <v>176</v>
      </c>
      <c r="B618" s="2">
        <v>6137686</v>
      </c>
      <c r="C618" s="3" t="str">
        <f t="shared" si="638"/>
        <v>Áno</v>
      </c>
      <c r="D618" s="3" t="str">
        <f t="shared" si="639"/>
        <v>Nie</v>
      </c>
      <c r="E618" s="3" t="s">
        <v>49</v>
      </c>
      <c r="F618" s="3" t="s">
        <v>48</v>
      </c>
      <c r="G618" s="2" t="str">
        <f t="shared" si="640"/>
        <v>Malé zmluvy</v>
      </c>
      <c r="H618" s="5">
        <v>30810787</v>
      </c>
      <c r="I618" s="2" t="s">
        <v>722</v>
      </c>
      <c r="J618" s="2" t="s">
        <v>723</v>
      </c>
      <c r="K618" s="5">
        <v>44694695</v>
      </c>
      <c r="L618" s="2" t="s">
        <v>302</v>
      </c>
      <c r="M618" s="2" t="s">
        <v>303</v>
      </c>
      <c r="N618" s="6">
        <v>44566.649502314816</v>
      </c>
      <c r="O618" s="4">
        <v>715800</v>
      </c>
      <c r="P618" s="2">
        <v>114489</v>
      </c>
      <c r="Q618" s="2" t="s">
        <v>778</v>
      </c>
      <c r="R618" s="2" t="s">
        <v>779</v>
      </c>
      <c r="S618" s="2" t="s">
        <v>56</v>
      </c>
      <c r="T618" s="2" t="s">
        <v>94</v>
      </c>
      <c r="U618" s="2" t="s">
        <v>95</v>
      </c>
      <c r="W618" s="4">
        <v>600</v>
      </c>
      <c r="X618" s="4">
        <v>720</v>
      </c>
      <c r="Y618" s="4">
        <f t="shared" ref="Y618" si="685">INDEX(InternalRates,MATCH($S618,InternalRates01,FALSE),2)</f>
        <v>278.98333333333335</v>
      </c>
      <c r="Z618" s="3" t="str">
        <f t="shared" si="658"/>
        <v>Nie</v>
      </c>
      <c r="AA618" s="3" t="str">
        <f t="shared" si="659"/>
        <v>ZoD</v>
      </c>
      <c r="AB618" s="4">
        <v>9</v>
      </c>
      <c r="AC618" s="4">
        <v>9</v>
      </c>
      <c r="AD618" s="3" t="s">
        <v>48</v>
      </c>
      <c r="AE618" s="6">
        <v>44937</v>
      </c>
      <c r="AF618" s="3" t="s">
        <v>59</v>
      </c>
      <c r="AG618" s="3" t="s">
        <v>49</v>
      </c>
      <c r="AH618" s="3">
        <f>YEAR(SrcDB[[#This Row],[Datum_zverejnenia]])</f>
        <v>2022</v>
      </c>
      <c r="AI618" s="3" cm="1">
        <f t="array" ref="AI618">COUNT(_xlfn.UNIQUE(_xlfn._xlws.FILTER(SrcDB[ID],SrcDB[Objednavatel_ICO]=$H618)))</f>
        <v>3</v>
      </c>
      <c r="AJ618" s="3" cm="1">
        <f t="array" ref="AJ618">COUNT(_xlfn.UNIQUE(_xlfn._xlws.FILTER(SrcDB[ID],SrcDB[Dodavatel_ICO]=$K618)))</f>
        <v>4</v>
      </c>
      <c r="AK618" s="3">
        <f t="shared" si="644"/>
        <v>0</v>
      </c>
      <c r="AL618" s="3">
        <f t="shared" si="645"/>
        <v>0</v>
      </c>
      <c r="AM618" s="17" t="str">
        <f>IF(SrcDB[[#This Row],[Pocet zmluv objednavatela]]&gt;3,SrcDB[[#This Row],[Objednavatel]],"Ostatné")</f>
        <v>Ostatné</v>
      </c>
      <c r="AN618" s="17" t="str">
        <f>IF(SrcDB[[#This Row],[Pocet zmluv dodavatela]]&gt;3,SrcDB[[#This Row],[Dodavatel]],"Ostatné")</f>
        <v>NextIT s.r.o.</v>
      </c>
    </row>
    <row r="619" spans="1:40" x14ac:dyDescent="0.3">
      <c r="A619" s="2" t="s">
        <v>176</v>
      </c>
      <c r="B619" s="2">
        <v>6137686</v>
      </c>
      <c r="C619" s="3" t="str">
        <f t="shared" si="638"/>
        <v>Áno</v>
      </c>
      <c r="D619" s="3" t="str">
        <f t="shared" si="639"/>
        <v>Nie</v>
      </c>
      <c r="E619" s="3" t="s">
        <v>49</v>
      </c>
      <c r="F619" s="3" t="s">
        <v>48</v>
      </c>
      <c r="G619" s="2" t="str">
        <f t="shared" si="640"/>
        <v>Malé zmluvy</v>
      </c>
      <c r="H619" s="5">
        <v>30810787</v>
      </c>
      <c r="I619" s="2" t="s">
        <v>722</v>
      </c>
      <c r="J619" s="2" t="s">
        <v>723</v>
      </c>
      <c r="K619" s="5">
        <v>44694695</v>
      </c>
      <c r="L619" s="2" t="s">
        <v>302</v>
      </c>
      <c r="M619" s="2" t="s">
        <v>303</v>
      </c>
      <c r="N619" s="6">
        <v>44566.649502314816</v>
      </c>
      <c r="O619" s="4">
        <v>715800</v>
      </c>
      <c r="P619" s="2">
        <v>114489</v>
      </c>
      <c r="Q619" s="2" t="s">
        <v>778</v>
      </c>
      <c r="R619" s="2" t="s">
        <v>779</v>
      </c>
      <c r="S619" s="2" t="s">
        <v>98</v>
      </c>
      <c r="T619" s="2" t="s">
        <v>98</v>
      </c>
      <c r="W619" s="4">
        <v>600</v>
      </c>
      <c r="X619" s="4">
        <v>720</v>
      </c>
      <c r="Y619" s="4">
        <f t="shared" ref="Y619" si="686">INDEX(InternalRates,MATCH($S619,InternalRates01,FALSE),2)</f>
        <v>278.98333333333335</v>
      </c>
      <c r="Z619" s="3" t="str">
        <f t="shared" si="658"/>
        <v>Nie</v>
      </c>
      <c r="AA619" s="3" t="str">
        <f t="shared" si="659"/>
        <v>ZoD</v>
      </c>
      <c r="AB619" s="4">
        <v>1</v>
      </c>
      <c r="AC619" s="4">
        <v>1</v>
      </c>
      <c r="AD619" s="3" t="s">
        <v>48</v>
      </c>
      <c r="AE619" s="6">
        <v>44937</v>
      </c>
      <c r="AF619" s="3" t="s">
        <v>59</v>
      </c>
      <c r="AG619" s="3" t="s">
        <v>49</v>
      </c>
      <c r="AH619" s="3">
        <f>YEAR(SrcDB[[#This Row],[Datum_zverejnenia]])</f>
        <v>2022</v>
      </c>
      <c r="AI619" s="3" cm="1">
        <f t="array" ref="AI619">COUNT(_xlfn.UNIQUE(_xlfn._xlws.FILTER(SrcDB[ID],SrcDB[Objednavatel_ICO]=$H619)))</f>
        <v>3</v>
      </c>
      <c r="AJ619" s="3" cm="1">
        <f t="array" ref="AJ619">COUNT(_xlfn.UNIQUE(_xlfn._xlws.FILTER(SrcDB[ID],SrcDB[Dodavatel_ICO]=$K619)))</f>
        <v>4</v>
      </c>
      <c r="AK619" s="3">
        <f t="shared" si="644"/>
        <v>0</v>
      </c>
      <c r="AL619" s="3">
        <f t="shared" si="645"/>
        <v>0</v>
      </c>
      <c r="AM619" s="17" t="str">
        <f>IF(SrcDB[[#This Row],[Pocet zmluv objednavatela]]&gt;3,SrcDB[[#This Row],[Objednavatel]],"Ostatné")</f>
        <v>Ostatné</v>
      </c>
      <c r="AN619" s="17" t="str">
        <f>IF(SrcDB[[#This Row],[Pocet zmluv dodavatela]]&gt;3,SrcDB[[#This Row],[Dodavatel]],"Ostatné")</f>
        <v>NextIT s.r.o.</v>
      </c>
    </row>
    <row r="620" spans="1:40" x14ac:dyDescent="0.3">
      <c r="A620" s="2" t="s">
        <v>780</v>
      </c>
      <c r="B620" s="2">
        <v>6138326</v>
      </c>
      <c r="C620" s="3" t="str">
        <f t="shared" si="638"/>
        <v>Nie</v>
      </c>
      <c r="D620" s="3" t="str">
        <f t="shared" si="639"/>
        <v>Áno</v>
      </c>
      <c r="E620" s="3" t="s">
        <v>49</v>
      </c>
      <c r="F620" s="3" t="s">
        <v>48</v>
      </c>
      <c r="G620" s="2" t="str">
        <f t="shared" si="640"/>
        <v>Malé zmluvy</v>
      </c>
      <c r="H620" s="5" t="s">
        <v>82</v>
      </c>
      <c r="I620" s="2" t="s">
        <v>83</v>
      </c>
      <c r="J620" s="2" t="s">
        <v>84</v>
      </c>
      <c r="K620" s="5">
        <v>35760419</v>
      </c>
      <c r="L620" s="2" t="s">
        <v>85</v>
      </c>
      <c r="M620" s="2" t="s">
        <v>86</v>
      </c>
      <c r="N620" s="6">
        <v>44568.389166666668</v>
      </c>
      <c r="O620" s="4">
        <v>209100</v>
      </c>
      <c r="P620" s="2">
        <v>114571</v>
      </c>
      <c r="Q620" s="2" t="s">
        <v>781</v>
      </c>
      <c r="R620" s="2" t="s">
        <v>782</v>
      </c>
      <c r="S620" s="2" t="s">
        <v>73</v>
      </c>
      <c r="T620" s="2" t="s">
        <v>73</v>
      </c>
      <c r="W620" s="4">
        <v>720</v>
      </c>
      <c r="X620" s="4">
        <v>864</v>
      </c>
      <c r="Y620" s="4">
        <f t="shared" ref="Y620" si="687">INDEX(InternalRates,MATCH($S620,InternalRates01,FALSE),2)</f>
        <v>278.98333333333335</v>
      </c>
      <c r="Z620" s="3" t="str">
        <f t="shared" si="658"/>
        <v>Nie</v>
      </c>
      <c r="AA620" s="3" t="str">
        <f t="shared" si="659"/>
        <v>ZoD</v>
      </c>
      <c r="AB620" s="4">
        <v>14</v>
      </c>
      <c r="AD620" s="3" t="s">
        <v>49</v>
      </c>
      <c r="AE620" s="6">
        <v>44937</v>
      </c>
      <c r="AF620" s="3" t="s">
        <v>59</v>
      </c>
      <c r="AG620" s="3" t="s">
        <v>48</v>
      </c>
      <c r="AH620" s="3">
        <f>YEAR(SrcDB[[#This Row],[Datum_zverejnenia]])</f>
        <v>2022</v>
      </c>
      <c r="AI620" s="3" cm="1">
        <f t="array" ref="AI620">COUNT(_xlfn.UNIQUE(_xlfn._xlws.FILTER(SrcDB[ID],SrcDB[Objednavatel_ICO]=$H620)))</f>
        <v>2</v>
      </c>
      <c r="AJ620" s="3" cm="1">
        <f t="array" ref="AJ620">COUNT(_xlfn.UNIQUE(_xlfn._xlws.FILTER(SrcDB[ID],SrcDB[Dodavatel_ICO]=$K620)))</f>
        <v>34</v>
      </c>
      <c r="AK620" s="3">
        <f t="shared" si="644"/>
        <v>1</v>
      </c>
      <c r="AL620" s="3">
        <f t="shared" si="645"/>
        <v>1</v>
      </c>
      <c r="AM620" s="17" t="str">
        <f>IF(SrcDB[[#This Row],[Pocet zmluv objednavatela]]&gt;3,SrcDB[[#This Row],[Objednavatel]],"Ostatné")</f>
        <v>Ostatné</v>
      </c>
      <c r="AN620" s="17" t="str">
        <f>IF(SrcDB[[#This Row],[Pocet zmluv dodavatela]]&gt;3,SrcDB[[#This Row],[Dodavatel]],"Ostatné")</f>
        <v>Asseco Central Europe, a.s.</v>
      </c>
    </row>
    <row r="621" spans="1:40" x14ac:dyDescent="0.3">
      <c r="A621" s="2" t="s">
        <v>780</v>
      </c>
      <c r="B621" s="2">
        <v>6138326</v>
      </c>
      <c r="C621" s="3" t="str">
        <f t="shared" si="638"/>
        <v>Nie</v>
      </c>
      <c r="D621" s="3" t="str">
        <f t="shared" si="639"/>
        <v>Áno</v>
      </c>
      <c r="E621" s="3" t="s">
        <v>49</v>
      </c>
      <c r="F621" s="3" t="s">
        <v>48</v>
      </c>
      <c r="G621" s="2" t="str">
        <f t="shared" si="640"/>
        <v>Malé zmluvy</v>
      </c>
      <c r="H621" s="5" t="s">
        <v>82</v>
      </c>
      <c r="I621" s="2" t="s">
        <v>83</v>
      </c>
      <c r="J621" s="2" t="s">
        <v>84</v>
      </c>
      <c r="K621" s="5">
        <v>35760419</v>
      </c>
      <c r="L621" s="2" t="s">
        <v>85</v>
      </c>
      <c r="M621" s="2" t="s">
        <v>86</v>
      </c>
      <c r="N621" s="6">
        <v>44568.389166666668</v>
      </c>
      <c r="O621" s="4">
        <v>209100</v>
      </c>
      <c r="P621" s="2">
        <v>114571</v>
      </c>
      <c r="Q621" s="2" t="s">
        <v>781</v>
      </c>
      <c r="R621" s="2" t="s">
        <v>782</v>
      </c>
      <c r="S621" s="2" t="s">
        <v>77</v>
      </c>
      <c r="T621" s="2" t="s">
        <v>77</v>
      </c>
      <c r="W621" s="4">
        <v>570</v>
      </c>
      <c r="X621" s="4">
        <v>684</v>
      </c>
      <c r="Y621" s="4">
        <f t="shared" ref="Y621" si="688">INDEX(InternalRates,MATCH($S621,InternalRates01,FALSE),2)</f>
        <v>278.98333333333335</v>
      </c>
      <c r="Z621" s="3" t="str">
        <f t="shared" si="658"/>
        <v>Nie</v>
      </c>
      <c r="AA621" s="3" t="str">
        <f t="shared" si="659"/>
        <v>ZoD</v>
      </c>
      <c r="AB621" s="4">
        <v>30</v>
      </c>
      <c r="AD621" s="3" t="s">
        <v>49</v>
      </c>
      <c r="AE621" s="6">
        <v>44937</v>
      </c>
      <c r="AF621" s="3" t="s">
        <v>59</v>
      </c>
      <c r="AG621" s="3" t="s">
        <v>48</v>
      </c>
      <c r="AH621" s="3">
        <f>YEAR(SrcDB[[#This Row],[Datum_zverejnenia]])</f>
        <v>2022</v>
      </c>
      <c r="AI621" s="3" cm="1">
        <f t="array" ref="AI621">COUNT(_xlfn.UNIQUE(_xlfn._xlws.FILTER(SrcDB[ID],SrcDB[Objednavatel_ICO]=$H621)))</f>
        <v>2</v>
      </c>
      <c r="AJ621" s="3" cm="1">
        <f t="array" ref="AJ621">COUNT(_xlfn.UNIQUE(_xlfn._xlws.FILTER(SrcDB[ID],SrcDB[Dodavatel_ICO]=$K621)))</f>
        <v>34</v>
      </c>
      <c r="AK621" s="3">
        <f t="shared" si="644"/>
        <v>0</v>
      </c>
      <c r="AL621" s="3">
        <f t="shared" si="645"/>
        <v>0</v>
      </c>
      <c r="AM621" s="17" t="str">
        <f>IF(SrcDB[[#This Row],[Pocet zmluv objednavatela]]&gt;3,SrcDB[[#This Row],[Objednavatel]],"Ostatné")</f>
        <v>Ostatné</v>
      </c>
      <c r="AN621" s="17" t="str">
        <f>IF(SrcDB[[#This Row],[Pocet zmluv dodavatela]]&gt;3,SrcDB[[#This Row],[Dodavatel]],"Ostatné")</f>
        <v>Asseco Central Europe, a.s.</v>
      </c>
    </row>
    <row r="622" spans="1:40" x14ac:dyDescent="0.3">
      <c r="A622" s="2" t="s">
        <v>780</v>
      </c>
      <c r="B622" s="2">
        <v>6138326</v>
      </c>
      <c r="C622" s="3" t="str">
        <f t="shared" si="638"/>
        <v>Nie</v>
      </c>
      <c r="D622" s="3" t="str">
        <f t="shared" si="639"/>
        <v>Áno</v>
      </c>
      <c r="E622" s="3" t="s">
        <v>49</v>
      </c>
      <c r="F622" s="3" t="s">
        <v>48</v>
      </c>
      <c r="G622" s="2" t="str">
        <f t="shared" si="640"/>
        <v>Malé zmluvy</v>
      </c>
      <c r="H622" s="5" t="s">
        <v>82</v>
      </c>
      <c r="I622" s="2" t="s">
        <v>83</v>
      </c>
      <c r="J622" s="2" t="s">
        <v>84</v>
      </c>
      <c r="K622" s="5">
        <v>35760419</v>
      </c>
      <c r="L622" s="2" t="s">
        <v>85</v>
      </c>
      <c r="M622" s="2" t="s">
        <v>86</v>
      </c>
      <c r="N622" s="6">
        <v>44568.389166666668</v>
      </c>
      <c r="O622" s="4">
        <v>209100</v>
      </c>
      <c r="P622" s="2">
        <v>114571</v>
      </c>
      <c r="Q622" s="2" t="s">
        <v>781</v>
      </c>
      <c r="R622" s="2" t="s">
        <v>782</v>
      </c>
      <c r="S622" s="2" t="s">
        <v>102</v>
      </c>
      <c r="T622" s="2" t="s">
        <v>111</v>
      </c>
      <c r="W622" s="4">
        <v>510</v>
      </c>
      <c r="X622" s="4">
        <v>612</v>
      </c>
      <c r="Y622" s="4">
        <f t="shared" ref="Y622" si="689">INDEX(InternalRates,MATCH($S622,InternalRates01,FALSE),2)</f>
        <v>278.98333333333335</v>
      </c>
      <c r="Z622" s="3" t="str">
        <f t="shared" si="658"/>
        <v>Nie</v>
      </c>
      <c r="AA622" s="3" t="str">
        <f t="shared" si="659"/>
        <v>ZoD</v>
      </c>
      <c r="AB622" s="4">
        <v>5</v>
      </c>
      <c r="AD622" s="3" t="s">
        <v>49</v>
      </c>
      <c r="AE622" s="6">
        <v>44937</v>
      </c>
      <c r="AF622" s="3" t="s">
        <v>59</v>
      </c>
      <c r="AG622" s="3" t="s">
        <v>48</v>
      </c>
      <c r="AH622" s="3">
        <f>YEAR(SrcDB[[#This Row],[Datum_zverejnenia]])</f>
        <v>2022</v>
      </c>
      <c r="AI622" s="3" cm="1">
        <f t="array" ref="AI622">COUNT(_xlfn.UNIQUE(_xlfn._xlws.FILTER(SrcDB[ID],SrcDB[Objednavatel_ICO]=$H622)))</f>
        <v>2</v>
      </c>
      <c r="AJ622" s="3" cm="1">
        <f t="array" ref="AJ622">COUNT(_xlfn.UNIQUE(_xlfn._xlws.FILTER(SrcDB[ID],SrcDB[Dodavatel_ICO]=$K622)))</f>
        <v>34</v>
      </c>
      <c r="AK622" s="3">
        <f t="shared" si="644"/>
        <v>0</v>
      </c>
      <c r="AL622" s="3">
        <f t="shared" si="645"/>
        <v>0</v>
      </c>
      <c r="AM622" s="17" t="str">
        <f>IF(SrcDB[[#This Row],[Pocet zmluv objednavatela]]&gt;3,SrcDB[[#This Row],[Objednavatel]],"Ostatné")</f>
        <v>Ostatné</v>
      </c>
      <c r="AN622" s="17" t="str">
        <f>IF(SrcDB[[#This Row],[Pocet zmluv dodavatela]]&gt;3,SrcDB[[#This Row],[Dodavatel]],"Ostatné")</f>
        <v>Asseco Central Europe, a.s.</v>
      </c>
    </row>
    <row r="623" spans="1:40" x14ac:dyDescent="0.3">
      <c r="A623" s="2" t="s">
        <v>780</v>
      </c>
      <c r="B623" s="2">
        <v>6138326</v>
      </c>
      <c r="C623" s="3" t="str">
        <f t="shared" si="638"/>
        <v>Nie</v>
      </c>
      <c r="D623" s="3" t="str">
        <f t="shared" si="639"/>
        <v>Áno</v>
      </c>
      <c r="E623" s="3" t="s">
        <v>49</v>
      </c>
      <c r="F623" s="3" t="s">
        <v>48</v>
      </c>
      <c r="G623" s="2" t="str">
        <f t="shared" si="640"/>
        <v>Malé zmluvy</v>
      </c>
      <c r="H623" s="5" t="s">
        <v>82</v>
      </c>
      <c r="I623" s="2" t="s">
        <v>83</v>
      </c>
      <c r="J623" s="2" t="s">
        <v>84</v>
      </c>
      <c r="K623" s="5">
        <v>35760419</v>
      </c>
      <c r="L623" s="2" t="s">
        <v>85</v>
      </c>
      <c r="M623" s="2" t="s">
        <v>86</v>
      </c>
      <c r="N623" s="6">
        <v>44568.389166666668</v>
      </c>
      <c r="O623" s="4">
        <v>209100</v>
      </c>
      <c r="P623" s="2">
        <v>114571</v>
      </c>
      <c r="Q623" s="2" t="s">
        <v>781</v>
      </c>
      <c r="R623" s="2" t="s">
        <v>782</v>
      </c>
      <c r="S623" s="2" t="s">
        <v>79</v>
      </c>
      <c r="T623" s="2" t="s">
        <v>79</v>
      </c>
      <c r="W623" s="4">
        <v>510</v>
      </c>
      <c r="X623" s="4">
        <v>612</v>
      </c>
      <c r="Y623" s="4">
        <f t="shared" ref="Y623" si="690">INDEX(InternalRates,MATCH($S623,InternalRates01,FALSE),2)</f>
        <v>278.98333333333335</v>
      </c>
      <c r="Z623" s="3" t="str">
        <f t="shared" si="658"/>
        <v>Nie</v>
      </c>
      <c r="AA623" s="3" t="str">
        <f t="shared" si="659"/>
        <v>ZoD</v>
      </c>
      <c r="AB623" s="4">
        <v>20</v>
      </c>
      <c r="AD623" s="3" t="s">
        <v>49</v>
      </c>
      <c r="AE623" s="6">
        <v>44937</v>
      </c>
      <c r="AF623" s="3" t="s">
        <v>59</v>
      </c>
      <c r="AG623" s="3" t="s">
        <v>48</v>
      </c>
      <c r="AH623" s="3">
        <f>YEAR(SrcDB[[#This Row],[Datum_zverejnenia]])</f>
        <v>2022</v>
      </c>
      <c r="AI623" s="3" cm="1">
        <f t="array" ref="AI623">COUNT(_xlfn.UNIQUE(_xlfn._xlws.FILTER(SrcDB[ID],SrcDB[Objednavatel_ICO]=$H623)))</f>
        <v>2</v>
      </c>
      <c r="AJ623" s="3" cm="1">
        <f t="array" ref="AJ623">COUNT(_xlfn.UNIQUE(_xlfn._xlws.FILTER(SrcDB[ID],SrcDB[Dodavatel_ICO]=$K623)))</f>
        <v>34</v>
      </c>
      <c r="AK623" s="3">
        <f t="shared" si="644"/>
        <v>0</v>
      </c>
      <c r="AL623" s="3">
        <f t="shared" si="645"/>
        <v>0</v>
      </c>
      <c r="AM623" s="17" t="str">
        <f>IF(SrcDB[[#This Row],[Pocet zmluv objednavatela]]&gt;3,SrcDB[[#This Row],[Objednavatel]],"Ostatné")</f>
        <v>Ostatné</v>
      </c>
      <c r="AN623" s="17" t="str">
        <f>IF(SrcDB[[#This Row],[Pocet zmluv dodavatela]]&gt;3,SrcDB[[#This Row],[Dodavatel]],"Ostatné")</f>
        <v>Asseco Central Europe, a.s.</v>
      </c>
    </row>
    <row r="624" spans="1:40" x14ac:dyDescent="0.3">
      <c r="A624" s="2" t="s">
        <v>780</v>
      </c>
      <c r="B624" s="2">
        <v>6138326</v>
      </c>
      <c r="C624" s="3" t="str">
        <f t="shared" si="638"/>
        <v>Nie</v>
      </c>
      <c r="D624" s="3" t="str">
        <f t="shared" si="639"/>
        <v>Áno</v>
      </c>
      <c r="E624" s="3" t="s">
        <v>49</v>
      </c>
      <c r="F624" s="3" t="s">
        <v>48</v>
      </c>
      <c r="G624" s="2" t="str">
        <f t="shared" si="640"/>
        <v>Malé zmluvy</v>
      </c>
      <c r="H624" s="5" t="s">
        <v>82</v>
      </c>
      <c r="I624" s="2" t="s">
        <v>83</v>
      </c>
      <c r="J624" s="2" t="s">
        <v>84</v>
      </c>
      <c r="K624" s="5">
        <v>35760419</v>
      </c>
      <c r="L624" s="2" t="s">
        <v>85</v>
      </c>
      <c r="M624" s="2" t="s">
        <v>86</v>
      </c>
      <c r="N624" s="6">
        <v>44568.389166666668</v>
      </c>
      <c r="O624" s="4">
        <v>209100</v>
      </c>
      <c r="P624" s="2">
        <v>114571</v>
      </c>
      <c r="Q624" s="2" t="s">
        <v>781</v>
      </c>
      <c r="R624" s="2" t="s">
        <v>782</v>
      </c>
      <c r="S624" s="2" t="s">
        <v>160</v>
      </c>
      <c r="T624" s="2" t="s">
        <v>783</v>
      </c>
      <c r="W624" s="4">
        <v>510</v>
      </c>
      <c r="X624" s="4">
        <v>612</v>
      </c>
      <c r="Y624" s="4">
        <f t="shared" ref="Y624" si="691">INDEX(InternalRates,MATCH($S624,InternalRates01,FALSE),2)</f>
        <v>231.85833333333335</v>
      </c>
      <c r="Z624" s="3" t="str">
        <f t="shared" si="658"/>
        <v>Nie</v>
      </c>
      <c r="AA624" s="3" t="str">
        <f t="shared" si="659"/>
        <v>ZoD</v>
      </c>
      <c r="AB624" s="4">
        <v>20</v>
      </c>
      <c r="AD624" s="3" t="s">
        <v>49</v>
      </c>
      <c r="AE624" s="6">
        <v>44937</v>
      </c>
      <c r="AF624" s="3" t="s">
        <v>59</v>
      </c>
      <c r="AG624" s="3" t="s">
        <v>48</v>
      </c>
      <c r="AH624" s="3">
        <f>YEAR(SrcDB[[#This Row],[Datum_zverejnenia]])</f>
        <v>2022</v>
      </c>
      <c r="AI624" s="3" cm="1">
        <f t="array" ref="AI624">COUNT(_xlfn.UNIQUE(_xlfn._xlws.FILTER(SrcDB[ID],SrcDB[Objednavatel_ICO]=$H624)))</f>
        <v>2</v>
      </c>
      <c r="AJ624" s="3" cm="1">
        <f t="array" ref="AJ624">COUNT(_xlfn.UNIQUE(_xlfn._xlws.FILTER(SrcDB[ID],SrcDB[Dodavatel_ICO]=$K624)))</f>
        <v>34</v>
      </c>
      <c r="AK624" s="3">
        <f t="shared" si="644"/>
        <v>0</v>
      </c>
      <c r="AL624" s="3">
        <f t="shared" si="645"/>
        <v>0</v>
      </c>
      <c r="AM624" s="17" t="str">
        <f>IF(SrcDB[[#This Row],[Pocet zmluv objednavatela]]&gt;3,SrcDB[[#This Row],[Objednavatel]],"Ostatné")</f>
        <v>Ostatné</v>
      </c>
      <c r="AN624" s="17" t="str">
        <f>IF(SrcDB[[#This Row],[Pocet zmluv dodavatela]]&gt;3,SrcDB[[#This Row],[Dodavatel]],"Ostatné")</f>
        <v>Asseco Central Europe, a.s.</v>
      </c>
    </row>
    <row r="625" spans="1:40" x14ac:dyDescent="0.3">
      <c r="A625" s="2" t="s">
        <v>780</v>
      </c>
      <c r="B625" s="2">
        <v>6138326</v>
      </c>
      <c r="C625" s="3" t="str">
        <f t="shared" si="638"/>
        <v>Nie</v>
      </c>
      <c r="D625" s="3" t="str">
        <f t="shared" si="639"/>
        <v>Áno</v>
      </c>
      <c r="E625" s="3" t="s">
        <v>49</v>
      </c>
      <c r="F625" s="3" t="s">
        <v>48</v>
      </c>
      <c r="G625" s="2" t="str">
        <f t="shared" si="640"/>
        <v>Malé zmluvy</v>
      </c>
      <c r="H625" s="5" t="s">
        <v>82</v>
      </c>
      <c r="I625" s="2" t="s">
        <v>83</v>
      </c>
      <c r="J625" s="2" t="s">
        <v>84</v>
      </c>
      <c r="K625" s="5">
        <v>35760419</v>
      </c>
      <c r="L625" s="2" t="s">
        <v>85</v>
      </c>
      <c r="M625" s="2" t="s">
        <v>86</v>
      </c>
      <c r="N625" s="6">
        <v>44568.389166666668</v>
      </c>
      <c r="O625" s="4">
        <v>209100</v>
      </c>
      <c r="P625" s="2">
        <v>114571</v>
      </c>
      <c r="Q625" s="2" t="s">
        <v>781</v>
      </c>
      <c r="R625" s="2" t="s">
        <v>782</v>
      </c>
      <c r="S625" s="2" t="s">
        <v>69</v>
      </c>
      <c r="T625" s="2" t="s">
        <v>70</v>
      </c>
      <c r="W625" s="4">
        <v>640</v>
      </c>
      <c r="X625" s="4">
        <v>768</v>
      </c>
      <c r="Y625" s="4">
        <f t="shared" ref="Y625" si="692">INDEX(InternalRates,MATCH($S625,InternalRates01,FALSE),2)</f>
        <v>278.98333333333335</v>
      </c>
      <c r="Z625" s="3" t="str">
        <f t="shared" si="658"/>
        <v>Nie</v>
      </c>
      <c r="AA625" s="3" t="str">
        <f t="shared" si="659"/>
        <v>ZoD</v>
      </c>
      <c r="AB625" s="4">
        <v>10</v>
      </c>
      <c r="AD625" s="3" t="s">
        <v>49</v>
      </c>
      <c r="AE625" s="6">
        <v>44937</v>
      </c>
      <c r="AF625" s="3" t="s">
        <v>59</v>
      </c>
      <c r="AG625" s="3" t="s">
        <v>48</v>
      </c>
      <c r="AH625" s="3">
        <f>YEAR(SrcDB[[#This Row],[Datum_zverejnenia]])</f>
        <v>2022</v>
      </c>
      <c r="AI625" s="3" cm="1">
        <f t="array" ref="AI625">COUNT(_xlfn.UNIQUE(_xlfn._xlws.FILTER(SrcDB[ID],SrcDB[Objednavatel_ICO]=$H625)))</f>
        <v>2</v>
      </c>
      <c r="AJ625" s="3" cm="1">
        <f t="array" ref="AJ625">COUNT(_xlfn.UNIQUE(_xlfn._xlws.FILTER(SrcDB[ID],SrcDB[Dodavatel_ICO]=$K625)))</f>
        <v>34</v>
      </c>
      <c r="AK625" s="3">
        <f t="shared" si="644"/>
        <v>0</v>
      </c>
      <c r="AL625" s="3">
        <f t="shared" si="645"/>
        <v>0</v>
      </c>
      <c r="AM625" s="17" t="str">
        <f>IF(SrcDB[[#This Row],[Pocet zmluv objednavatela]]&gt;3,SrcDB[[#This Row],[Objednavatel]],"Ostatné")</f>
        <v>Ostatné</v>
      </c>
      <c r="AN625" s="17" t="str">
        <f>IF(SrcDB[[#This Row],[Pocet zmluv dodavatela]]&gt;3,SrcDB[[#This Row],[Dodavatel]],"Ostatné")</f>
        <v>Asseco Central Europe, a.s.</v>
      </c>
    </row>
    <row r="626" spans="1:40" x14ac:dyDescent="0.3">
      <c r="A626" s="2" t="s">
        <v>784</v>
      </c>
      <c r="B626" s="2">
        <v>6152333</v>
      </c>
      <c r="C626" s="3" t="str">
        <f t="shared" si="638"/>
        <v>Nejasné</v>
      </c>
      <c r="D626" s="3" t="str">
        <f t="shared" si="639"/>
        <v>Nejasné</v>
      </c>
      <c r="E626" s="3" t="s">
        <v>48</v>
      </c>
      <c r="F626" s="3" t="s">
        <v>49</v>
      </c>
      <c r="G626" s="2" t="str">
        <f t="shared" si="640"/>
        <v>Malé zmluvy</v>
      </c>
      <c r="H626" s="5">
        <v>36211541</v>
      </c>
      <c r="I626" s="2" t="s">
        <v>689</v>
      </c>
      <c r="J626" s="2" t="s">
        <v>690</v>
      </c>
      <c r="K626" s="5">
        <v>36785512</v>
      </c>
      <c r="L626" s="2" t="s">
        <v>700</v>
      </c>
      <c r="M626" s="2" t="s">
        <v>701</v>
      </c>
      <c r="N626" s="6">
        <v>44578.60597222222</v>
      </c>
      <c r="O626" s="4">
        <v>240000</v>
      </c>
      <c r="P626" s="2">
        <v>406837</v>
      </c>
      <c r="Q626" s="2" t="s">
        <v>785</v>
      </c>
      <c r="R626" s="2" t="s">
        <v>786</v>
      </c>
      <c r="S626" s="2" t="s">
        <v>183</v>
      </c>
      <c r="T626" s="2" t="s">
        <v>183</v>
      </c>
      <c r="W626" s="4">
        <v>500</v>
      </c>
      <c r="X626" s="4">
        <v>600</v>
      </c>
      <c r="Y626" s="4">
        <f t="shared" ref="Y626" si="693">INDEX(InternalRates,MATCH($S626,InternalRates01,FALSE),2)</f>
        <v>278.98333333333335</v>
      </c>
      <c r="Z626" s="3" t="str">
        <f t="shared" si="658"/>
        <v>Nie</v>
      </c>
      <c r="AA626" s="3" t="str">
        <f t="shared" si="659"/>
        <v>SLA</v>
      </c>
      <c r="AD626" s="3" t="s">
        <v>48</v>
      </c>
      <c r="AE626" s="6">
        <v>44990</v>
      </c>
      <c r="AF626" s="3" t="s">
        <v>59</v>
      </c>
      <c r="AG626" s="3" t="s">
        <v>60</v>
      </c>
      <c r="AH626" s="3">
        <f>YEAR(SrcDB[[#This Row],[Datum_zverejnenia]])</f>
        <v>2022</v>
      </c>
      <c r="AI626" s="3" cm="1">
        <f t="array" ref="AI626">COUNT(_xlfn.UNIQUE(_xlfn._xlws.FILTER(SrcDB[ID],SrcDB[Objednavatel_ICO]=$H626)))</f>
        <v>6</v>
      </c>
      <c r="AJ626" s="3" cm="1">
        <f t="array" ref="AJ626">COUNT(_xlfn.UNIQUE(_xlfn._xlws.FILTER(SrcDB[ID],SrcDB[Dodavatel_ICO]=$K626)))</f>
        <v>7</v>
      </c>
      <c r="AK626" s="3">
        <f t="shared" si="644"/>
        <v>1</v>
      </c>
      <c r="AL626" s="3">
        <f t="shared" si="645"/>
        <v>1</v>
      </c>
      <c r="AM626" s="17" t="str">
        <f>IF(SrcDB[[#This Row],[Pocet zmluv objednavatela]]&gt;3,SrcDB[[#This Row],[Objednavatel]],"Ostatné")</f>
        <v>TEKO, a. s. / MH Teplárenský holding, a.s.</v>
      </c>
      <c r="AN626" s="17" t="str">
        <f>IF(SrcDB[[#This Row],[Pocet zmluv dodavatela]]&gt;3,SrcDB[[#This Row],[Dodavatel]],"Ostatné")</f>
        <v>SOFTIP, a. s.</v>
      </c>
    </row>
    <row r="627" spans="1:40" x14ac:dyDescent="0.3">
      <c r="A627" s="2" t="s">
        <v>787</v>
      </c>
      <c r="B627" s="2">
        <v>6176444</v>
      </c>
      <c r="C627" s="3" t="str">
        <f t="shared" si="638"/>
        <v>Nie</v>
      </c>
      <c r="D627" s="3" t="str">
        <f t="shared" si="639"/>
        <v>Áno</v>
      </c>
      <c r="E627" s="3" t="s">
        <v>48</v>
      </c>
      <c r="F627" s="3" t="s">
        <v>49</v>
      </c>
      <c r="G627" s="2" t="str">
        <f t="shared" si="640"/>
        <v>Stredné zmluvy</v>
      </c>
      <c r="H627" s="5">
        <v>35937874</v>
      </c>
      <c r="I627" s="2" t="s">
        <v>371</v>
      </c>
      <c r="J627" s="2" t="s">
        <v>372</v>
      </c>
      <c r="K627" s="5">
        <v>35760419</v>
      </c>
      <c r="L627" s="2" t="s">
        <v>85</v>
      </c>
      <c r="M627" s="2" t="s">
        <v>788</v>
      </c>
      <c r="N627" s="6">
        <v>44588.633067129631</v>
      </c>
      <c r="O627" s="4">
        <v>1712740.26</v>
      </c>
      <c r="P627" s="2">
        <v>114503</v>
      </c>
      <c r="Q627" s="2" t="s">
        <v>789</v>
      </c>
      <c r="R627" s="2" t="s">
        <v>790</v>
      </c>
      <c r="S627" s="2" t="s">
        <v>183</v>
      </c>
      <c r="T627" s="2" t="s">
        <v>183</v>
      </c>
      <c r="W627" s="4">
        <v>560</v>
      </c>
      <c r="X627" s="4">
        <v>672</v>
      </c>
      <c r="Y627" s="4">
        <f t="shared" ref="Y627" si="694">INDEX(InternalRates,MATCH($S627,InternalRates01,FALSE),2)</f>
        <v>278.98333333333335</v>
      </c>
      <c r="Z627" s="3" t="str">
        <f t="shared" si="658"/>
        <v>Nie</v>
      </c>
      <c r="AA627" s="3" t="str">
        <f t="shared" si="659"/>
        <v>SLA</v>
      </c>
      <c r="AB627" s="4">
        <v>12</v>
      </c>
      <c r="AC627" s="4">
        <v>1.0909090909090908</v>
      </c>
      <c r="AD627" s="3" t="s">
        <v>48</v>
      </c>
      <c r="AE627" s="6">
        <v>44987</v>
      </c>
      <c r="AF627" s="3" t="s">
        <v>59</v>
      </c>
      <c r="AG627" s="3" t="s">
        <v>48</v>
      </c>
      <c r="AH627" s="3">
        <f>YEAR(SrcDB[[#This Row],[Datum_zverejnenia]])</f>
        <v>2022</v>
      </c>
      <c r="AI627" s="3" cm="1">
        <f t="array" ref="AI627">COUNT(_xlfn.UNIQUE(_xlfn._xlws.FILTER(SrcDB[ID],SrcDB[Objednavatel_ICO]=$H627)))</f>
        <v>4</v>
      </c>
      <c r="AJ627" s="3" cm="1">
        <f t="array" ref="AJ627">COUNT(_xlfn.UNIQUE(_xlfn._xlws.FILTER(SrcDB[ID],SrcDB[Dodavatel_ICO]=$K627)))</f>
        <v>34</v>
      </c>
      <c r="AK627" s="3">
        <f t="shared" si="644"/>
        <v>1</v>
      </c>
      <c r="AL627" s="3">
        <f t="shared" si="645"/>
        <v>1</v>
      </c>
      <c r="AM627" s="17" t="str">
        <f>IF(SrcDB[[#This Row],[Pocet zmluv objednavatela]]&gt;3,SrcDB[[#This Row],[Objednavatel]],"Ostatné")</f>
        <v>Všeobecná zdravotná poisťovňa a.s.</v>
      </c>
      <c r="AN627" s="17" t="str">
        <f>IF(SrcDB[[#This Row],[Pocet zmluv dodavatela]]&gt;3,SrcDB[[#This Row],[Dodavatel]],"Ostatné")</f>
        <v>Asseco Central Europe, a.s.</v>
      </c>
    </row>
    <row r="628" spans="1:40" x14ac:dyDescent="0.3">
      <c r="A628" s="2" t="s">
        <v>791</v>
      </c>
      <c r="B628" s="2">
        <v>6165783</v>
      </c>
      <c r="C628" s="3" t="str">
        <f t="shared" si="638"/>
        <v>Nejasné</v>
      </c>
      <c r="D628" s="3" t="str">
        <f t="shared" si="639"/>
        <v>Nejasné</v>
      </c>
      <c r="E628" s="3" t="s">
        <v>48</v>
      </c>
      <c r="F628" s="3" t="s">
        <v>49</v>
      </c>
      <c r="G628" s="2" t="str">
        <f t="shared" si="640"/>
        <v>Stredné zmluvy</v>
      </c>
      <c r="H628" s="5">
        <v>35829141</v>
      </c>
      <c r="I628" s="2" t="s">
        <v>177</v>
      </c>
      <c r="J628" s="2" t="s">
        <v>178</v>
      </c>
      <c r="K628" s="5">
        <v>35955678</v>
      </c>
      <c r="L628" s="2" t="s">
        <v>179</v>
      </c>
      <c r="M628" s="2" t="s">
        <v>180</v>
      </c>
      <c r="N628" s="6">
        <v>44593.625543981485</v>
      </c>
      <c r="O628" s="4">
        <v>1439328</v>
      </c>
      <c r="P628" s="2">
        <v>358672</v>
      </c>
      <c r="Q628" s="2" t="s">
        <v>792</v>
      </c>
      <c r="R628" s="2" t="s">
        <v>793</v>
      </c>
      <c r="S628" s="2" t="s">
        <v>183</v>
      </c>
      <c r="T628" s="2" t="s">
        <v>183</v>
      </c>
      <c r="W628" s="4">
        <v>704</v>
      </c>
      <c r="X628" s="4">
        <v>844.8</v>
      </c>
      <c r="Y628" s="4">
        <f t="shared" ref="Y628" si="695">INDEX(InternalRates,MATCH($S628,InternalRates01,FALSE),2)</f>
        <v>278.98333333333335</v>
      </c>
      <c r="Z628" s="3" t="str">
        <f t="shared" si="658"/>
        <v>Nie</v>
      </c>
      <c r="AA628" s="3" t="str">
        <f t="shared" si="659"/>
        <v>SLA</v>
      </c>
      <c r="AB628" s="4">
        <v>13630</v>
      </c>
      <c r="AC628" s="4">
        <v>3480</v>
      </c>
      <c r="AD628" s="3" t="s">
        <v>48</v>
      </c>
      <c r="AE628" s="6">
        <v>44991</v>
      </c>
      <c r="AF628" s="3" t="s">
        <v>59</v>
      </c>
      <c r="AG628" s="3" t="s">
        <v>48</v>
      </c>
      <c r="AH628" s="3">
        <f>YEAR(SrcDB[[#This Row],[Datum_zverejnenia]])</f>
        <v>2022</v>
      </c>
      <c r="AI628" s="3" cm="1">
        <f t="array" ref="AI628">COUNT(_xlfn.UNIQUE(_xlfn._xlws.FILTER(SrcDB[ID],SrcDB[Objednavatel_ICO]=$H628)))</f>
        <v>8</v>
      </c>
      <c r="AJ628" s="3" cm="1">
        <f t="array" ref="AJ628">COUNT(_xlfn.UNIQUE(_xlfn._xlws.FILTER(SrcDB[ID],SrcDB[Dodavatel_ICO]=$K628)))</f>
        <v>14</v>
      </c>
      <c r="AK628" s="3">
        <f t="shared" si="644"/>
        <v>1</v>
      </c>
      <c r="AL628" s="3">
        <f t="shared" si="645"/>
        <v>1</v>
      </c>
      <c r="AM628" s="17" t="str">
        <f>IF(SrcDB[[#This Row],[Pocet zmluv objednavatela]]&gt;3,SrcDB[[#This Row],[Objednavatel]],"Ostatné")</f>
        <v>Slovenská elektrizačná prenosová sústava, a.s.</v>
      </c>
      <c r="AN628" s="17" t="str">
        <f>IF(SrcDB[[#This Row],[Pocet zmluv dodavatela]]&gt;3,SrcDB[[#This Row],[Dodavatel]],"Ostatné")</f>
        <v>SOITRON, s.r.o.</v>
      </c>
    </row>
    <row r="629" spans="1:40" x14ac:dyDescent="0.3">
      <c r="A629" s="2" t="s">
        <v>794</v>
      </c>
      <c r="B629" s="2">
        <v>6199020</v>
      </c>
      <c r="C629" s="3" t="str">
        <f t="shared" si="638"/>
        <v>Nie</v>
      </c>
      <c r="D629" s="3" t="str">
        <f t="shared" si="639"/>
        <v>Áno</v>
      </c>
      <c r="E629" s="3" t="s">
        <v>49</v>
      </c>
      <c r="F629" s="3" t="s">
        <v>48</v>
      </c>
      <c r="G629" s="2" t="str">
        <f t="shared" si="640"/>
        <v>Malé zmluvy</v>
      </c>
      <c r="H629" s="5">
        <v>35815256</v>
      </c>
      <c r="I629" s="2" t="s">
        <v>574</v>
      </c>
      <c r="J629" s="2" t="s">
        <v>575</v>
      </c>
      <c r="K629" s="5">
        <v>35955678</v>
      </c>
      <c r="L629" s="2" t="s">
        <v>179</v>
      </c>
      <c r="M629" s="2" t="s">
        <v>795</v>
      </c>
      <c r="N629" s="6">
        <v>44600</v>
      </c>
      <c r="O629" s="4">
        <v>494573.82</v>
      </c>
      <c r="P629" s="2">
        <v>114499</v>
      </c>
      <c r="Q629" s="2" t="s">
        <v>796</v>
      </c>
      <c r="R629" s="2" t="s">
        <v>797</v>
      </c>
      <c r="S629" s="2" t="s">
        <v>73</v>
      </c>
      <c r="T629" s="2" t="s">
        <v>73</v>
      </c>
      <c r="W629" s="4">
        <v>640</v>
      </c>
      <c r="X629" s="4">
        <v>768</v>
      </c>
      <c r="Y629" s="4">
        <f t="shared" ref="Y629" si="696">INDEX(InternalRates,MATCH($S629,InternalRates01,FALSE),2)</f>
        <v>278.98333333333335</v>
      </c>
      <c r="Z629" s="3" t="str">
        <f t="shared" si="658"/>
        <v>Nie</v>
      </c>
      <c r="AA629" s="3" t="str">
        <f t="shared" si="659"/>
        <v>ZoD</v>
      </c>
      <c r="AD629" s="3" t="s">
        <v>48</v>
      </c>
      <c r="AE629" s="6">
        <v>44942</v>
      </c>
      <c r="AF629" s="3" t="s">
        <v>59</v>
      </c>
      <c r="AG629" s="3" t="s">
        <v>48</v>
      </c>
      <c r="AH629" s="3">
        <f>YEAR(SrcDB[[#This Row],[Datum_zverejnenia]])</f>
        <v>2022</v>
      </c>
      <c r="AI629" s="3" cm="1">
        <f t="array" ref="AI629">COUNT(_xlfn.UNIQUE(_xlfn._xlws.FILTER(SrcDB[ID],SrcDB[Objednavatel_ICO]=$H629)))</f>
        <v>6</v>
      </c>
      <c r="AJ629" s="3" cm="1">
        <f t="array" ref="AJ629">COUNT(_xlfn.UNIQUE(_xlfn._xlws.FILTER(SrcDB[ID],SrcDB[Dodavatel_ICO]=$K629)))</f>
        <v>14</v>
      </c>
      <c r="AK629" s="3">
        <f t="shared" si="644"/>
        <v>1</v>
      </c>
      <c r="AL629" s="3">
        <f t="shared" si="645"/>
        <v>1</v>
      </c>
      <c r="AM629" s="17" t="str">
        <f>IF(SrcDB[[#This Row],[Pocet zmluv objednavatela]]&gt;3,SrcDB[[#This Row],[Objednavatel]],"Ostatné")</f>
        <v>Slovenský plynárenský priemysel, a.s.</v>
      </c>
      <c r="AN629" s="17" t="str">
        <f>IF(SrcDB[[#This Row],[Pocet zmluv dodavatela]]&gt;3,SrcDB[[#This Row],[Dodavatel]],"Ostatné")</f>
        <v>SOITRON, s.r.o.</v>
      </c>
    </row>
    <row r="630" spans="1:40" x14ac:dyDescent="0.3">
      <c r="A630" s="2" t="s">
        <v>794</v>
      </c>
      <c r="B630" s="2">
        <v>6199020</v>
      </c>
      <c r="C630" s="3" t="str">
        <f t="shared" si="638"/>
        <v>Nie</v>
      </c>
      <c r="D630" s="3" t="str">
        <f t="shared" si="639"/>
        <v>Áno</v>
      </c>
      <c r="E630" s="3" t="s">
        <v>49</v>
      </c>
      <c r="F630" s="3" t="s">
        <v>48</v>
      </c>
      <c r="G630" s="2" t="str">
        <f t="shared" si="640"/>
        <v>Malé zmluvy</v>
      </c>
      <c r="H630" s="5">
        <v>35815256</v>
      </c>
      <c r="I630" s="2" t="s">
        <v>574</v>
      </c>
      <c r="J630" s="2" t="s">
        <v>575</v>
      </c>
      <c r="K630" s="5">
        <v>35955678</v>
      </c>
      <c r="L630" s="2" t="s">
        <v>179</v>
      </c>
      <c r="M630" s="2" t="s">
        <v>795</v>
      </c>
      <c r="N630" s="6">
        <v>44600</v>
      </c>
      <c r="O630" s="4">
        <v>494573.82</v>
      </c>
      <c r="P630" s="2">
        <v>114499</v>
      </c>
      <c r="Q630" s="2" t="s">
        <v>796</v>
      </c>
      <c r="R630" s="2" t="s">
        <v>797</v>
      </c>
      <c r="S630" s="2" t="s">
        <v>162</v>
      </c>
      <c r="T630" s="2" t="s">
        <v>580</v>
      </c>
      <c r="W630" s="4">
        <v>500</v>
      </c>
      <c r="X630" s="4">
        <v>600</v>
      </c>
      <c r="Y630" s="4">
        <f t="shared" ref="Y630" si="697">INDEX(InternalRates,MATCH($S630,InternalRates01,FALSE),2)</f>
        <v>231.85833333333335</v>
      </c>
      <c r="Z630" s="3" t="str">
        <f t="shared" si="658"/>
        <v>Nie</v>
      </c>
      <c r="AA630" s="3" t="str">
        <f t="shared" si="659"/>
        <v>ZoD</v>
      </c>
      <c r="AD630" s="3" t="s">
        <v>48</v>
      </c>
      <c r="AE630" s="6">
        <v>44942</v>
      </c>
      <c r="AF630" s="3" t="s">
        <v>59</v>
      </c>
      <c r="AG630" s="3" t="s">
        <v>48</v>
      </c>
      <c r="AH630" s="3">
        <f>YEAR(SrcDB[[#This Row],[Datum_zverejnenia]])</f>
        <v>2022</v>
      </c>
      <c r="AI630" s="3" cm="1">
        <f t="array" ref="AI630">COUNT(_xlfn.UNIQUE(_xlfn._xlws.FILTER(SrcDB[ID],SrcDB[Objednavatel_ICO]=$H630)))</f>
        <v>6</v>
      </c>
      <c r="AJ630" s="3" cm="1">
        <f t="array" ref="AJ630">COUNT(_xlfn.UNIQUE(_xlfn._xlws.FILTER(SrcDB[ID],SrcDB[Dodavatel_ICO]=$K630)))</f>
        <v>14</v>
      </c>
      <c r="AK630" s="3">
        <f t="shared" si="644"/>
        <v>0</v>
      </c>
      <c r="AL630" s="3">
        <f t="shared" si="645"/>
        <v>0</v>
      </c>
      <c r="AM630" s="17" t="str">
        <f>IF(SrcDB[[#This Row],[Pocet zmluv objednavatela]]&gt;3,SrcDB[[#This Row],[Objednavatel]],"Ostatné")</f>
        <v>Slovenský plynárenský priemysel, a.s.</v>
      </c>
      <c r="AN630" s="17" t="str">
        <f>IF(SrcDB[[#This Row],[Pocet zmluv dodavatela]]&gt;3,SrcDB[[#This Row],[Dodavatel]],"Ostatné")</f>
        <v>SOITRON, s.r.o.</v>
      </c>
    </row>
    <row r="631" spans="1:40" x14ac:dyDescent="0.3">
      <c r="A631" s="2" t="s">
        <v>794</v>
      </c>
      <c r="B631" s="2">
        <v>6199020</v>
      </c>
      <c r="C631" s="3" t="str">
        <f t="shared" si="638"/>
        <v>Nie</v>
      </c>
      <c r="D631" s="3" t="str">
        <f t="shared" si="639"/>
        <v>Áno</v>
      </c>
      <c r="E631" s="3" t="s">
        <v>49</v>
      </c>
      <c r="F631" s="3" t="s">
        <v>48</v>
      </c>
      <c r="G631" s="2" t="str">
        <f t="shared" si="640"/>
        <v>Malé zmluvy</v>
      </c>
      <c r="H631" s="5">
        <v>35815256</v>
      </c>
      <c r="I631" s="2" t="s">
        <v>574</v>
      </c>
      <c r="J631" s="2" t="s">
        <v>575</v>
      </c>
      <c r="K631" s="5">
        <v>35955678</v>
      </c>
      <c r="L631" s="2" t="s">
        <v>179</v>
      </c>
      <c r="M631" s="2" t="s">
        <v>795</v>
      </c>
      <c r="N631" s="6">
        <v>44600</v>
      </c>
      <c r="O631" s="4">
        <v>494573.82</v>
      </c>
      <c r="P631" s="2">
        <v>114499</v>
      </c>
      <c r="Q631" s="2" t="s">
        <v>796</v>
      </c>
      <c r="R631" s="2" t="s">
        <v>797</v>
      </c>
      <c r="S631" s="2" t="s">
        <v>98</v>
      </c>
      <c r="T631" s="2" t="s">
        <v>98</v>
      </c>
      <c r="W631" s="4">
        <v>450</v>
      </c>
      <c r="X631" s="4">
        <v>540</v>
      </c>
      <c r="Y631" s="4">
        <f t="shared" ref="Y631" si="698">INDEX(InternalRates,MATCH($S631,InternalRates01,FALSE),2)</f>
        <v>278.98333333333335</v>
      </c>
      <c r="Z631" s="3" t="str">
        <f t="shared" si="658"/>
        <v>Nie</v>
      </c>
      <c r="AA631" s="3" t="str">
        <f t="shared" si="659"/>
        <v>ZoD</v>
      </c>
      <c r="AD631" s="3" t="s">
        <v>48</v>
      </c>
      <c r="AE631" s="6">
        <v>44942</v>
      </c>
      <c r="AF631" s="3" t="s">
        <v>59</v>
      </c>
      <c r="AG631" s="3" t="s">
        <v>48</v>
      </c>
      <c r="AH631" s="3">
        <f>YEAR(SrcDB[[#This Row],[Datum_zverejnenia]])</f>
        <v>2022</v>
      </c>
      <c r="AI631" s="3" cm="1">
        <f t="array" ref="AI631">COUNT(_xlfn.UNIQUE(_xlfn._xlws.FILTER(SrcDB[ID],SrcDB[Objednavatel_ICO]=$H631)))</f>
        <v>6</v>
      </c>
      <c r="AJ631" s="3" cm="1">
        <f t="array" ref="AJ631">COUNT(_xlfn.UNIQUE(_xlfn._xlws.FILTER(SrcDB[ID],SrcDB[Dodavatel_ICO]=$K631)))</f>
        <v>14</v>
      </c>
      <c r="AK631" s="3">
        <f t="shared" si="644"/>
        <v>0</v>
      </c>
      <c r="AL631" s="3">
        <f t="shared" si="645"/>
        <v>0</v>
      </c>
      <c r="AM631" s="17" t="str">
        <f>IF(SrcDB[[#This Row],[Pocet zmluv objednavatela]]&gt;3,SrcDB[[#This Row],[Objednavatel]],"Ostatné")</f>
        <v>Slovenský plynárenský priemysel, a.s.</v>
      </c>
      <c r="AN631" s="17" t="str">
        <f>IF(SrcDB[[#This Row],[Pocet zmluv dodavatela]]&gt;3,SrcDB[[#This Row],[Dodavatel]],"Ostatné")</f>
        <v>SOITRON, s.r.o.</v>
      </c>
    </row>
    <row r="632" spans="1:40" x14ac:dyDescent="0.3">
      <c r="A632" s="2" t="s">
        <v>794</v>
      </c>
      <c r="B632" s="2">
        <v>6199020</v>
      </c>
      <c r="C632" s="3" t="str">
        <f t="shared" si="638"/>
        <v>Nie</v>
      </c>
      <c r="D632" s="3" t="str">
        <f t="shared" si="639"/>
        <v>Áno</v>
      </c>
      <c r="E632" s="3" t="s">
        <v>49</v>
      </c>
      <c r="F632" s="3" t="s">
        <v>48</v>
      </c>
      <c r="G632" s="2" t="str">
        <f t="shared" si="640"/>
        <v>Malé zmluvy</v>
      </c>
      <c r="H632" s="5">
        <v>35815256</v>
      </c>
      <c r="I632" s="2" t="s">
        <v>574</v>
      </c>
      <c r="J632" s="2" t="s">
        <v>575</v>
      </c>
      <c r="K632" s="5">
        <v>35955678</v>
      </c>
      <c r="L632" s="2" t="s">
        <v>179</v>
      </c>
      <c r="M632" s="2" t="s">
        <v>795</v>
      </c>
      <c r="N632" s="6">
        <v>44600</v>
      </c>
      <c r="O632" s="4">
        <v>494573.82</v>
      </c>
      <c r="P632" s="2">
        <v>114499</v>
      </c>
      <c r="Q632" s="2" t="s">
        <v>796</v>
      </c>
      <c r="R632" s="2" t="s">
        <v>797</v>
      </c>
      <c r="S632" s="2" t="s">
        <v>123</v>
      </c>
      <c r="T632" s="2" t="s">
        <v>582</v>
      </c>
      <c r="V632" s="2" t="s">
        <v>583</v>
      </c>
      <c r="W632" s="4">
        <v>600</v>
      </c>
      <c r="X632" s="4">
        <v>720</v>
      </c>
      <c r="Y632" s="4">
        <f t="shared" ref="Y632" si="699">INDEX(InternalRates,MATCH($S632,InternalRates01,FALSE),2)</f>
        <v>231.85833333333335</v>
      </c>
      <c r="Z632" s="3" t="str">
        <f t="shared" si="658"/>
        <v>Nie</v>
      </c>
      <c r="AA632" s="3" t="str">
        <f t="shared" si="659"/>
        <v>ZoD</v>
      </c>
      <c r="AD632" s="3" t="s">
        <v>48</v>
      </c>
      <c r="AE632" s="6">
        <v>44942</v>
      </c>
      <c r="AF632" s="3" t="s">
        <v>59</v>
      </c>
      <c r="AG632" s="3" t="s">
        <v>48</v>
      </c>
      <c r="AH632" s="3">
        <f>YEAR(SrcDB[[#This Row],[Datum_zverejnenia]])</f>
        <v>2022</v>
      </c>
      <c r="AI632" s="3" cm="1">
        <f t="array" ref="AI632">COUNT(_xlfn.UNIQUE(_xlfn._xlws.FILTER(SrcDB[ID],SrcDB[Objednavatel_ICO]=$H632)))</f>
        <v>6</v>
      </c>
      <c r="AJ632" s="3" cm="1">
        <f t="array" ref="AJ632">COUNT(_xlfn.UNIQUE(_xlfn._xlws.FILTER(SrcDB[ID],SrcDB[Dodavatel_ICO]=$K632)))</f>
        <v>14</v>
      </c>
      <c r="AK632" s="3">
        <f t="shared" si="644"/>
        <v>0</v>
      </c>
      <c r="AL632" s="3">
        <f t="shared" si="645"/>
        <v>0</v>
      </c>
      <c r="AM632" s="17" t="str">
        <f>IF(SrcDB[[#This Row],[Pocet zmluv objednavatela]]&gt;3,SrcDB[[#This Row],[Objednavatel]],"Ostatné")</f>
        <v>Slovenský plynárenský priemysel, a.s.</v>
      </c>
      <c r="AN632" s="17" t="str">
        <f>IF(SrcDB[[#This Row],[Pocet zmluv dodavatela]]&gt;3,SrcDB[[#This Row],[Dodavatel]],"Ostatné")</f>
        <v>SOITRON, s.r.o.</v>
      </c>
    </row>
    <row r="633" spans="1:40" x14ac:dyDescent="0.3">
      <c r="A633" s="2" t="s">
        <v>794</v>
      </c>
      <c r="B633" s="2">
        <v>6199020</v>
      </c>
      <c r="C633" s="3" t="str">
        <f t="shared" si="638"/>
        <v>Nie</v>
      </c>
      <c r="D633" s="3" t="str">
        <f t="shared" si="639"/>
        <v>Áno</v>
      </c>
      <c r="E633" s="3" t="s">
        <v>49</v>
      </c>
      <c r="F633" s="3" t="s">
        <v>48</v>
      </c>
      <c r="G633" s="2" t="str">
        <f t="shared" si="640"/>
        <v>Malé zmluvy</v>
      </c>
      <c r="H633" s="5">
        <v>35815256</v>
      </c>
      <c r="I633" s="2" t="s">
        <v>574</v>
      </c>
      <c r="J633" s="2" t="s">
        <v>575</v>
      </c>
      <c r="K633" s="5">
        <v>35955678</v>
      </c>
      <c r="L633" s="2" t="s">
        <v>179</v>
      </c>
      <c r="M633" s="2" t="s">
        <v>795</v>
      </c>
      <c r="N633" s="6">
        <v>44600</v>
      </c>
      <c r="O633" s="4">
        <v>494573.82</v>
      </c>
      <c r="P633" s="2">
        <v>114499</v>
      </c>
      <c r="Q633" s="2" t="s">
        <v>796</v>
      </c>
      <c r="R633" s="2" t="s">
        <v>797</v>
      </c>
      <c r="S633" s="2" t="s">
        <v>77</v>
      </c>
      <c r="T633" s="2" t="s">
        <v>77</v>
      </c>
      <c r="W633" s="4">
        <v>640</v>
      </c>
      <c r="X633" s="4">
        <v>768</v>
      </c>
      <c r="Y633" s="4">
        <f t="shared" ref="Y633" si="700">INDEX(InternalRates,MATCH($S633,InternalRates01,FALSE),2)</f>
        <v>278.98333333333335</v>
      </c>
      <c r="Z633" s="3" t="str">
        <f t="shared" si="658"/>
        <v>Nie</v>
      </c>
      <c r="AA633" s="3" t="str">
        <f t="shared" si="659"/>
        <v>ZoD</v>
      </c>
      <c r="AD633" s="3" t="s">
        <v>48</v>
      </c>
      <c r="AE633" s="6">
        <v>44942</v>
      </c>
      <c r="AF633" s="3" t="s">
        <v>59</v>
      </c>
      <c r="AG633" s="3" t="s">
        <v>48</v>
      </c>
      <c r="AH633" s="3">
        <f>YEAR(SrcDB[[#This Row],[Datum_zverejnenia]])</f>
        <v>2022</v>
      </c>
      <c r="AI633" s="3" cm="1">
        <f t="array" ref="AI633">COUNT(_xlfn.UNIQUE(_xlfn._xlws.FILTER(SrcDB[ID],SrcDB[Objednavatel_ICO]=$H633)))</f>
        <v>6</v>
      </c>
      <c r="AJ633" s="3" cm="1">
        <f t="array" ref="AJ633">COUNT(_xlfn.UNIQUE(_xlfn._xlws.FILTER(SrcDB[ID],SrcDB[Dodavatel_ICO]=$K633)))</f>
        <v>14</v>
      </c>
      <c r="AK633" s="3">
        <f t="shared" si="644"/>
        <v>0</v>
      </c>
      <c r="AL633" s="3">
        <f t="shared" si="645"/>
        <v>0</v>
      </c>
      <c r="AM633" s="17" t="str">
        <f>IF(SrcDB[[#This Row],[Pocet zmluv objednavatela]]&gt;3,SrcDB[[#This Row],[Objednavatel]],"Ostatné")</f>
        <v>Slovenský plynárenský priemysel, a.s.</v>
      </c>
      <c r="AN633" s="17" t="str">
        <f>IF(SrcDB[[#This Row],[Pocet zmluv dodavatela]]&gt;3,SrcDB[[#This Row],[Dodavatel]],"Ostatné")</f>
        <v>SOITRON, s.r.o.</v>
      </c>
    </row>
    <row r="634" spans="1:40" x14ac:dyDescent="0.3">
      <c r="A634" s="2" t="s">
        <v>794</v>
      </c>
      <c r="B634" s="2">
        <v>6199020</v>
      </c>
      <c r="C634" s="3" t="str">
        <f t="shared" si="638"/>
        <v>Nie</v>
      </c>
      <c r="D634" s="3" t="str">
        <f t="shared" si="639"/>
        <v>Áno</v>
      </c>
      <c r="E634" s="3" t="s">
        <v>49</v>
      </c>
      <c r="F634" s="3" t="s">
        <v>48</v>
      </c>
      <c r="G634" s="2" t="str">
        <f t="shared" si="640"/>
        <v>Malé zmluvy</v>
      </c>
      <c r="H634" s="5">
        <v>35815256</v>
      </c>
      <c r="I634" s="2" t="s">
        <v>574</v>
      </c>
      <c r="J634" s="2" t="s">
        <v>575</v>
      </c>
      <c r="K634" s="5">
        <v>35955678</v>
      </c>
      <c r="L634" s="2" t="s">
        <v>179</v>
      </c>
      <c r="M634" s="2" t="s">
        <v>795</v>
      </c>
      <c r="N634" s="6">
        <v>44600.657442129632</v>
      </c>
      <c r="O634" s="4">
        <v>494573.82</v>
      </c>
      <c r="P634" s="2">
        <v>114499</v>
      </c>
      <c r="Q634" s="2" t="s">
        <v>796</v>
      </c>
      <c r="R634" s="2" t="s">
        <v>797</v>
      </c>
      <c r="S634" s="2" t="s">
        <v>69</v>
      </c>
      <c r="T634" s="2" t="s">
        <v>70</v>
      </c>
      <c r="W634" s="4">
        <v>640</v>
      </c>
      <c r="X634" s="4">
        <v>768</v>
      </c>
      <c r="Y634" s="4">
        <f t="shared" ref="Y634" si="701">INDEX(InternalRates,MATCH($S634,InternalRates01,FALSE),2)</f>
        <v>278.98333333333335</v>
      </c>
      <c r="Z634" s="3" t="str">
        <f>IF(W634&gt;0,IF(Y634&gt;W634,"Áno","Nie"),"Nie")</f>
        <v>Nie</v>
      </c>
      <c r="AA634" s="3" t="str">
        <f>IF(E634="Nie","SLA",IF(F634="Nie","ZoD","SLA+ZoD"))</f>
        <v>ZoD</v>
      </c>
      <c r="AD634" s="3" t="s">
        <v>48</v>
      </c>
      <c r="AE634" s="6">
        <v>44942</v>
      </c>
      <c r="AF634" s="3" t="s">
        <v>59</v>
      </c>
      <c r="AG634" s="3" t="s">
        <v>48</v>
      </c>
      <c r="AH634" s="3">
        <f>YEAR(SrcDB[[#This Row],[Datum_zverejnenia]])</f>
        <v>2022</v>
      </c>
      <c r="AI634" s="3" cm="1">
        <f t="array" ref="AI634">COUNT(_xlfn.UNIQUE(_xlfn._xlws.FILTER(SrcDB[ID],SrcDB[Objednavatel_ICO]=$H634)))</f>
        <v>6</v>
      </c>
      <c r="AJ634" s="3" cm="1">
        <f t="array" ref="AJ634">COUNT(_xlfn.UNIQUE(_xlfn._xlws.FILTER(SrcDB[ID],SrcDB[Dodavatel_ICO]=$K634)))</f>
        <v>14</v>
      </c>
      <c r="AK634" s="3">
        <f t="shared" si="644"/>
        <v>0</v>
      </c>
      <c r="AL634" s="3">
        <f t="shared" si="645"/>
        <v>0</v>
      </c>
      <c r="AM634" s="17" t="str">
        <f>IF(SrcDB[[#This Row],[Pocet zmluv objednavatela]]&gt;3,SrcDB[[#This Row],[Objednavatel]],"Ostatné")</f>
        <v>Slovenský plynárenský priemysel, a.s.</v>
      </c>
      <c r="AN634" s="17" t="str">
        <f>IF(SrcDB[[#This Row],[Pocet zmluv dodavatela]]&gt;3,SrcDB[[#This Row],[Dodavatel]],"Ostatné")</f>
        <v>SOITRON, s.r.o.</v>
      </c>
    </row>
    <row r="635" spans="1:40" x14ac:dyDescent="0.3">
      <c r="A635" s="2" t="s">
        <v>794</v>
      </c>
      <c r="B635" s="2">
        <v>6199020</v>
      </c>
      <c r="C635" s="3" t="str">
        <f t="shared" si="638"/>
        <v>Nie</v>
      </c>
      <c r="D635" s="3" t="str">
        <f t="shared" si="639"/>
        <v>Áno</v>
      </c>
      <c r="E635" s="3" t="s">
        <v>49</v>
      </c>
      <c r="F635" s="3" t="s">
        <v>48</v>
      </c>
      <c r="G635" s="2" t="str">
        <f t="shared" si="640"/>
        <v>Malé zmluvy</v>
      </c>
      <c r="H635" s="5">
        <v>35815256</v>
      </c>
      <c r="I635" s="2" t="s">
        <v>574</v>
      </c>
      <c r="J635" s="2" t="s">
        <v>575</v>
      </c>
      <c r="K635" s="5">
        <v>35955678</v>
      </c>
      <c r="L635" s="2" t="s">
        <v>179</v>
      </c>
      <c r="M635" s="2" t="s">
        <v>795</v>
      </c>
      <c r="N635" s="6">
        <v>44600.657442129632</v>
      </c>
      <c r="O635" s="4">
        <v>494573.82</v>
      </c>
      <c r="P635" s="2">
        <v>114499</v>
      </c>
      <c r="Q635" s="2" t="s">
        <v>796</v>
      </c>
      <c r="R635" s="2" t="s">
        <v>797</v>
      </c>
      <c r="S635" s="2" t="s">
        <v>56</v>
      </c>
      <c r="T635" s="2" t="s">
        <v>286</v>
      </c>
      <c r="U635" s="2" t="s">
        <v>129</v>
      </c>
      <c r="W635" s="4">
        <v>640</v>
      </c>
      <c r="X635" s="4">
        <v>768</v>
      </c>
      <c r="Y635" s="4">
        <f t="shared" ref="Y635" si="702">INDEX(InternalRates,MATCH($S635,InternalRates01,FALSE),2)</f>
        <v>278.98333333333335</v>
      </c>
      <c r="Z635" s="3" t="str">
        <f>IF(W635&gt;0,IF(Y635&gt;W635,"Áno","Nie"),"Nie")</f>
        <v>Nie</v>
      </c>
      <c r="AA635" s="3" t="str">
        <f>IF(E635="Nie","SLA",IF(F635="Nie","ZoD","SLA+ZoD"))</f>
        <v>ZoD</v>
      </c>
      <c r="AD635" s="3" t="s">
        <v>48</v>
      </c>
      <c r="AE635" s="6">
        <v>44942</v>
      </c>
      <c r="AF635" s="3" t="s">
        <v>59</v>
      </c>
      <c r="AG635" s="3" t="s">
        <v>48</v>
      </c>
      <c r="AH635" s="3">
        <f>YEAR(SrcDB[[#This Row],[Datum_zverejnenia]])</f>
        <v>2022</v>
      </c>
      <c r="AI635" s="3" cm="1">
        <f t="array" ref="AI635">COUNT(_xlfn.UNIQUE(_xlfn._xlws.FILTER(SrcDB[ID],SrcDB[Objednavatel_ICO]=$H635)))</f>
        <v>6</v>
      </c>
      <c r="AJ635" s="3" cm="1">
        <f t="array" ref="AJ635">COUNT(_xlfn.UNIQUE(_xlfn._xlws.FILTER(SrcDB[ID],SrcDB[Dodavatel_ICO]=$K635)))</f>
        <v>14</v>
      </c>
      <c r="AK635" s="3">
        <f t="shared" si="644"/>
        <v>0</v>
      </c>
      <c r="AL635" s="3">
        <f t="shared" si="645"/>
        <v>0</v>
      </c>
      <c r="AM635" s="17" t="str">
        <f>IF(SrcDB[[#This Row],[Pocet zmluv objednavatela]]&gt;3,SrcDB[[#This Row],[Objednavatel]],"Ostatné")</f>
        <v>Slovenský plynárenský priemysel, a.s.</v>
      </c>
      <c r="AN635" s="17" t="str">
        <f>IF(SrcDB[[#This Row],[Pocet zmluv dodavatela]]&gt;3,SrcDB[[#This Row],[Dodavatel]],"Ostatné")</f>
        <v>SOITRON, s.r.o.</v>
      </c>
    </row>
    <row r="636" spans="1:40" x14ac:dyDescent="0.3">
      <c r="A636" s="2" t="s">
        <v>798</v>
      </c>
      <c r="B636" s="2">
        <v>6199027</v>
      </c>
      <c r="C636" s="3" t="str">
        <f t="shared" si="638"/>
        <v>Áno</v>
      </c>
      <c r="D636" s="3" t="str">
        <f t="shared" si="639"/>
        <v>Nie</v>
      </c>
      <c r="E636" s="3" t="s">
        <v>49</v>
      </c>
      <c r="F636" s="3" t="s">
        <v>48</v>
      </c>
      <c r="G636" s="2" t="str">
        <f t="shared" si="640"/>
        <v>Malé zmluvy</v>
      </c>
      <c r="H636" s="5">
        <v>35815256</v>
      </c>
      <c r="I636" s="2" t="s">
        <v>574</v>
      </c>
      <c r="J636" s="2" t="s">
        <v>575</v>
      </c>
      <c r="K636" s="5">
        <v>35955678</v>
      </c>
      <c r="L636" s="2" t="s">
        <v>179</v>
      </c>
      <c r="M636" s="2" t="s">
        <v>795</v>
      </c>
      <c r="N636" s="6">
        <v>44600.656678240739</v>
      </c>
      <c r="O636" s="4">
        <v>136948.07</v>
      </c>
      <c r="P636" s="2">
        <v>114499</v>
      </c>
      <c r="Q636" s="2" t="s">
        <v>799</v>
      </c>
      <c r="R636" s="2" t="s">
        <v>800</v>
      </c>
      <c r="S636" s="2" t="s">
        <v>69</v>
      </c>
      <c r="T636" s="2" t="s">
        <v>70</v>
      </c>
      <c r="W636" s="4">
        <v>640</v>
      </c>
      <c r="X636" s="4">
        <v>768</v>
      </c>
      <c r="Y636" s="4">
        <f t="shared" ref="Y636" si="703">INDEX(InternalRates,MATCH($S636,InternalRates01,FALSE),2)</f>
        <v>278.98333333333335</v>
      </c>
      <c r="Z636" s="3" t="str">
        <f t="shared" ref="Z636:Z670" si="704">IF(W636&gt;0,IF(Y636&gt;W636,"Áno","Nie"),"Nie")</f>
        <v>Nie</v>
      </c>
      <c r="AA636" s="3" t="str">
        <f t="shared" ref="AA636:AA670" si="705">IF(E636="Nie","SLA",IF(F636="Nie","ZoD","SLA+ZoD"))</f>
        <v>ZoD</v>
      </c>
      <c r="AD636" s="3" t="s">
        <v>48</v>
      </c>
      <c r="AE636" s="6">
        <v>44938</v>
      </c>
      <c r="AF636" s="3" t="s">
        <v>59</v>
      </c>
      <c r="AG636" s="3" t="s">
        <v>49</v>
      </c>
      <c r="AH636" s="3">
        <f>YEAR(SrcDB[[#This Row],[Datum_zverejnenia]])</f>
        <v>2022</v>
      </c>
      <c r="AI636" s="3" cm="1">
        <f t="array" ref="AI636">COUNT(_xlfn.UNIQUE(_xlfn._xlws.FILTER(SrcDB[ID],SrcDB[Objednavatel_ICO]=$H636)))</f>
        <v>6</v>
      </c>
      <c r="AJ636" s="3" cm="1">
        <f t="array" ref="AJ636">COUNT(_xlfn.UNIQUE(_xlfn._xlws.FILTER(SrcDB[ID],SrcDB[Dodavatel_ICO]=$K636)))</f>
        <v>14</v>
      </c>
      <c r="AK636" s="3">
        <f t="shared" si="644"/>
        <v>1</v>
      </c>
      <c r="AL636" s="3">
        <f t="shared" si="645"/>
        <v>1</v>
      </c>
      <c r="AM636" s="17" t="str">
        <f>IF(SrcDB[[#This Row],[Pocet zmluv objednavatela]]&gt;3,SrcDB[[#This Row],[Objednavatel]],"Ostatné")</f>
        <v>Slovenský plynárenský priemysel, a.s.</v>
      </c>
      <c r="AN636" s="17" t="str">
        <f>IF(SrcDB[[#This Row],[Pocet zmluv dodavatela]]&gt;3,SrcDB[[#This Row],[Dodavatel]],"Ostatné")</f>
        <v>SOITRON, s.r.o.</v>
      </c>
    </row>
    <row r="637" spans="1:40" x14ac:dyDescent="0.3">
      <c r="A637" s="2" t="s">
        <v>798</v>
      </c>
      <c r="B637" s="2">
        <v>6199027</v>
      </c>
      <c r="C637" s="3" t="str">
        <f t="shared" si="638"/>
        <v>Áno</v>
      </c>
      <c r="D637" s="3" t="str">
        <f t="shared" si="639"/>
        <v>Nie</v>
      </c>
      <c r="E637" s="3" t="s">
        <v>49</v>
      </c>
      <c r="F637" s="3" t="s">
        <v>48</v>
      </c>
      <c r="G637" s="2" t="str">
        <f t="shared" si="640"/>
        <v>Malé zmluvy</v>
      </c>
      <c r="H637" s="5">
        <v>35815256</v>
      </c>
      <c r="I637" s="2" t="s">
        <v>574</v>
      </c>
      <c r="J637" s="2" t="s">
        <v>575</v>
      </c>
      <c r="K637" s="5">
        <v>35955678</v>
      </c>
      <c r="L637" s="2" t="s">
        <v>179</v>
      </c>
      <c r="M637" s="2" t="s">
        <v>795</v>
      </c>
      <c r="N637" s="6">
        <v>44600.656678240739</v>
      </c>
      <c r="O637" s="4">
        <v>136948.07</v>
      </c>
      <c r="P637" s="2">
        <v>114499</v>
      </c>
      <c r="Q637" s="2" t="s">
        <v>799</v>
      </c>
      <c r="R637" s="2" t="s">
        <v>800</v>
      </c>
      <c r="S637" s="2" t="s">
        <v>56</v>
      </c>
      <c r="T637" s="2" t="s">
        <v>286</v>
      </c>
      <c r="U637" s="2" t="s">
        <v>129</v>
      </c>
      <c r="W637" s="4">
        <v>640</v>
      </c>
      <c r="X637" s="4">
        <v>768</v>
      </c>
      <c r="Y637" s="4">
        <f t="shared" ref="Y637" si="706">INDEX(InternalRates,MATCH($S637,InternalRates01,FALSE),2)</f>
        <v>278.98333333333335</v>
      </c>
      <c r="Z637" s="3" t="str">
        <f t="shared" si="704"/>
        <v>Nie</v>
      </c>
      <c r="AA637" s="3" t="str">
        <f t="shared" si="705"/>
        <v>ZoD</v>
      </c>
      <c r="AD637" s="3" t="s">
        <v>48</v>
      </c>
      <c r="AE637" s="6">
        <v>44938</v>
      </c>
      <c r="AF637" s="3" t="s">
        <v>59</v>
      </c>
      <c r="AG637" s="3" t="s">
        <v>49</v>
      </c>
      <c r="AH637" s="3">
        <f>YEAR(SrcDB[[#This Row],[Datum_zverejnenia]])</f>
        <v>2022</v>
      </c>
      <c r="AI637" s="3" cm="1">
        <f t="array" ref="AI637">COUNT(_xlfn.UNIQUE(_xlfn._xlws.FILTER(SrcDB[ID],SrcDB[Objednavatel_ICO]=$H637)))</f>
        <v>6</v>
      </c>
      <c r="AJ637" s="3" cm="1">
        <f t="array" ref="AJ637">COUNT(_xlfn.UNIQUE(_xlfn._xlws.FILTER(SrcDB[ID],SrcDB[Dodavatel_ICO]=$K637)))</f>
        <v>14</v>
      </c>
      <c r="AK637" s="3">
        <f t="shared" si="644"/>
        <v>0</v>
      </c>
      <c r="AL637" s="3">
        <f t="shared" si="645"/>
        <v>0</v>
      </c>
      <c r="AM637" s="17" t="str">
        <f>IF(SrcDB[[#This Row],[Pocet zmluv objednavatela]]&gt;3,SrcDB[[#This Row],[Objednavatel]],"Ostatné")</f>
        <v>Slovenský plynárenský priemysel, a.s.</v>
      </c>
      <c r="AN637" s="17" t="str">
        <f>IF(SrcDB[[#This Row],[Pocet zmluv dodavatela]]&gt;3,SrcDB[[#This Row],[Dodavatel]],"Ostatné")</f>
        <v>SOITRON, s.r.o.</v>
      </c>
    </row>
    <row r="638" spans="1:40" x14ac:dyDescent="0.3">
      <c r="A638" s="2" t="s">
        <v>798</v>
      </c>
      <c r="B638" s="2">
        <v>6199027</v>
      </c>
      <c r="C638" s="3" t="str">
        <f t="shared" si="638"/>
        <v>Áno</v>
      </c>
      <c r="D638" s="3" t="str">
        <f t="shared" si="639"/>
        <v>Nie</v>
      </c>
      <c r="E638" s="3" t="s">
        <v>49</v>
      </c>
      <c r="F638" s="3" t="s">
        <v>48</v>
      </c>
      <c r="G638" s="2" t="str">
        <f t="shared" si="640"/>
        <v>Malé zmluvy</v>
      </c>
      <c r="H638" s="5">
        <v>35815256</v>
      </c>
      <c r="I638" s="2" t="s">
        <v>574</v>
      </c>
      <c r="J638" s="2" t="s">
        <v>575</v>
      </c>
      <c r="K638" s="5">
        <v>35955678</v>
      </c>
      <c r="L638" s="2" t="s">
        <v>179</v>
      </c>
      <c r="M638" s="2" t="s">
        <v>795</v>
      </c>
      <c r="N638" s="6">
        <v>44600.656678240739</v>
      </c>
      <c r="O638" s="4">
        <v>136948.07</v>
      </c>
      <c r="P638" s="2">
        <v>114499</v>
      </c>
      <c r="Q638" s="2" t="s">
        <v>799</v>
      </c>
      <c r="R638" s="2" t="s">
        <v>800</v>
      </c>
      <c r="S638" s="2" t="s">
        <v>73</v>
      </c>
      <c r="T638" s="2" t="s">
        <v>73</v>
      </c>
      <c r="W638" s="4">
        <v>640</v>
      </c>
      <c r="X638" s="4">
        <v>768</v>
      </c>
      <c r="Y638" s="4">
        <f t="shared" ref="Y638" si="707">INDEX(InternalRates,MATCH($S638,InternalRates01,FALSE),2)</f>
        <v>278.98333333333335</v>
      </c>
      <c r="Z638" s="3" t="str">
        <f t="shared" si="704"/>
        <v>Nie</v>
      </c>
      <c r="AA638" s="3" t="str">
        <f t="shared" si="705"/>
        <v>ZoD</v>
      </c>
      <c r="AD638" s="3" t="s">
        <v>48</v>
      </c>
      <c r="AE638" s="6">
        <v>44938</v>
      </c>
      <c r="AF638" s="3" t="s">
        <v>59</v>
      </c>
      <c r="AG638" s="3" t="s">
        <v>49</v>
      </c>
      <c r="AH638" s="3">
        <f>YEAR(SrcDB[[#This Row],[Datum_zverejnenia]])</f>
        <v>2022</v>
      </c>
      <c r="AI638" s="3" cm="1">
        <f t="array" ref="AI638">COUNT(_xlfn.UNIQUE(_xlfn._xlws.FILTER(SrcDB[ID],SrcDB[Objednavatel_ICO]=$H638)))</f>
        <v>6</v>
      </c>
      <c r="AJ638" s="3" cm="1">
        <f t="array" ref="AJ638">COUNT(_xlfn.UNIQUE(_xlfn._xlws.FILTER(SrcDB[ID],SrcDB[Dodavatel_ICO]=$K638)))</f>
        <v>14</v>
      </c>
      <c r="AK638" s="3">
        <f t="shared" si="644"/>
        <v>0</v>
      </c>
      <c r="AL638" s="3">
        <f t="shared" si="645"/>
        <v>0</v>
      </c>
      <c r="AM638" s="17" t="str">
        <f>IF(SrcDB[[#This Row],[Pocet zmluv objednavatela]]&gt;3,SrcDB[[#This Row],[Objednavatel]],"Ostatné")</f>
        <v>Slovenský plynárenský priemysel, a.s.</v>
      </c>
      <c r="AN638" s="17" t="str">
        <f>IF(SrcDB[[#This Row],[Pocet zmluv dodavatela]]&gt;3,SrcDB[[#This Row],[Dodavatel]],"Ostatné")</f>
        <v>SOITRON, s.r.o.</v>
      </c>
    </row>
    <row r="639" spans="1:40" x14ac:dyDescent="0.3">
      <c r="A639" s="2" t="s">
        <v>798</v>
      </c>
      <c r="B639" s="2">
        <v>6199027</v>
      </c>
      <c r="C639" s="3" t="str">
        <f t="shared" si="638"/>
        <v>Áno</v>
      </c>
      <c r="D639" s="3" t="str">
        <f t="shared" si="639"/>
        <v>Nie</v>
      </c>
      <c r="E639" s="3" t="s">
        <v>49</v>
      </c>
      <c r="F639" s="3" t="s">
        <v>48</v>
      </c>
      <c r="G639" s="2" t="str">
        <f t="shared" si="640"/>
        <v>Malé zmluvy</v>
      </c>
      <c r="H639" s="5">
        <v>35815256</v>
      </c>
      <c r="I639" s="2" t="s">
        <v>574</v>
      </c>
      <c r="J639" s="2" t="s">
        <v>575</v>
      </c>
      <c r="K639" s="5">
        <v>35955678</v>
      </c>
      <c r="L639" s="2" t="s">
        <v>179</v>
      </c>
      <c r="M639" s="2" t="s">
        <v>795</v>
      </c>
      <c r="N639" s="6">
        <v>44600.656678240739</v>
      </c>
      <c r="O639" s="4">
        <v>136948.07</v>
      </c>
      <c r="P639" s="2">
        <v>114499</v>
      </c>
      <c r="Q639" s="2" t="s">
        <v>799</v>
      </c>
      <c r="R639" s="2" t="s">
        <v>800</v>
      </c>
      <c r="S639" s="2" t="s">
        <v>162</v>
      </c>
      <c r="T639" s="2" t="s">
        <v>580</v>
      </c>
      <c r="W639" s="4">
        <v>500</v>
      </c>
      <c r="X639" s="4">
        <v>600</v>
      </c>
      <c r="Y639" s="4">
        <f t="shared" ref="Y639" si="708">INDEX(InternalRates,MATCH($S639,InternalRates01,FALSE),2)</f>
        <v>231.85833333333335</v>
      </c>
      <c r="Z639" s="3" t="str">
        <f t="shared" si="704"/>
        <v>Nie</v>
      </c>
      <c r="AA639" s="3" t="str">
        <f t="shared" si="705"/>
        <v>ZoD</v>
      </c>
      <c r="AD639" s="3" t="s">
        <v>48</v>
      </c>
      <c r="AE639" s="6">
        <v>44938</v>
      </c>
      <c r="AF639" s="3" t="s">
        <v>59</v>
      </c>
      <c r="AG639" s="3" t="s">
        <v>49</v>
      </c>
      <c r="AH639" s="3">
        <f>YEAR(SrcDB[[#This Row],[Datum_zverejnenia]])</f>
        <v>2022</v>
      </c>
      <c r="AI639" s="3" cm="1">
        <f t="array" ref="AI639">COUNT(_xlfn.UNIQUE(_xlfn._xlws.FILTER(SrcDB[ID],SrcDB[Objednavatel_ICO]=$H639)))</f>
        <v>6</v>
      </c>
      <c r="AJ639" s="3" cm="1">
        <f t="array" ref="AJ639">COUNT(_xlfn.UNIQUE(_xlfn._xlws.FILTER(SrcDB[ID],SrcDB[Dodavatel_ICO]=$K639)))</f>
        <v>14</v>
      </c>
      <c r="AK639" s="3">
        <f t="shared" si="644"/>
        <v>0</v>
      </c>
      <c r="AL639" s="3">
        <f t="shared" si="645"/>
        <v>0</v>
      </c>
      <c r="AM639" s="17" t="str">
        <f>IF(SrcDB[[#This Row],[Pocet zmluv objednavatela]]&gt;3,SrcDB[[#This Row],[Objednavatel]],"Ostatné")</f>
        <v>Slovenský plynárenský priemysel, a.s.</v>
      </c>
      <c r="AN639" s="17" t="str">
        <f>IF(SrcDB[[#This Row],[Pocet zmluv dodavatela]]&gt;3,SrcDB[[#This Row],[Dodavatel]],"Ostatné")</f>
        <v>SOITRON, s.r.o.</v>
      </c>
    </row>
    <row r="640" spans="1:40" x14ac:dyDescent="0.3">
      <c r="A640" s="2" t="s">
        <v>798</v>
      </c>
      <c r="B640" s="2">
        <v>6199027</v>
      </c>
      <c r="C640" s="3" t="str">
        <f t="shared" si="638"/>
        <v>Áno</v>
      </c>
      <c r="D640" s="3" t="str">
        <f t="shared" si="639"/>
        <v>Nie</v>
      </c>
      <c r="E640" s="3" t="s">
        <v>49</v>
      </c>
      <c r="F640" s="3" t="s">
        <v>48</v>
      </c>
      <c r="G640" s="2" t="str">
        <f t="shared" si="640"/>
        <v>Malé zmluvy</v>
      </c>
      <c r="H640" s="5">
        <v>35815256</v>
      </c>
      <c r="I640" s="2" t="s">
        <v>574</v>
      </c>
      <c r="J640" s="2" t="s">
        <v>575</v>
      </c>
      <c r="K640" s="5">
        <v>35955678</v>
      </c>
      <c r="L640" s="2" t="s">
        <v>179</v>
      </c>
      <c r="M640" s="2" t="s">
        <v>795</v>
      </c>
      <c r="N640" s="6">
        <v>44600.656678240739</v>
      </c>
      <c r="O640" s="4">
        <v>136948.07</v>
      </c>
      <c r="P640" s="2">
        <v>114499</v>
      </c>
      <c r="Q640" s="2" t="s">
        <v>799</v>
      </c>
      <c r="R640" s="2" t="s">
        <v>800</v>
      </c>
      <c r="S640" s="2" t="s">
        <v>98</v>
      </c>
      <c r="T640" s="2" t="s">
        <v>98</v>
      </c>
      <c r="W640" s="4">
        <v>450</v>
      </c>
      <c r="X640" s="4">
        <v>540</v>
      </c>
      <c r="Y640" s="4">
        <f t="shared" ref="Y640" si="709">INDEX(InternalRates,MATCH($S640,InternalRates01,FALSE),2)</f>
        <v>278.98333333333335</v>
      </c>
      <c r="Z640" s="3" t="str">
        <f t="shared" si="704"/>
        <v>Nie</v>
      </c>
      <c r="AA640" s="3" t="str">
        <f t="shared" si="705"/>
        <v>ZoD</v>
      </c>
      <c r="AD640" s="3" t="s">
        <v>48</v>
      </c>
      <c r="AE640" s="6">
        <v>44938</v>
      </c>
      <c r="AF640" s="3" t="s">
        <v>59</v>
      </c>
      <c r="AG640" s="3" t="s">
        <v>49</v>
      </c>
      <c r="AH640" s="3">
        <f>YEAR(SrcDB[[#This Row],[Datum_zverejnenia]])</f>
        <v>2022</v>
      </c>
      <c r="AI640" s="3" cm="1">
        <f t="array" ref="AI640">COUNT(_xlfn.UNIQUE(_xlfn._xlws.FILTER(SrcDB[ID],SrcDB[Objednavatel_ICO]=$H640)))</f>
        <v>6</v>
      </c>
      <c r="AJ640" s="3" cm="1">
        <f t="array" ref="AJ640">COUNT(_xlfn.UNIQUE(_xlfn._xlws.FILTER(SrcDB[ID],SrcDB[Dodavatel_ICO]=$K640)))</f>
        <v>14</v>
      </c>
      <c r="AK640" s="3">
        <f t="shared" si="644"/>
        <v>0</v>
      </c>
      <c r="AL640" s="3">
        <f t="shared" si="645"/>
        <v>0</v>
      </c>
      <c r="AM640" s="17" t="str">
        <f>IF(SrcDB[[#This Row],[Pocet zmluv objednavatela]]&gt;3,SrcDB[[#This Row],[Objednavatel]],"Ostatné")</f>
        <v>Slovenský plynárenský priemysel, a.s.</v>
      </c>
      <c r="AN640" s="17" t="str">
        <f>IF(SrcDB[[#This Row],[Pocet zmluv dodavatela]]&gt;3,SrcDB[[#This Row],[Dodavatel]],"Ostatné")</f>
        <v>SOITRON, s.r.o.</v>
      </c>
    </row>
    <row r="641" spans="1:40" x14ac:dyDescent="0.3">
      <c r="A641" s="2" t="s">
        <v>798</v>
      </c>
      <c r="B641" s="2">
        <v>6199027</v>
      </c>
      <c r="C641" s="3" t="str">
        <f t="shared" si="638"/>
        <v>Áno</v>
      </c>
      <c r="D641" s="3" t="str">
        <f t="shared" si="639"/>
        <v>Nie</v>
      </c>
      <c r="E641" s="3" t="s">
        <v>49</v>
      </c>
      <c r="F641" s="3" t="s">
        <v>48</v>
      </c>
      <c r="G641" s="2" t="str">
        <f t="shared" si="640"/>
        <v>Malé zmluvy</v>
      </c>
      <c r="H641" s="5">
        <v>35815256</v>
      </c>
      <c r="I641" s="2" t="s">
        <v>574</v>
      </c>
      <c r="J641" s="2" t="s">
        <v>575</v>
      </c>
      <c r="K641" s="5">
        <v>35955678</v>
      </c>
      <c r="L641" s="2" t="s">
        <v>179</v>
      </c>
      <c r="M641" s="2" t="s">
        <v>795</v>
      </c>
      <c r="N641" s="6">
        <v>44600.656678240739</v>
      </c>
      <c r="O641" s="4">
        <v>136948.07</v>
      </c>
      <c r="P641" s="2">
        <v>114499</v>
      </c>
      <c r="Q641" s="2" t="s">
        <v>799</v>
      </c>
      <c r="R641" s="2" t="s">
        <v>800</v>
      </c>
      <c r="S641" s="2" t="s">
        <v>123</v>
      </c>
      <c r="T641" s="2" t="s">
        <v>582</v>
      </c>
      <c r="V641" s="2" t="s">
        <v>583</v>
      </c>
      <c r="W641" s="4">
        <v>600</v>
      </c>
      <c r="X641" s="4">
        <v>720</v>
      </c>
      <c r="Y641" s="4">
        <f t="shared" ref="Y641" si="710">INDEX(InternalRates,MATCH($S641,InternalRates01,FALSE),2)</f>
        <v>231.85833333333335</v>
      </c>
      <c r="Z641" s="3" t="str">
        <f t="shared" si="704"/>
        <v>Nie</v>
      </c>
      <c r="AA641" s="3" t="str">
        <f t="shared" si="705"/>
        <v>ZoD</v>
      </c>
      <c r="AD641" s="3" t="s">
        <v>48</v>
      </c>
      <c r="AE641" s="6">
        <v>44938</v>
      </c>
      <c r="AF641" s="3" t="s">
        <v>59</v>
      </c>
      <c r="AG641" s="3" t="s">
        <v>49</v>
      </c>
      <c r="AH641" s="3">
        <f>YEAR(SrcDB[[#This Row],[Datum_zverejnenia]])</f>
        <v>2022</v>
      </c>
      <c r="AI641" s="3" cm="1">
        <f t="array" ref="AI641">COUNT(_xlfn.UNIQUE(_xlfn._xlws.FILTER(SrcDB[ID],SrcDB[Objednavatel_ICO]=$H641)))</f>
        <v>6</v>
      </c>
      <c r="AJ641" s="3" cm="1">
        <f t="array" ref="AJ641">COUNT(_xlfn.UNIQUE(_xlfn._xlws.FILTER(SrcDB[ID],SrcDB[Dodavatel_ICO]=$K641)))</f>
        <v>14</v>
      </c>
      <c r="AK641" s="3">
        <f t="shared" si="644"/>
        <v>0</v>
      </c>
      <c r="AL641" s="3">
        <f t="shared" si="645"/>
        <v>0</v>
      </c>
      <c r="AM641" s="17" t="str">
        <f>IF(SrcDB[[#This Row],[Pocet zmluv objednavatela]]&gt;3,SrcDB[[#This Row],[Objednavatel]],"Ostatné")</f>
        <v>Slovenský plynárenský priemysel, a.s.</v>
      </c>
      <c r="AN641" s="17" t="str">
        <f>IF(SrcDB[[#This Row],[Pocet zmluv dodavatela]]&gt;3,SrcDB[[#This Row],[Dodavatel]],"Ostatné")</f>
        <v>SOITRON, s.r.o.</v>
      </c>
    </row>
    <row r="642" spans="1:40" x14ac:dyDescent="0.3">
      <c r="A642" s="2" t="s">
        <v>798</v>
      </c>
      <c r="B642" s="2">
        <v>6199028</v>
      </c>
      <c r="C642" s="3" t="str">
        <f t="shared" ref="C642:C705" si="711">IF(OR(NOT(ISERROR(FIND("O DIEL",UPPER($A642)))),NOT(ISERROR(FIND("O IMPLEM",UPPER($A642)))))=TRUE,"Áno",IF(OR(NOT(ISERROR(FIND("PODPOR",UPPER($A642)))),NOT(ISERROR(FIND("SLA",UPPER($A642)))),NOT(ISERROR(FIND("SERVIS",UPPER($A642)))))=TRUE,"Nie","Nejasné"))</f>
        <v>Áno</v>
      </c>
      <c r="D642" s="3" t="str">
        <f t="shared" ref="D642:D705" si="712">IF(OR(NOT(ISERROR(FIND("PODPOR",UPPER($A642)))),NOT(ISERROR(FIND("SLA",UPPER($A642)))),NOT(ISERROR(FIND("SERVIS",UPPER($A642)))))=TRUE,"Áno",IF(OR(NOT(ISERROR(FIND("O DIEL",UPPER($A642)))),NOT(ISERROR(FIND("O IMPLEM",UPPER($A642)))))=TRUE,"Nie","Nejasné"))</f>
        <v>Nie</v>
      </c>
      <c r="E642" s="3" t="s">
        <v>49</v>
      </c>
      <c r="F642" s="3" t="s">
        <v>48</v>
      </c>
      <c r="G642" s="2" t="str">
        <f t="shared" ref="G642:G705" si="713">IF($O642&gt;=8000000,"Veľké zmluvy",IF($O642&gt;=1000000,"Stredné zmluvy","Malé zmluvy"))</f>
        <v>Malé zmluvy</v>
      </c>
      <c r="H642" s="5">
        <v>35815256</v>
      </c>
      <c r="I642" s="2" t="s">
        <v>574</v>
      </c>
      <c r="J642" s="2" t="s">
        <v>575</v>
      </c>
      <c r="K642" s="5">
        <v>35955678</v>
      </c>
      <c r="L642" s="2" t="s">
        <v>179</v>
      </c>
      <c r="M642" s="2" t="s">
        <v>795</v>
      </c>
      <c r="N642" s="6">
        <v>44600.656678240739</v>
      </c>
      <c r="O642" s="4">
        <v>136948.07</v>
      </c>
      <c r="P642" s="2">
        <v>114499</v>
      </c>
      <c r="Q642" s="2" t="s">
        <v>799</v>
      </c>
      <c r="R642" s="2" t="s">
        <v>801</v>
      </c>
      <c r="S642" s="2" t="s">
        <v>102</v>
      </c>
      <c r="T642" s="2" t="s">
        <v>333</v>
      </c>
      <c r="W642" s="4">
        <v>750</v>
      </c>
      <c r="X642" s="4">
        <v>900</v>
      </c>
      <c r="Y642" s="4">
        <f t="shared" ref="Y642" si="714">INDEX(InternalRates,MATCH($S642,InternalRates01,FALSE),2)</f>
        <v>278.98333333333335</v>
      </c>
      <c r="Z642" s="3" t="str">
        <f t="shared" si="704"/>
        <v>Nie</v>
      </c>
      <c r="AA642" s="3" t="str">
        <f t="shared" si="705"/>
        <v>ZoD</v>
      </c>
      <c r="AD642" s="3" t="s">
        <v>48</v>
      </c>
      <c r="AE642" s="6">
        <v>44938</v>
      </c>
      <c r="AF642" s="3" t="s">
        <v>59</v>
      </c>
      <c r="AG642" s="3" t="s">
        <v>49</v>
      </c>
      <c r="AH642" s="3">
        <f>YEAR(SrcDB[[#This Row],[Datum_zverejnenia]])</f>
        <v>2022</v>
      </c>
      <c r="AI642" s="3" cm="1">
        <f t="array" ref="AI642">COUNT(_xlfn.UNIQUE(_xlfn._xlws.FILTER(SrcDB[ID],SrcDB[Objednavatel_ICO]=$H642)))</f>
        <v>6</v>
      </c>
      <c r="AJ642" s="3" cm="1">
        <f t="array" ref="AJ642">COUNT(_xlfn.UNIQUE(_xlfn._xlws.FILTER(SrcDB[ID],SrcDB[Dodavatel_ICO]=$K642)))</f>
        <v>14</v>
      </c>
      <c r="AK642" s="3">
        <f t="shared" si="644"/>
        <v>1</v>
      </c>
      <c r="AL642" s="3">
        <f t="shared" si="645"/>
        <v>1</v>
      </c>
      <c r="AM642" s="17" t="str">
        <f>IF(SrcDB[[#This Row],[Pocet zmluv objednavatela]]&gt;3,SrcDB[[#This Row],[Objednavatel]],"Ostatné")</f>
        <v>Slovenský plynárenský priemysel, a.s.</v>
      </c>
      <c r="AN642" s="17" t="str">
        <f>IF(SrcDB[[#This Row],[Pocet zmluv dodavatela]]&gt;3,SrcDB[[#This Row],[Dodavatel]],"Ostatné")</f>
        <v>SOITRON, s.r.o.</v>
      </c>
    </row>
    <row r="643" spans="1:40" x14ac:dyDescent="0.3">
      <c r="A643" s="2" t="s">
        <v>802</v>
      </c>
      <c r="B643" s="2">
        <v>6203764</v>
      </c>
      <c r="C643" s="3" t="str">
        <f t="shared" si="711"/>
        <v>Áno</v>
      </c>
      <c r="D643" s="3" t="str">
        <f t="shared" si="712"/>
        <v>Nie</v>
      </c>
      <c r="E643" s="3" t="s">
        <v>49</v>
      </c>
      <c r="F643" s="3" t="s">
        <v>48</v>
      </c>
      <c r="G643" s="2" t="str">
        <f t="shared" si="713"/>
        <v>Stredné zmluvy</v>
      </c>
      <c r="H643" s="5">
        <v>36061701</v>
      </c>
      <c r="I643" s="2" t="s">
        <v>803</v>
      </c>
      <c r="J643" s="2" t="s">
        <v>804</v>
      </c>
      <c r="K643" s="5">
        <v>35975946</v>
      </c>
      <c r="L643" s="2" t="s">
        <v>211</v>
      </c>
      <c r="M643" s="2" t="s">
        <v>685</v>
      </c>
      <c r="N643" s="6">
        <v>44602</v>
      </c>
      <c r="O643" s="4">
        <v>3841722.41</v>
      </c>
      <c r="P643" s="2">
        <v>114652</v>
      </c>
      <c r="Q643" s="2" t="s">
        <v>805</v>
      </c>
      <c r="R643" s="2" t="s">
        <v>806</v>
      </c>
      <c r="S643" s="2" t="s">
        <v>183</v>
      </c>
      <c r="T643" s="2" t="s">
        <v>183</v>
      </c>
      <c r="W643" s="4">
        <v>653.28</v>
      </c>
      <c r="X643" s="4">
        <v>783.93599999999992</v>
      </c>
      <c r="Y643" s="4">
        <f t="shared" ref="Y643" si="715">INDEX(InternalRates,MATCH($S643,InternalRates01,FALSE),2)</f>
        <v>278.98333333333335</v>
      </c>
      <c r="Z643" s="3" t="str">
        <f t="shared" si="704"/>
        <v>Nie</v>
      </c>
      <c r="AA643" s="3" t="str">
        <f t="shared" si="705"/>
        <v>ZoD</v>
      </c>
      <c r="AB643" s="4">
        <v>89.9</v>
      </c>
      <c r="AC643" s="4">
        <v>59.933333333333344</v>
      </c>
      <c r="AD643" s="3" t="s">
        <v>49</v>
      </c>
      <c r="AE643" s="6">
        <v>45537</v>
      </c>
      <c r="AF643" s="3" t="s">
        <v>59</v>
      </c>
      <c r="AG643" s="3" t="s">
        <v>48</v>
      </c>
      <c r="AH643" s="3">
        <f>YEAR(SrcDB[[#This Row],[Datum_zverejnenia]])</f>
        <v>2022</v>
      </c>
      <c r="AI643" s="3" cm="1">
        <f t="array" ref="AI643">COUNT(_xlfn.UNIQUE(_xlfn._xlws.FILTER(SrcDB[ID],SrcDB[Objednavatel_ICO]=$H643)))</f>
        <v>1</v>
      </c>
      <c r="AJ643" s="3" cm="1">
        <f t="array" ref="AJ643">COUNT(_xlfn.UNIQUE(_xlfn._xlws.FILTER(SrcDB[ID],SrcDB[Dodavatel_ICO]=$K643)))</f>
        <v>4</v>
      </c>
      <c r="AK643" s="3">
        <f t="shared" si="644"/>
        <v>1</v>
      </c>
      <c r="AL643" s="3">
        <f t="shared" si="645"/>
        <v>1</v>
      </c>
      <c r="AM643" s="17" t="str">
        <f>IF(SrcDB[[#This Row],[Pocet zmluv objednavatela]]&gt;3,SrcDB[[#This Row],[Objednavatel]],"Ostatné")</f>
        <v>Ostatné</v>
      </c>
      <c r="AN643" s="17" t="str">
        <f>IF(SrcDB[[#This Row],[Pocet zmluv dodavatela]]&gt;3,SrcDB[[#This Row],[Dodavatel]],"Ostatné")</f>
        <v>Disig, a.s.</v>
      </c>
    </row>
    <row r="644" spans="1:40" x14ac:dyDescent="0.3">
      <c r="A644" s="2" t="s">
        <v>807</v>
      </c>
      <c r="B644" s="2">
        <v>6244330</v>
      </c>
      <c r="C644" s="3" t="str">
        <f t="shared" si="711"/>
        <v>Áno</v>
      </c>
      <c r="D644" s="3" t="str">
        <f t="shared" si="712"/>
        <v>Nie</v>
      </c>
      <c r="E644" s="3" t="s">
        <v>49</v>
      </c>
      <c r="F644" s="3" t="s">
        <v>49</v>
      </c>
      <c r="G644" s="2" t="str">
        <f t="shared" si="713"/>
        <v>Malé zmluvy</v>
      </c>
      <c r="H644" s="5" t="s">
        <v>808</v>
      </c>
      <c r="I644" s="2" t="s">
        <v>809</v>
      </c>
      <c r="J644" s="2" t="s">
        <v>810</v>
      </c>
      <c r="K644" s="5">
        <v>35785284</v>
      </c>
      <c r="L644" s="2" t="s">
        <v>291</v>
      </c>
      <c r="M644" s="2" t="s">
        <v>292</v>
      </c>
      <c r="N644" s="6">
        <v>44623.650358796294</v>
      </c>
      <c r="O644" s="4">
        <v>216240</v>
      </c>
      <c r="P644" s="2">
        <v>114692</v>
      </c>
      <c r="Q644" s="2" t="s">
        <v>811</v>
      </c>
      <c r="R644" s="2" t="s">
        <v>812</v>
      </c>
      <c r="S644" s="2" t="s">
        <v>73</v>
      </c>
      <c r="T644" s="2" t="s">
        <v>73</v>
      </c>
      <c r="W644" s="4">
        <v>400</v>
      </c>
      <c r="X644" s="4">
        <v>480</v>
      </c>
      <c r="Y644" s="4">
        <f t="shared" ref="Y644" si="716">INDEX(InternalRates,MATCH($S644,InternalRates01,FALSE),2)</f>
        <v>278.98333333333335</v>
      </c>
      <c r="Z644" s="3" t="str">
        <f t="shared" si="704"/>
        <v>Nie</v>
      </c>
      <c r="AA644" s="3" t="str">
        <f t="shared" si="705"/>
        <v>SLA+ZoD</v>
      </c>
      <c r="AB644" s="4">
        <v>70</v>
      </c>
      <c r="AC644" s="4">
        <v>35</v>
      </c>
      <c r="AD644" s="3" t="s">
        <v>49</v>
      </c>
      <c r="AE644" s="6">
        <v>44942</v>
      </c>
      <c r="AF644" s="3" t="s">
        <v>59</v>
      </c>
      <c r="AG644" s="3" t="s">
        <v>49</v>
      </c>
      <c r="AH644" s="3">
        <f>YEAR(SrcDB[[#This Row],[Datum_zverejnenia]])</f>
        <v>2022</v>
      </c>
      <c r="AI644" s="3" cm="1">
        <f t="array" ref="AI644">COUNT(_xlfn.UNIQUE(_xlfn._xlws.FILTER(SrcDB[ID],SrcDB[Objednavatel_ICO]=$H644)))</f>
        <v>2</v>
      </c>
      <c r="AJ644" s="3" cm="1">
        <f t="array" ref="AJ644">COUNT(_xlfn.UNIQUE(_xlfn._xlws.FILTER(SrcDB[ID],SrcDB[Dodavatel_ICO]=$K644)))</f>
        <v>7</v>
      </c>
      <c r="AK644" s="3">
        <f t="shared" ref="AK644:AK707" si="717">IF($H643&lt;&gt;$H644,1,IF($B643&lt;&gt;$B644,1,0))</f>
        <v>1</v>
      </c>
      <c r="AL644" s="3">
        <f t="shared" ref="AL644:AL707" si="718">IF($K643&lt;&gt;$K644,1,IF($B643&lt;&gt;$B644,1,0))</f>
        <v>1</v>
      </c>
      <c r="AM644" s="17" t="str">
        <f>IF(SrcDB[[#This Row],[Pocet zmluv objednavatela]]&gt;3,SrcDB[[#This Row],[Objednavatel]],"Ostatné")</f>
        <v>Ostatné</v>
      </c>
      <c r="AN644" s="17" t="str">
        <f>IF(SrcDB[[#This Row],[Pocet zmluv dodavatela]]&gt;3,SrcDB[[#This Row],[Dodavatel]],"Ostatné")</f>
        <v>Plaut Slovensko, s.r.o.</v>
      </c>
    </row>
    <row r="645" spans="1:40" x14ac:dyDescent="0.3">
      <c r="A645" s="2" t="s">
        <v>807</v>
      </c>
      <c r="B645" s="2">
        <v>6244330</v>
      </c>
      <c r="C645" s="3" t="str">
        <f t="shared" si="711"/>
        <v>Áno</v>
      </c>
      <c r="D645" s="3" t="str">
        <f t="shared" si="712"/>
        <v>Nie</v>
      </c>
      <c r="E645" s="3" t="s">
        <v>49</v>
      </c>
      <c r="F645" s="3" t="s">
        <v>49</v>
      </c>
      <c r="G645" s="2" t="str">
        <f t="shared" si="713"/>
        <v>Malé zmluvy</v>
      </c>
      <c r="H645" s="5" t="s">
        <v>808</v>
      </c>
      <c r="I645" s="2" t="s">
        <v>809</v>
      </c>
      <c r="J645" s="2" t="s">
        <v>810</v>
      </c>
      <c r="K645" s="5">
        <v>35785284</v>
      </c>
      <c r="L645" s="2" t="s">
        <v>291</v>
      </c>
      <c r="M645" s="2" t="s">
        <v>292</v>
      </c>
      <c r="N645" s="6">
        <v>44623.650358796294</v>
      </c>
      <c r="O645" s="4">
        <v>216240</v>
      </c>
      <c r="P645" s="2">
        <v>114692</v>
      </c>
      <c r="Q645" s="2" t="s">
        <v>811</v>
      </c>
      <c r="R645" s="2" t="s">
        <v>812</v>
      </c>
      <c r="S645" s="2" t="s">
        <v>71</v>
      </c>
      <c r="T645" s="2" t="s">
        <v>71</v>
      </c>
      <c r="W645" s="4">
        <v>400</v>
      </c>
      <c r="X645" s="4">
        <v>480</v>
      </c>
      <c r="Y645" s="4">
        <f t="shared" ref="Y645" si="719">INDEX(InternalRates,MATCH($S645,InternalRates01,FALSE),2)</f>
        <v>354.0333333333333</v>
      </c>
      <c r="Z645" s="3" t="str">
        <f t="shared" si="704"/>
        <v>Nie</v>
      </c>
      <c r="AA645" s="3" t="str">
        <f t="shared" si="705"/>
        <v>SLA+ZoD</v>
      </c>
      <c r="AB645" s="4">
        <v>20</v>
      </c>
      <c r="AC645" s="4">
        <v>10</v>
      </c>
      <c r="AD645" s="3" t="s">
        <v>49</v>
      </c>
      <c r="AE645" s="6">
        <v>44942</v>
      </c>
      <c r="AF645" s="3" t="s">
        <v>59</v>
      </c>
      <c r="AG645" s="3" t="s">
        <v>49</v>
      </c>
      <c r="AH645" s="3">
        <f>YEAR(SrcDB[[#This Row],[Datum_zverejnenia]])</f>
        <v>2022</v>
      </c>
      <c r="AI645" s="3" cm="1">
        <f t="array" ref="AI645">COUNT(_xlfn.UNIQUE(_xlfn._xlws.FILTER(SrcDB[ID],SrcDB[Objednavatel_ICO]=$H645)))</f>
        <v>2</v>
      </c>
      <c r="AJ645" s="3" cm="1">
        <f t="array" ref="AJ645">COUNT(_xlfn.UNIQUE(_xlfn._xlws.FILTER(SrcDB[ID],SrcDB[Dodavatel_ICO]=$K645)))</f>
        <v>7</v>
      </c>
      <c r="AK645" s="3">
        <f t="shared" si="717"/>
        <v>0</v>
      </c>
      <c r="AL645" s="3">
        <f t="shared" si="718"/>
        <v>0</v>
      </c>
      <c r="AM645" s="17" t="str">
        <f>IF(SrcDB[[#This Row],[Pocet zmluv objednavatela]]&gt;3,SrcDB[[#This Row],[Objednavatel]],"Ostatné")</f>
        <v>Ostatné</v>
      </c>
      <c r="AN645" s="17" t="str">
        <f>IF(SrcDB[[#This Row],[Pocet zmluv dodavatela]]&gt;3,SrcDB[[#This Row],[Dodavatel]],"Ostatné")</f>
        <v>Plaut Slovensko, s.r.o.</v>
      </c>
    </row>
    <row r="646" spans="1:40" x14ac:dyDescent="0.3">
      <c r="A646" s="2" t="s">
        <v>807</v>
      </c>
      <c r="B646" s="2">
        <v>6244330</v>
      </c>
      <c r="C646" s="3" t="str">
        <f t="shared" si="711"/>
        <v>Áno</v>
      </c>
      <c r="D646" s="3" t="str">
        <f t="shared" si="712"/>
        <v>Nie</v>
      </c>
      <c r="E646" s="3" t="s">
        <v>49</v>
      </c>
      <c r="F646" s="3" t="s">
        <v>49</v>
      </c>
      <c r="G646" s="2" t="str">
        <f t="shared" si="713"/>
        <v>Malé zmluvy</v>
      </c>
      <c r="H646" s="5" t="s">
        <v>808</v>
      </c>
      <c r="I646" s="2" t="s">
        <v>809</v>
      </c>
      <c r="J646" s="2" t="s">
        <v>810</v>
      </c>
      <c r="K646" s="5">
        <v>35785284</v>
      </c>
      <c r="L646" s="2" t="s">
        <v>291</v>
      </c>
      <c r="M646" s="2" t="s">
        <v>292</v>
      </c>
      <c r="N646" s="6">
        <v>44623.650358796294</v>
      </c>
      <c r="O646" s="4">
        <v>216240</v>
      </c>
      <c r="P646" s="2">
        <v>114692</v>
      </c>
      <c r="Q646" s="2" t="s">
        <v>811</v>
      </c>
      <c r="R646" s="2" t="s">
        <v>812</v>
      </c>
      <c r="S646" s="2" t="s">
        <v>102</v>
      </c>
      <c r="T646" s="2" t="s">
        <v>462</v>
      </c>
      <c r="W646" s="4">
        <v>400</v>
      </c>
      <c r="X646" s="4">
        <v>480</v>
      </c>
      <c r="Y646" s="4">
        <f t="shared" ref="Y646" si="720">INDEX(InternalRates,MATCH($S646,InternalRates01,FALSE),2)</f>
        <v>278.98333333333335</v>
      </c>
      <c r="Z646" s="3" t="str">
        <f t="shared" si="704"/>
        <v>Nie</v>
      </c>
      <c r="AA646" s="3" t="str">
        <f t="shared" si="705"/>
        <v>SLA+ZoD</v>
      </c>
      <c r="AB646" s="4">
        <v>10</v>
      </c>
      <c r="AC646" s="4">
        <v>5</v>
      </c>
      <c r="AD646" s="3" t="s">
        <v>49</v>
      </c>
      <c r="AE646" s="6">
        <v>44942</v>
      </c>
      <c r="AF646" s="3" t="s">
        <v>59</v>
      </c>
      <c r="AG646" s="3" t="s">
        <v>49</v>
      </c>
      <c r="AH646" s="3">
        <f>YEAR(SrcDB[[#This Row],[Datum_zverejnenia]])</f>
        <v>2022</v>
      </c>
      <c r="AI646" s="3" cm="1">
        <f t="array" ref="AI646">COUNT(_xlfn.UNIQUE(_xlfn._xlws.FILTER(SrcDB[ID],SrcDB[Objednavatel_ICO]=$H646)))</f>
        <v>2</v>
      </c>
      <c r="AJ646" s="3" cm="1">
        <f t="array" ref="AJ646">COUNT(_xlfn.UNIQUE(_xlfn._xlws.FILTER(SrcDB[ID],SrcDB[Dodavatel_ICO]=$K646)))</f>
        <v>7</v>
      </c>
      <c r="AK646" s="3">
        <f t="shared" si="717"/>
        <v>0</v>
      </c>
      <c r="AL646" s="3">
        <f t="shared" si="718"/>
        <v>0</v>
      </c>
      <c r="AM646" s="17" t="str">
        <f>IF(SrcDB[[#This Row],[Pocet zmluv objednavatela]]&gt;3,SrcDB[[#This Row],[Objednavatel]],"Ostatné")</f>
        <v>Ostatné</v>
      </c>
      <c r="AN646" s="17" t="str">
        <f>IF(SrcDB[[#This Row],[Pocet zmluv dodavatela]]&gt;3,SrcDB[[#This Row],[Dodavatel]],"Ostatné")</f>
        <v>Plaut Slovensko, s.r.o.</v>
      </c>
    </row>
    <row r="647" spans="1:40" x14ac:dyDescent="0.3">
      <c r="A647" s="2" t="s">
        <v>807</v>
      </c>
      <c r="B647" s="2">
        <v>6244330</v>
      </c>
      <c r="C647" s="3" t="str">
        <f t="shared" si="711"/>
        <v>Áno</v>
      </c>
      <c r="D647" s="3" t="str">
        <f t="shared" si="712"/>
        <v>Nie</v>
      </c>
      <c r="E647" s="3" t="s">
        <v>49</v>
      </c>
      <c r="F647" s="3" t="s">
        <v>49</v>
      </c>
      <c r="G647" s="2" t="str">
        <f t="shared" si="713"/>
        <v>Malé zmluvy</v>
      </c>
      <c r="H647" s="5" t="s">
        <v>808</v>
      </c>
      <c r="I647" s="2" t="s">
        <v>809</v>
      </c>
      <c r="J647" s="2" t="s">
        <v>810</v>
      </c>
      <c r="K647" s="5">
        <v>35785284</v>
      </c>
      <c r="L647" s="2" t="s">
        <v>291</v>
      </c>
      <c r="M647" s="2" t="s">
        <v>292</v>
      </c>
      <c r="N647" s="6">
        <v>44623.650358796294</v>
      </c>
      <c r="O647" s="4">
        <v>216240</v>
      </c>
      <c r="P647" s="2">
        <v>114692</v>
      </c>
      <c r="Q647" s="2" t="s">
        <v>811</v>
      </c>
      <c r="R647" s="2" t="s">
        <v>812</v>
      </c>
      <c r="S647" s="2" t="s">
        <v>77</v>
      </c>
      <c r="T647" s="2" t="s">
        <v>77</v>
      </c>
      <c r="W647" s="4">
        <v>400</v>
      </c>
      <c r="X647" s="4">
        <v>480</v>
      </c>
      <c r="Y647" s="4">
        <f t="shared" ref="Y647" si="721">INDEX(InternalRates,MATCH($S647,InternalRates01,FALSE),2)</f>
        <v>278.98333333333335</v>
      </c>
      <c r="Z647" s="3" t="str">
        <f t="shared" si="704"/>
        <v>Nie</v>
      </c>
      <c r="AA647" s="3" t="str">
        <f t="shared" si="705"/>
        <v>SLA+ZoD</v>
      </c>
      <c r="AB647" s="4">
        <v>270</v>
      </c>
      <c r="AC647" s="4">
        <v>135</v>
      </c>
      <c r="AD647" s="3" t="s">
        <v>49</v>
      </c>
      <c r="AE647" s="6">
        <v>44942</v>
      </c>
      <c r="AF647" s="3" t="s">
        <v>59</v>
      </c>
      <c r="AG647" s="3" t="s">
        <v>49</v>
      </c>
      <c r="AH647" s="3">
        <f>YEAR(SrcDB[[#This Row],[Datum_zverejnenia]])</f>
        <v>2022</v>
      </c>
      <c r="AI647" s="3" cm="1">
        <f t="array" ref="AI647">COUNT(_xlfn.UNIQUE(_xlfn._xlws.FILTER(SrcDB[ID],SrcDB[Objednavatel_ICO]=$H647)))</f>
        <v>2</v>
      </c>
      <c r="AJ647" s="3" cm="1">
        <f t="array" ref="AJ647">COUNT(_xlfn.UNIQUE(_xlfn._xlws.FILTER(SrcDB[ID],SrcDB[Dodavatel_ICO]=$K647)))</f>
        <v>7</v>
      </c>
      <c r="AK647" s="3">
        <f t="shared" si="717"/>
        <v>0</v>
      </c>
      <c r="AL647" s="3">
        <f t="shared" si="718"/>
        <v>0</v>
      </c>
      <c r="AM647" s="17" t="str">
        <f>IF(SrcDB[[#This Row],[Pocet zmluv objednavatela]]&gt;3,SrcDB[[#This Row],[Objednavatel]],"Ostatné")</f>
        <v>Ostatné</v>
      </c>
      <c r="AN647" s="17" t="str">
        <f>IF(SrcDB[[#This Row],[Pocet zmluv dodavatela]]&gt;3,SrcDB[[#This Row],[Dodavatel]],"Ostatné")</f>
        <v>Plaut Slovensko, s.r.o.</v>
      </c>
    </row>
    <row r="648" spans="1:40" x14ac:dyDescent="0.3">
      <c r="A648" s="2" t="s">
        <v>807</v>
      </c>
      <c r="B648" s="2">
        <v>6244330</v>
      </c>
      <c r="C648" s="3" t="str">
        <f t="shared" si="711"/>
        <v>Áno</v>
      </c>
      <c r="D648" s="3" t="str">
        <f t="shared" si="712"/>
        <v>Nie</v>
      </c>
      <c r="E648" s="3" t="s">
        <v>49</v>
      </c>
      <c r="F648" s="3" t="s">
        <v>49</v>
      </c>
      <c r="G648" s="2" t="str">
        <f t="shared" si="713"/>
        <v>Malé zmluvy</v>
      </c>
      <c r="H648" s="5" t="s">
        <v>808</v>
      </c>
      <c r="I648" s="2" t="s">
        <v>809</v>
      </c>
      <c r="J648" s="2" t="s">
        <v>810</v>
      </c>
      <c r="K648" s="5">
        <v>35785284</v>
      </c>
      <c r="L648" s="2" t="s">
        <v>291</v>
      </c>
      <c r="M648" s="2" t="s">
        <v>292</v>
      </c>
      <c r="N648" s="6">
        <v>44623.650358796294</v>
      </c>
      <c r="O648" s="4">
        <v>216240</v>
      </c>
      <c r="P648" s="2">
        <v>114692</v>
      </c>
      <c r="Q648" s="2" t="s">
        <v>811</v>
      </c>
      <c r="R648" s="2" t="s">
        <v>812</v>
      </c>
      <c r="S648" s="2" t="s">
        <v>79</v>
      </c>
      <c r="T648" s="2" t="s">
        <v>79</v>
      </c>
      <c r="W648" s="4">
        <v>400</v>
      </c>
      <c r="X648" s="4">
        <v>480</v>
      </c>
      <c r="Y648" s="4">
        <f t="shared" ref="Y648" si="722">INDEX(InternalRates,MATCH($S648,InternalRates01,FALSE),2)</f>
        <v>278.98333333333335</v>
      </c>
      <c r="Z648" s="3" t="str">
        <f t="shared" si="704"/>
        <v>Nie</v>
      </c>
      <c r="AA648" s="3" t="str">
        <f t="shared" si="705"/>
        <v>SLA+ZoD</v>
      </c>
      <c r="AB648" s="4">
        <v>23</v>
      </c>
      <c r="AC648" s="4">
        <v>11.5</v>
      </c>
      <c r="AD648" s="3" t="s">
        <v>49</v>
      </c>
      <c r="AE648" s="6">
        <v>44942</v>
      </c>
      <c r="AF648" s="3" t="s">
        <v>59</v>
      </c>
      <c r="AG648" s="3" t="s">
        <v>49</v>
      </c>
      <c r="AH648" s="3">
        <f>YEAR(SrcDB[[#This Row],[Datum_zverejnenia]])</f>
        <v>2022</v>
      </c>
      <c r="AI648" s="3" cm="1">
        <f t="array" ref="AI648">COUNT(_xlfn.UNIQUE(_xlfn._xlws.FILTER(SrcDB[ID],SrcDB[Objednavatel_ICO]=$H648)))</f>
        <v>2</v>
      </c>
      <c r="AJ648" s="3" cm="1">
        <f t="array" ref="AJ648">COUNT(_xlfn.UNIQUE(_xlfn._xlws.FILTER(SrcDB[ID],SrcDB[Dodavatel_ICO]=$K648)))</f>
        <v>7</v>
      </c>
      <c r="AK648" s="3">
        <f t="shared" si="717"/>
        <v>0</v>
      </c>
      <c r="AL648" s="3">
        <f t="shared" si="718"/>
        <v>0</v>
      </c>
      <c r="AM648" s="17" t="str">
        <f>IF(SrcDB[[#This Row],[Pocet zmluv objednavatela]]&gt;3,SrcDB[[#This Row],[Objednavatel]],"Ostatné")</f>
        <v>Ostatné</v>
      </c>
      <c r="AN648" s="17" t="str">
        <f>IF(SrcDB[[#This Row],[Pocet zmluv dodavatela]]&gt;3,SrcDB[[#This Row],[Dodavatel]],"Ostatné")</f>
        <v>Plaut Slovensko, s.r.o.</v>
      </c>
    </row>
    <row r="649" spans="1:40" x14ac:dyDescent="0.3">
      <c r="A649" s="2" t="s">
        <v>807</v>
      </c>
      <c r="B649" s="2">
        <v>6244330</v>
      </c>
      <c r="C649" s="3" t="str">
        <f t="shared" si="711"/>
        <v>Áno</v>
      </c>
      <c r="D649" s="3" t="str">
        <f t="shared" si="712"/>
        <v>Nie</v>
      </c>
      <c r="E649" s="3" t="s">
        <v>49</v>
      </c>
      <c r="F649" s="3" t="s">
        <v>49</v>
      </c>
      <c r="G649" s="2" t="str">
        <f t="shared" si="713"/>
        <v>Malé zmluvy</v>
      </c>
      <c r="H649" s="5" t="s">
        <v>808</v>
      </c>
      <c r="I649" s="2" t="s">
        <v>809</v>
      </c>
      <c r="J649" s="2" t="s">
        <v>810</v>
      </c>
      <c r="K649" s="5">
        <v>35785284</v>
      </c>
      <c r="L649" s="2" t="s">
        <v>291</v>
      </c>
      <c r="M649" s="2" t="s">
        <v>292</v>
      </c>
      <c r="N649" s="6">
        <v>44623.650358796294</v>
      </c>
      <c r="O649" s="4">
        <v>216240</v>
      </c>
      <c r="P649" s="2">
        <v>114692</v>
      </c>
      <c r="Q649" s="2" t="s">
        <v>811</v>
      </c>
      <c r="R649" s="2" t="s">
        <v>812</v>
      </c>
      <c r="S649" s="2" t="s">
        <v>56</v>
      </c>
      <c r="T649" s="2" t="s">
        <v>94</v>
      </c>
      <c r="U649" s="2" t="s">
        <v>95</v>
      </c>
      <c r="W649" s="4">
        <v>400</v>
      </c>
      <c r="X649" s="4">
        <v>480</v>
      </c>
      <c r="Y649" s="4">
        <f t="shared" ref="Y649" si="723">INDEX(InternalRates,MATCH($S649,InternalRates01,FALSE),2)</f>
        <v>278.98333333333335</v>
      </c>
      <c r="Z649" s="3" t="str">
        <f t="shared" si="704"/>
        <v>Nie</v>
      </c>
      <c r="AA649" s="3" t="str">
        <f t="shared" si="705"/>
        <v>SLA+ZoD</v>
      </c>
      <c r="AB649" s="4">
        <v>5</v>
      </c>
      <c r="AC649" s="4">
        <v>2.5</v>
      </c>
      <c r="AD649" s="3" t="s">
        <v>49</v>
      </c>
      <c r="AE649" s="6">
        <v>44942</v>
      </c>
      <c r="AF649" s="3" t="s">
        <v>59</v>
      </c>
      <c r="AG649" s="3" t="s">
        <v>49</v>
      </c>
      <c r="AH649" s="3">
        <f>YEAR(SrcDB[[#This Row],[Datum_zverejnenia]])</f>
        <v>2022</v>
      </c>
      <c r="AI649" s="3" cm="1">
        <f t="array" ref="AI649">COUNT(_xlfn.UNIQUE(_xlfn._xlws.FILTER(SrcDB[ID],SrcDB[Objednavatel_ICO]=$H649)))</f>
        <v>2</v>
      </c>
      <c r="AJ649" s="3" cm="1">
        <f t="array" ref="AJ649">COUNT(_xlfn.UNIQUE(_xlfn._xlws.FILTER(SrcDB[ID],SrcDB[Dodavatel_ICO]=$K649)))</f>
        <v>7</v>
      </c>
      <c r="AK649" s="3">
        <f t="shared" si="717"/>
        <v>0</v>
      </c>
      <c r="AL649" s="3">
        <f t="shared" si="718"/>
        <v>0</v>
      </c>
      <c r="AM649" s="17" t="str">
        <f>IF(SrcDB[[#This Row],[Pocet zmluv objednavatela]]&gt;3,SrcDB[[#This Row],[Objednavatel]],"Ostatné")</f>
        <v>Ostatné</v>
      </c>
      <c r="AN649" s="17" t="str">
        <f>IF(SrcDB[[#This Row],[Pocet zmluv dodavatela]]&gt;3,SrcDB[[#This Row],[Dodavatel]],"Ostatné")</f>
        <v>Plaut Slovensko, s.r.o.</v>
      </c>
    </row>
    <row r="650" spans="1:40" x14ac:dyDescent="0.3">
      <c r="A650" s="2" t="s">
        <v>807</v>
      </c>
      <c r="B650" s="2">
        <v>6244330</v>
      </c>
      <c r="C650" s="3" t="str">
        <f t="shared" si="711"/>
        <v>Áno</v>
      </c>
      <c r="D650" s="3" t="str">
        <f t="shared" si="712"/>
        <v>Nie</v>
      </c>
      <c r="E650" s="3" t="s">
        <v>49</v>
      </c>
      <c r="F650" s="3" t="s">
        <v>49</v>
      </c>
      <c r="G650" s="2" t="str">
        <f t="shared" si="713"/>
        <v>Malé zmluvy</v>
      </c>
      <c r="H650" s="5" t="s">
        <v>808</v>
      </c>
      <c r="I650" s="2" t="s">
        <v>809</v>
      </c>
      <c r="J650" s="2" t="s">
        <v>810</v>
      </c>
      <c r="K650" s="5">
        <v>35785284</v>
      </c>
      <c r="L650" s="2" t="s">
        <v>291</v>
      </c>
      <c r="M650" s="2" t="s">
        <v>292</v>
      </c>
      <c r="N650" s="6">
        <v>44623.650358796294</v>
      </c>
      <c r="O650" s="4">
        <v>216240</v>
      </c>
      <c r="P650" s="2">
        <v>114692</v>
      </c>
      <c r="Q650" s="2" t="s">
        <v>811</v>
      </c>
      <c r="R650" s="2" t="s">
        <v>812</v>
      </c>
      <c r="S650" s="2" t="s">
        <v>69</v>
      </c>
      <c r="T650" s="2" t="s">
        <v>70</v>
      </c>
      <c r="W650" s="4">
        <v>400</v>
      </c>
      <c r="X650" s="4">
        <v>480</v>
      </c>
      <c r="Y650" s="4">
        <f t="shared" ref="Y650" si="724">INDEX(InternalRates,MATCH($S650,InternalRates01,FALSE),2)</f>
        <v>278.98333333333335</v>
      </c>
      <c r="Z650" s="3" t="str">
        <f t="shared" si="704"/>
        <v>Nie</v>
      </c>
      <c r="AA650" s="3" t="str">
        <f t="shared" si="705"/>
        <v>SLA+ZoD</v>
      </c>
      <c r="AB650" s="4">
        <v>17.5</v>
      </c>
      <c r="AC650" s="4">
        <v>8.75</v>
      </c>
      <c r="AD650" s="3" t="s">
        <v>49</v>
      </c>
      <c r="AE650" s="6">
        <v>44942</v>
      </c>
      <c r="AF650" s="3" t="s">
        <v>59</v>
      </c>
      <c r="AG650" s="3" t="s">
        <v>49</v>
      </c>
      <c r="AH650" s="3">
        <f>YEAR(SrcDB[[#This Row],[Datum_zverejnenia]])</f>
        <v>2022</v>
      </c>
      <c r="AI650" s="3" cm="1">
        <f t="array" ref="AI650">COUNT(_xlfn.UNIQUE(_xlfn._xlws.FILTER(SrcDB[ID],SrcDB[Objednavatel_ICO]=$H650)))</f>
        <v>2</v>
      </c>
      <c r="AJ650" s="3" cm="1">
        <f t="array" ref="AJ650">COUNT(_xlfn.UNIQUE(_xlfn._xlws.FILTER(SrcDB[ID],SrcDB[Dodavatel_ICO]=$K650)))</f>
        <v>7</v>
      </c>
      <c r="AK650" s="3">
        <f t="shared" si="717"/>
        <v>0</v>
      </c>
      <c r="AL650" s="3">
        <f t="shared" si="718"/>
        <v>0</v>
      </c>
      <c r="AM650" s="17" t="str">
        <f>IF(SrcDB[[#This Row],[Pocet zmluv objednavatela]]&gt;3,SrcDB[[#This Row],[Objednavatel]],"Ostatné")</f>
        <v>Ostatné</v>
      </c>
      <c r="AN650" s="17" t="str">
        <f>IF(SrcDB[[#This Row],[Pocet zmluv dodavatela]]&gt;3,SrcDB[[#This Row],[Dodavatel]],"Ostatné")</f>
        <v>Plaut Slovensko, s.r.o.</v>
      </c>
    </row>
    <row r="651" spans="1:40" x14ac:dyDescent="0.3">
      <c r="A651" s="2" t="s">
        <v>807</v>
      </c>
      <c r="B651" s="2">
        <v>6244330</v>
      </c>
      <c r="C651" s="3" t="str">
        <f t="shared" si="711"/>
        <v>Áno</v>
      </c>
      <c r="D651" s="3" t="str">
        <f t="shared" si="712"/>
        <v>Nie</v>
      </c>
      <c r="E651" s="3" t="s">
        <v>49</v>
      </c>
      <c r="F651" s="3" t="s">
        <v>49</v>
      </c>
      <c r="G651" s="2" t="str">
        <f t="shared" si="713"/>
        <v>Malé zmluvy</v>
      </c>
      <c r="H651" s="5" t="s">
        <v>808</v>
      </c>
      <c r="I651" s="2" t="s">
        <v>809</v>
      </c>
      <c r="J651" s="2" t="s">
        <v>810</v>
      </c>
      <c r="K651" s="5">
        <v>35785284</v>
      </c>
      <c r="L651" s="2" t="s">
        <v>291</v>
      </c>
      <c r="M651" s="2" t="s">
        <v>292</v>
      </c>
      <c r="N651" s="6">
        <v>44623.650358796294</v>
      </c>
      <c r="O651" s="4">
        <v>216240</v>
      </c>
      <c r="P651" s="2">
        <v>114692</v>
      </c>
      <c r="Q651" s="2" t="s">
        <v>811</v>
      </c>
      <c r="R651" s="2" t="s">
        <v>812</v>
      </c>
      <c r="S651" s="2" t="s">
        <v>56</v>
      </c>
      <c r="T651" s="2" t="s">
        <v>286</v>
      </c>
      <c r="U651" s="2" t="s">
        <v>129</v>
      </c>
      <c r="W651" s="4">
        <v>400</v>
      </c>
      <c r="X651" s="4">
        <v>480</v>
      </c>
      <c r="Y651" s="4">
        <f t="shared" ref="Y651" si="725">INDEX(InternalRates,MATCH($S651,InternalRates01,FALSE),2)</f>
        <v>278.98333333333335</v>
      </c>
      <c r="Z651" s="3" t="str">
        <f t="shared" si="704"/>
        <v>Nie</v>
      </c>
      <c r="AA651" s="3" t="str">
        <f t="shared" si="705"/>
        <v>SLA+ZoD</v>
      </c>
      <c r="AB651" s="4">
        <v>10</v>
      </c>
      <c r="AC651" s="4">
        <v>5</v>
      </c>
      <c r="AD651" s="3" t="s">
        <v>49</v>
      </c>
      <c r="AE651" s="6">
        <v>44942</v>
      </c>
      <c r="AF651" s="3" t="s">
        <v>59</v>
      </c>
      <c r="AG651" s="3" t="s">
        <v>49</v>
      </c>
      <c r="AH651" s="3">
        <f>YEAR(SrcDB[[#This Row],[Datum_zverejnenia]])</f>
        <v>2022</v>
      </c>
      <c r="AI651" s="3" cm="1">
        <f t="array" ref="AI651">COUNT(_xlfn.UNIQUE(_xlfn._xlws.FILTER(SrcDB[ID],SrcDB[Objednavatel_ICO]=$H651)))</f>
        <v>2</v>
      </c>
      <c r="AJ651" s="3" cm="1">
        <f t="array" ref="AJ651">COUNT(_xlfn.UNIQUE(_xlfn._xlws.FILTER(SrcDB[ID],SrcDB[Dodavatel_ICO]=$K651)))</f>
        <v>7</v>
      </c>
      <c r="AK651" s="3">
        <f t="shared" si="717"/>
        <v>0</v>
      </c>
      <c r="AL651" s="3">
        <f t="shared" si="718"/>
        <v>0</v>
      </c>
      <c r="AM651" s="17" t="str">
        <f>IF(SrcDB[[#This Row],[Pocet zmluv objednavatela]]&gt;3,SrcDB[[#This Row],[Objednavatel]],"Ostatné")</f>
        <v>Ostatné</v>
      </c>
      <c r="AN651" s="17" t="str">
        <f>IF(SrcDB[[#This Row],[Pocet zmluv dodavatela]]&gt;3,SrcDB[[#This Row],[Dodavatel]],"Ostatné")</f>
        <v>Plaut Slovensko, s.r.o.</v>
      </c>
    </row>
    <row r="652" spans="1:40" x14ac:dyDescent="0.3">
      <c r="A652" s="2" t="s">
        <v>807</v>
      </c>
      <c r="B652" s="2">
        <v>6244330</v>
      </c>
      <c r="C652" s="3" t="str">
        <f t="shared" si="711"/>
        <v>Áno</v>
      </c>
      <c r="D652" s="3" t="str">
        <f t="shared" si="712"/>
        <v>Nie</v>
      </c>
      <c r="E652" s="3" t="s">
        <v>49</v>
      </c>
      <c r="F652" s="3" t="s">
        <v>49</v>
      </c>
      <c r="G652" s="2" t="str">
        <f t="shared" si="713"/>
        <v>Malé zmluvy</v>
      </c>
      <c r="H652" s="5" t="s">
        <v>808</v>
      </c>
      <c r="I652" s="2" t="s">
        <v>809</v>
      </c>
      <c r="J652" s="2" t="s">
        <v>810</v>
      </c>
      <c r="K652" s="5">
        <v>35785284</v>
      </c>
      <c r="L652" s="2" t="s">
        <v>291</v>
      </c>
      <c r="M652" s="2" t="s">
        <v>292</v>
      </c>
      <c r="N652" s="6">
        <v>44623.650358796294</v>
      </c>
      <c r="O652" s="4">
        <v>216240</v>
      </c>
      <c r="P652" s="2">
        <v>114692</v>
      </c>
      <c r="Q652" s="2" t="s">
        <v>811</v>
      </c>
      <c r="R652" s="2" t="s">
        <v>812</v>
      </c>
      <c r="S652" s="2" t="s">
        <v>98</v>
      </c>
      <c r="T652" s="2" t="s">
        <v>98</v>
      </c>
      <c r="W652" s="4">
        <v>400</v>
      </c>
      <c r="X652" s="4">
        <v>480</v>
      </c>
      <c r="Y652" s="4">
        <f t="shared" ref="Y652" si="726">INDEX(InternalRates,MATCH($S652,InternalRates01,FALSE),2)</f>
        <v>278.98333333333335</v>
      </c>
      <c r="Z652" s="3" t="str">
        <f t="shared" si="704"/>
        <v>Nie</v>
      </c>
      <c r="AA652" s="3" t="str">
        <f t="shared" si="705"/>
        <v>SLA+ZoD</v>
      </c>
      <c r="AB652" s="4">
        <v>10</v>
      </c>
      <c r="AC652" s="4">
        <v>5</v>
      </c>
      <c r="AD652" s="3" t="s">
        <v>49</v>
      </c>
      <c r="AE652" s="6">
        <v>44942</v>
      </c>
      <c r="AF652" s="3" t="s">
        <v>59</v>
      </c>
      <c r="AG652" s="3" t="s">
        <v>49</v>
      </c>
      <c r="AH652" s="3">
        <f>YEAR(SrcDB[[#This Row],[Datum_zverejnenia]])</f>
        <v>2022</v>
      </c>
      <c r="AI652" s="3" cm="1">
        <f t="array" ref="AI652">COUNT(_xlfn.UNIQUE(_xlfn._xlws.FILTER(SrcDB[ID],SrcDB[Objednavatel_ICO]=$H652)))</f>
        <v>2</v>
      </c>
      <c r="AJ652" s="3" cm="1">
        <f t="array" ref="AJ652">COUNT(_xlfn.UNIQUE(_xlfn._xlws.FILTER(SrcDB[ID],SrcDB[Dodavatel_ICO]=$K652)))</f>
        <v>7</v>
      </c>
      <c r="AK652" s="3">
        <f t="shared" si="717"/>
        <v>0</v>
      </c>
      <c r="AL652" s="3">
        <f t="shared" si="718"/>
        <v>0</v>
      </c>
      <c r="AM652" s="17" t="str">
        <f>IF(SrcDB[[#This Row],[Pocet zmluv objednavatela]]&gt;3,SrcDB[[#This Row],[Objednavatel]],"Ostatné")</f>
        <v>Ostatné</v>
      </c>
      <c r="AN652" s="17" t="str">
        <f>IF(SrcDB[[#This Row],[Pocet zmluv dodavatela]]&gt;3,SrcDB[[#This Row],[Dodavatel]],"Ostatné")</f>
        <v>Plaut Slovensko, s.r.o.</v>
      </c>
    </row>
    <row r="653" spans="1:40" x14ac:dyDescent="0.3">
      <c r="A653" s="2" t="s">
        <v>807</v>
      </c>
      <c r="B653" s="2">
        <v>6244330</v>
      </c>
      <c r="C653" s="3" t="str">
        <f t="shared" si="711"/>
        <v>Áno</v>
      </c>
      <c r="D653" s="3" t="str">
        <f t="shared" si="712"/>
        <v>Nie</v>
      </c>
      <c r="E653" s="3" t="s">
        <v>49</v>
      </c>
      <c r="F653" s="3" t="s">
        <v>49</v>
      </c>
      <c r="G653" s="2" t="str">
        <f t="shared" si="713"/>
        <v>Malé zmluvy</v>
      </c>
      <c r="H653" s="5" t="s">
        <v>808</v>
      </c>
      <c r="I653" s="2" t="s">
        <v>809</v>
      </c>
      <c r="J653" s="2" t="s">
        <v>810</v>
      </c>
      <c r="K653" s="5">
        <v>35785284</v>
      </c>
      <c r="L653" s="2" t="s">
        <v>291</v>
      </c>
      <c r="M653" s="2" t="s">
        <v>292</v>
      </c>
      <c r="N653" s="6">
        <v>44623.650358796294</v>
      </c>
      <c r="O653" s="4">
        <v>216240</v>
      </c>
      <c r="P653" s="2">
        <v>114692</v>
      </c>
      <c r="Q653" s="2" t="s">
        <v>811</v>
      </c>
      <c r="R653" s="2" t="s">
        <v>812</v>
      </c>
      <c r="S653" s="2" t="s">
        <v>56</v>
      </c>
      <c r="T653" s="2" t="s">
        <v>96</v>
      </c>
      <c r="U653" s="2" t="s">
        <v>97</v>
      </c>
      <c r="W653" s="4">
        <v>400</v>
      </c>
      <c r="X653" s="4">
        <v>480</v>
      </c>
      <c r="Y653" s="4">
        <f t="shared" ref="Y653" si="727">INDEX(InternalRates,MATCH($S653,InternalRates01,FALSE),2)</f>
        <v>278.98333333333335</v>
      </c>
      <c r="Z653" s="3" t="str">
        <f t="shared" si="704"/>
        <v>Nie</v>
      </c>
      <c r="AA653" s="3" t="str">
        <f t="shared" si="705"/>
        <v>SLA+ZoD</v>
      </c>
      <c r="AB653" s="4">
        <v>15</v>
      </c>
      <c r="AC653" s="4">
        <v>7.5</v>
      </c>
      <c r="AD653" s="3" t="s">
        <v>49</v>
      </c>
      <c r="AE653" s="6">
        <v>44942</v>
      </c>
      <c r="AF653" s="3" t="s">
        <v>59</v>
      </c>
      <c r="AG653" s="3" t="s">
        <v>49</v>
      </c>
      <c r="AH653" s="3">
        <f>YEAR(SrcDB[[#This Row],[Datum_zverejnenia]])</f>
        <v>2022</v>
      </c>
      <c r="AI653" s="3" cm="1">
        <f t="array" ref="AI653">COUNT(_xlfn.UNIQUE(_xlfn._xlws.FILTER(SrcDB[ID],SrcDB[Objednavatel_ICO]=$H653)))</f>
        <v>2</v>
      </c>
      <c r="AJ653" s="3" cm="1">
        <f t="array" ref="AJ653">COUNT(_xlfn.UNIQUE(_xlfn._xlws.FILTER(SrcDB[ID],SrcDB[Dodavatel_ICO]=$K653)))</f>
        <v>7</v>
      </c>
      <c r="AK653" s="3">
        <f t="shared" si="717"/>
        <v>0</v>
      </c>
      <c r="AL653" s="3">
        <f t="shared" si="718"/>
        <v>0</v>
      </c>
      <c r="AM653" s="17" t="str">
        <f>IF(SrcDB[[#This Row],[Pocet zmluv objednavatela]]&gt;3,SrcDB[[#This Row],[Objednavatel]],"Ostatné")</f>
        <v>Ostatné</v>
      </c>
      <c r="AN653" s="17" t="str">
        <f>IF(SrcDB[[#This Row],[Pocet zmluv dodavatela]]&gt;3,SrcDB[[#This Row],[Dodavatel]],"Ostatné")</f>
        <v>Plaut Slovensko, s.r.o.</v>
      </c>
    </row>
    <row r="654" spans="1:40" x14ac:dyDescent="0.3">
      <c r="A654" s="2" t="s">
        <v>780</v>
      </c>
      <c r="B654" s="2">
        <v>6244342</v>
      </c>
      <c r="C654" s="3" t="str">
        <f t="shared" si="711"/>
        <v>Nie</v>
      </c>
      <c r="D654" s="3" t="str">
        <f t="shared" si="712"/>
        <v>Áno</v>
      </c>
      <c r="E654" s="3" t="s">
        <v>48</v>
      </c>
      <c r="F654" s="3" t="s">
        <v>49</v>
      </c>
      <c r="G654" s="2" t="str">
        <f t="shared" si="713"/>
        <v>Malé zmluvy</v>
      </c>
      <c r="H654" s="5" t="s">
        <v>808</v>
      </c>
      <c r="I654" s="2" t="s">
        <v>809</v>
      </c>
      <c r="J654" s="2" t="s">
        <v>810</v>
      </c>
      <c r="K654" s="5">
        <v>35785284</v>
      </c>
      <c r="L654" s="2" t="s">
        <v>291</v>
      </c>
      <c r="M654" s="2" t="s">
        <v>292</v>
      </c>
      <c r="N654" s="6">
        <v>44623.656574074077</v>
      </c>
      <c r="O654" s="4">
        <v>181440</v>
      </c>
      <c r="P654" s="2">
        <v>114692</v>
      </c>
      <c r="Q654" s="2" t="s">
        <v>813</v>
      </c>
      <c r="R654" s="2" t="s">
        <v>814</v>
      </c>
      <c r="S654" s="2" t="s">
        <v>183</v>
      </c>
      <c r="T654" s="2" t="s">
        <v>183</v>
      </c>
      <c r="W654" s="4">
        <v>300</v>
      </c>
      <c r="X654" s="4">
        <v>360</v>
      </c>
      <c r="Y654" s="4">
        <f t="shared" ref="Y654" si="728">INDEX(InternalRates,MATCH($S654,InternalRates01,FALSE),2)</f>
        <v>278.98333333333335</v>
      </c>
      <c r="Z654" s="3" t="str">
        <f t="shared" si="704"/>
        <v>Nie</v>
      </c>
      <c r="AA654" s="3" t="str">
        <f t="shared" si="705"/>
        <v>SLA</v>
      </c>
      <c r="AD654" s="3" t="s">
        <v>49</v>
      </c>
      <c r="AE654" s="6">
        <v>44952</v>
      </c>
      <c r="AF654" s="3" t="s">
        <v>59</v>
      </c>
      <c r="AG654" s="3" t="s">
        <v>49</v>
      </c>
      <c r="AH654" s="3">
        <f>YEAR(SrcDB[[#This Row],[Datum_zverejnenia]])</f>
        <v>2022</v>
      </c>
      <c r="AI654" s="3" cm="1">
        <f t="array" ref="AI654">COUNT(_xlfn.UNIQUE(_xlfn._xlws.FILTER(SrcDB[ID],SrcDB[Objednavatel_ICO]=$H654)))</f>
        <v>2</v>
      </c>
      <c r="AJ654" s="3" cm="1">
        <f t="array" ref="AJ654">COUNT(_xlfn.UNIQUE(_xlfn._xlws.FILTER(SrcDB[ID],SrcDB[Dodavatel_ICO]=$K654)))</f>
        <v>7</v>
      </c>
      <c r="AK654" s="3">
        <f t="shared" si="717"/>
        <v>1</v>
      </c>
      <c r="AL654" s="3">
        <f t="shared" si="718"/>
        <v>1</v>
      </c>
      <c r="AM654" s="17" t="str">
        <f>IF(SrcDB[[#This Row],[Pocet zmluv objednavatela]]&gt;3,SrcDB[[#This Row],[Objednavatel]],"Ostatné")</f>
        <v>Ostatné</v>
      </c>
      <c r="AN654" s="17" t="str">
        <f>IF(SrcDB[[#This Row],[Pocet zmluv dodavatela]]&gt;3,SrcDB[[#This Row],[Dodavatel]],"Ostatné")</f>
        <v>Plaut Slovensko, s.r.o.</v>
      </c>
    </row>
    <row r="655" spans="1:40" x14ac:dyDescent="0.3">
      <c r="A655" s="2" t="s">
        <v>815</v>
      </c>
      <c r="B655" s="2">
        <v>6271322</v>
      </c>
      <c r="C655" s="3" t="str">
        <f t="shared" si="711"/>
        <v>Nie</v>
      </c>
      <c r="D655" s="3" t="str">
        <f t="shared" si="712"/>
        <v>Áno</v>
      </c>
      <c r="E655" s="3" t="s">
        <v>48</v>
      </c>
      <c r="F655" s="3" t="s">
        <v>49</v>
      </c>
      <c r="G655" s="2" t="str">
        <f t="shared" si="713"/>
        <v>Stredné zmluvy</v>
      </c>
      <c r="H655" s="5">
        <v>1515130010</v>
      </c>
      <c r="I655" s="2" t="s">
        <v>816</v>
      </c>
      <c r="J655" s="2" t="s">
        <v>817</v>
      </c>
      <c r="K655" s="5">
        <v>45650276</v>
      </c>
      <c r="L655" s="2" t="s">
        <v>234</v>
      </c>
      <c r="M655" s="2" t="s">
        <v>818</v>
      </c>
      <c r="N655" s="6">
        <v>44638.53634259259</v>
      </c>
      <c r="O655" s="4">
        <v>3088512</v>
      </c>
      <c r="P655" s="2">
        <v>114688</v>
      </c>
      <c r="Q655" s="2" t="s">
        <v>819</v>
      </c>
      <c r="R655" s="2" t="s">
        <v>820</v>
      </c>
      <c r="S655" s="2" t="s">
        <v>183</v>
      </c>
      <c r="T655" s="2" t="s">
        <v>183</v>
      </c>
      <c r="W655" s="4">
        <v>420</v>
      </c>
      <c r="X655" s="4">
        <v>504</v>
      </c>
      <c r="Y655" s="4">
        <f t="shared" ref="Y655" si="729">INDEX(InternalRates,MATCH($S655,InternalRates01,FALSE),2)</f>
        <v>278.98333333333335</v>
      </c>
      <c r="Z655" s="3" t="str">
        <f t="shared" si="704"/>
        <v>Nie</v>
      </c>
      <c r="AA655" s="3" t="str">
        <f t="shared" si="705"/>
        <v>SLA</v>
      </c>
      <c r="AB655" s="4">
        <v>6121</v>
      </c>
      <c r="AC655" s="4">
        <v>4794.345493562244</v>
      </c>
      <c r="AD655" s="3" t="s">
        <v>49</v>
      </c>
      <c r="AE655" s="6">
        <v>44990</v>
      </c>
      <c r="AF655" s="3" t="s">
        <v>59</v>
      </c>
      <c r="AG655" s="3" t="s">
        <v>60</v>
      </c>
      <c r="AH655" s="3">
        <f>YEAR(SrcDB[[#This Row],[Datum_zverejnenia]])</f>
        <v>2022</v>
      </c>
      <c r="AI655" s="3" cm="1">
        <f t="array" ref="AI655">COUNT(_xlfn.UNIQUE(_xlfn._xlws.FILTER(SrcDB[ID],SrcDB[Objednavatel_ICO]=$H655)))</f>
        <v>1</v>
      </c>
      <c r="AJ655" s="3" cm="1">
        <f t="array" ref="AJ655">COUNT(_xlfn.UNIQUE(_xlfn._xlws.FILTER(SrcDB[ID],SrcDB[Dodavatel_ICO]=$K655)))</f>
        <v>12</v>
      </c>
      <c r="AK655" s="3">
        <f t="shared" si="717"/>
        <v>1</v>
      </c>
      <c r="AL655" s="3">
        <f t="shared" si="718"/>
        <v>1</v>
      </c>
      <c r="AM655" s="17" t="str">
        <f>IF(SrcDB[[#This Row],[Pocet zmluv objednavatela]]&gt;3,SrcDB[[#This Row],[Objednavatel]],"Ostatné")</f>
        <v>Ostatné</v>
      </c>
      <c r="AN655" s="17" t="str">
        <f>IF(SrcDB[[#This Row],[Pocet zmluv dodavatela]]&gt;3,SrcDB[[#This Row],[Dodavatel]],"Ostatné")</f>
        <v>Atos IT Solutions and Services s.r.o. / Eviden Slovakia, s.r.o.</v>
      </c>
    </row>
    <row r="656" spans="1:40" x14ac:dyDescent="0.3">
      <c r="A656" s="2" t="s">
        <v>821</v>
      </c>
      <c r="B656" s="2">
        <v>6273806</v>
      </c>
      <c r="C656" s="3" t="str">
        <f t="shared" si="711"/>
        <v>Nie</v>
      </c>
      <c r="D656" s="3" t="str">
        <f t="shared" si="712"/>
        <v>Áno</v>
      </c>
      <c r="E656" s="3" t="s">
        <v>48</v>
      </c>
      <c r="F656" s="3" t="s">
        <v>49</v>
      </c>
      <c r="G656" s="2" t="str">
        <f t="shared" si="713"/>
        <v>Veľké zmluvy</v>
      </c>
      <c r="H656" s="5">
        <v>30845572</v>
      </c>
      <c r="I656" s="2" t="s">
        <v>116</v>
      </c>
      <c r="J656" s="2" t="s">
        <v>822</v>
      </c>
      <c r="K656" s="5">
        <v>35785306</v>
      </c>
      <c r="L656" s="2" t="s">
        <v>118</v>
      </c>
      <c r="M656" s="2" t="s">
        <v>119</v>
      </c>
      <c r="N656" s="6">
        <v>44641.481793981482</v>
      </c>
      <c r="O656" s="4">
        <v>8041666.6699999999</v>
      </c>
      <c r="P656" s="2">
        <v>114495</v>
      </c>
      <c r="Q656" s="2" t="s">
        <v>823</v>
      </c>
      <c r="R656" s="2" t="s">
        <v>824</v>
      </c>
      <c r="S656" s="2" t="s">
        <v>160</v>
      </c>
      <c r="T656" s="2" t="s">
        <v>783</v>
      </c>
      <c r="W656" s="4">
        <v>289.38461538461502</v>
      </c>
      <c r="X656" s="4">
        <v>347.26153846153801</v>
      </c>
      <c r="Y656" s="4">
        <f t="shared" ref="Y656" si="730">INDEX(InternalRates,MATCH($S656,InternalRates01,FALSE),2)</f>
        <v>231.85833333333335</v>
      </c>
      <c r="Z656" s="3" t="str">
        <f t="shared" si="704"/>
        <v>Nie</v>
      </c>
      <c r="AA656" s="3" t="str">
        <f t="shared" si="705"/>
        <v>SLA</v>
      </c>
      <c r="AD656" s="3" t="s">
        <v>48</v>
      </c>
      <c r="AE656" s="6">
        <v>44963</v>
      </c>
      <c r="AF656" s="3" t="s">
        <v>59</v>
      </c>
      <c r="AG656" s="3" t="s">
        <v>49</v>
      </c>
      <c r="AH656" s="3">
        <f>YEAR(SrcDB[[#This Row],[Datum_zverejnenia]])</f>
        <v>2022</v>
      </c>
      <c r="AI656" s="3" cm="1">
        <f t="array" ref="AI656">COUNT(_xlfn.UNIQUE(_xlfn._xlws.FILTER(SrcDB[ID],SrcDB[Objednavatel_ICO]=$H656)))</f>
        <v>3</v>
      </c>
      <c r="AJ656" s="3" cm="1">
        <f t="array" ref="AJ656">COUNT(_xlfn.UNIQUE(_xlfn._xlws.FILTER(SrcDB[ID],SrcDB[Dodavatel_ICO]=$K656)))</f>
        <v>9</v>
      </c>
      <c r="AK656" s="3">
        <f t="shared" si="717"/>
        <v>1</v>
      </c>
      <c r="AL656" s="3">
        <f t="shared" si="718"/>
        <v>1</v>
      </c>
      <c r="AM656" s="17" t="str">
        <f>IF(SrcDB[[#This Row],[Pocet zmluv objednavatela]]&gt;3,SrcDB[[#This Row],[Objednavatel]],"Ostatné")</f>
        <v>Ostatné</v>
      </c>
      <c r="AN656" s="17" t="str">
        <f>IF(SrcDB[[#This Row],[Pocet zmluv dodavatela]]&gt;3,SrcDB[[#This Row],[Dodavatel]],"Ostatné")</f>
        <v>DXC Technology Slovakia s.r.o.</v>
      </c>
    </row>
    <row r="657" spans="1:40" x14ac:dyDescent="0.3">
      <c r="A657" s="2" t="s">
        <v>821</v>
      </c>
      <c r="B657" s="2">
        <v>6273806</v>
      </c>
      <c r="C657" s="3" t="str">
        <f t="shared" si="711"/>
        <v>Nie</v>
      </c>
      <c r="D657" s="3" t="str">
        <f t="shared" si="712"/>
        <v>Áno</v>
      </c>
      <c r="E657" s="3" t="s">
        <v>48</v>
      </c>
      <c r="F657" s="3" t="s">
        <v>49</v>
      </c>
      <c r="G657" s="2" t="str">
        <f t="shared" si="713"/>
        <v>Veľké zmluvy</v>
      </c>
      <c r="H657" s="5">
        <v>30845572</v>
      </c>
      <c r="I657" s="2" t="s">
        <v>116</v>
      </c>
      <c r="J657" s="2" t="s">
        <v>822</v>
      </c>
      <c r="K657" s="5">
        <v>35785306</v>
      </c>
      <c r="L657" s="2" t="s">
        <v>118</v>
      </c>
      <c r="M657" s="2" t="s">
        <v>119</v>
      </c>
      <c r="N657" s="6">
        <v>44641.481793981482</v>
      </c>
      <c r="O657" s="4">
        <v>8041666.6699999999</v>
      </c>
      <c r="P657" s="2">
        <v>114495</v>
      </c>
      <c r="Q657" s="2" t="s">
        <v>823</v>
      </c>
      <c r="R657" s="2" t="s">
        <v>824</v>
      </c>
      <c r="S657" s="2" t="s">
        <v>73</v>
      </c>
      <c r="T657" s="2" t="s">
        <v>73</v>
      </c>
      <c r="W657" s="4">
        <v>900</v>
      </c>
      <c r="X657" s="4">
        <v>1080</v>
      </c>
      <c r="Y657" s="4">
        <f t="shared" ref="Y657" si="731">INDEX(InternalRates,MATCH($S657,InternalRates01,FALSE),2)</f>
        <v>278.98333333333335</v>
      </c>
      <c r="Z657" s="3" t="str">
        <f t="shared" si="704"/>
        <v>Nie</v>
      </c>
      <c r="AA657" s="3" t="str">
        <f t="shared" si="705"/>
        <v>SLA</v>
      </c>
      <c r="AD657" s="3" t="s">
        <v>48</v>
      </c>
      <c r="AE657" s="6">
        <v>44963</v>
      </c>
      <c r="AF657" s="3" t="s">
        <v>59</v>
      </c>
      <c r="AG657" s="3" t="s">
        <v>49</v>
      </c>
      <c r="AH657" s="3">
        <f>YEAR(SrcDB[[#This Row],[Datum_zverejnenia]])</f>
        <v>2022</v>
      </c>
      <c r="AI657" s="3" cm="1">
        <f t="array" ref="AI657">COUNT(_xlfn.UNIQUE(_xlfn._xlws.FILTER(SrcDB[ID],SrcDB[Objednavatel_ICO]=$H657)))</f>
        <v>3</v>
      </c>
      <c r="AJ657" s="3" cm="1">
        <f t="array" ref="AJ657">COUNT(_xlfn.UNIQUE(_xlfn._xlws.FILTER(SrcDB[ID],SrcDB[Dodavatel_ICO]=$K657)))</f>
        <v>9</v>
      </c>
      <c r="AK657" s="3">
        <f t="shared" si="717"/>
        <v>0</v>
      </c>
      <c r="AL657" s="3">
        <f t="shared" si="718"/>
        <v>0</v>
      </c>
      <c r="AM657" s="17" t="str">
        <f>IF(SrcDB[[#This Row],[Pocet zmluv objednavatela]]&gt;3,SrcDB[[#This Row],[Objednavatel]],"Ostatné")</f>
        <v>Ostatné</v>
      </c>
      <c r="AN657" s="17" t="str">
        <f>IF(SrcDB[[#This Row],[Pocet zmluv dodavatela]]&gt;3,SrcDB[[#This Row],[Dodavatel]],"Ostatné")</f>
        <v>DXC Technology Slovakia s.r.o.</v>
      </c>
    </row>
    <row r="658" spans="1:40" x14ac:dyDescent="0.3">
      <c r="A658" s="2" t="s">
        <v>821</v>
      </c>
      <c r="B658" s="2">
        <v>6273806</v>
      </c>
      <c r="C658" s="3" t="str">
        <f t="shared" si="711"/>
        <v>Nie</v>
      </c>
      <c r="D658" s="3" t="str">
        <f t="shared" si="712"/>
        <v>Áno</v>
      </c>
      <c r="E658" s="3" t="s">
        <v>48</v>
      </c>
      <c r="F658" s="3" t="s">
        <v>49</v>
      </c>
      <c r="G658" s="2" t="str">
        <f t="shared" si="713"/>
        <v>Veľké zmluvy</v>
      </c>
      <c r="H658" s="5">
        <v>30845572</v>
      </c>
      <c r="I658" s="2" t="s">
        <v>116</v>
      </c>
      <c r="J658" s="2" t="s">
        <v>822</v>
      </c>
      <c r="K658" s="5">
        <v>35785306</v>
      </c>
      <c r="L658" s="2" t="s">
        <v>118</v>
      </c>
      <c r="M658" s="2" t="s">
        <v>119</v>
      </c>
      <c r="N658" s="6">
        <v>44641.481793981482</v>
      </c>
      <c r="O658" s="4">
        <v>8041666.6699999999</v>
      </c>
      <c r="P658" s="2">
        <v>114495</v>
      </c>
      <c r="Q658" s="2" t="s">
        <v>823</v>
      </c>
      <c r="R658" s="2" t="s">
        <v>824</v>
      </c>
      <c r="S658" s="2" t="s">
        <v>56</v>
      </c>
      <c r="T658" s="2" t="s">
        <v>58</v>
      </c>
      <c r="U658" s="2" t="s">
        <v>58</v>
      </c>
      <c r="W658" s="4">
        <v>900</v>
      </c>
      <c r="X658" s="4">
        <v>1080</v>
      </c>
      <c r="Y658" s="4">
        <f t="shared" ref="Y658" si="732">INDEX(InternalRates,MATCH($S658,InternalRates01,FALSE),2)</f>
        <v>278.98333333333335</v>
      </c>
      <c r="Z658" s="3" t="str">
        <f t="shared" si="704"/>
        <v>Nie</v>
      </c>
      <c r="AA658" s="3" t="str">
        <f t="shared" si="705"/>
        <v>SLA</v>
      </c>
      <c r="AD658" s="3" t="s">
        <v>48</v>
      </c>
      <c r="AE658" s="6">
        <v>44963</v>
      </c>
      <c r="AF658" s="3" t="s">
        <v>59</v>
      </c>
      <c r="AG658" s="3" t="s">
        <v>49</v>
      </c>
      <c r="AH658" s="3">
        <f>YEAR(SrcDB[[#This Row],[Datum_zverejnenia]])</f>
        <v>2022</v>
      </c>
      <c r="AI658" s="3" cm="1">
        <f t="array" ref="AI658">COUNT(_xlfn.UNIQUE(_xlfn._xlws.FILTER(SrcDB[ID],SrcDB[Objednavatel_ICO]=$H658)))</f>
        <v>3</v>
      </c>
      <c r="AJ658" s="3" cm="1">
        <f t="array" ref="AJ658">COUNT(_xlfn.UNIQUE(_xlfn._xlws.FILTER(SrcDB[ID],SrcDB[Dodavatel_ICO]=$K658)))</f>
        <v>9</v>
      </c>
      <c r="AK658" s="3">
        <f t="shared" si="717"/>
        <v>0</v>
      </c>
      <c r="AL658" s="3">
        <f t="shared" si="718"/>
        <v>0</v>
      </c>
      <c r="AM658" s="17" t="str">
        <f>IF(SrcDB[[#This Row],[Pocet zmluv objednavatela]]&gt;3,SrcDB[[#This Row],[Objednavatel]],"Ostatné")</f>
        <v>Ostatné</v>
      </c>
      <c r="AN658" s="17" t="str">
        <f>IF(SrcDB[[#This Row],[Pocet zmluv dodavatela]]&gt;3,SrcDB[[#This Row],[Dodavatel]],"Ostatné")</f>
        <v>DXC Technology Slovakia s.r.o.</v>
      </c>
    </row>
    <row r="659" spans="1:40" x14ac:dyDescent="0.3">
      <c r="A659" s="2" t="s">
        <v>821</v>
      </c>
      <c r="B659" s="2">
        <v>6273806</v>
      </c>
      <c r="C659" s="3" t="str">
        <f t="shared" si="711"/>
        <v>Nie</v>
      </c>
      <c r="D659" s="3" t="str">
        <f t="shared" si="712"/>
        <v>Áno</v>
      </c>
      <c r="E659" s="3" t="s">
        <v>48</v>
      </c>
      <c r="F659" s="3" t="s">
        <v>49</v>
      </c>
      <c r="G659" s="2" t="str">
        <f t="shared" si="713"/>
        <v>Veľké zmluvy</v>
      </c>
      <c r="H659" s="5">
        <v>30845572</v>
      </c>
      <c r="I659" s="2" t="s">
        <v>116</v>
      </c>
      <c r="J659" s="2" t="s">
        <v>822</v>
      </c>
      <c r="K659" s="5">
        <v>35785306</v>
      </c>
      <c r="L659" s="2" t="s">
        <v>118</v>
      </c>
      <c r="M659" s="2" t="s">
        <v>119</v>
      </c>
      <c r="N659" s="6">
        <v>44641.481793981482</v>
      </c>
      <c r="O659" s="4">
        <v>8041666.6699999999</v>
      </c>
      <c r="P659" s="2">
        <v>114495</v>
      </c>
      <c r="Q659" s="2" t="s">
        <v>823</v>
      </c>
      <c r="R659" s="2" t="s">
        <v>824</v>
      </c>
      <c r="S659" s="2" t="s">
        <v>77</v>
      </c>
      <c r="T659" s="2" t="s">
        <v>77</v>
      </c>
      <c r="W659" s="4">
        <v>400</v>
      </c>
      <c r="X659" s="4">
        <v>480</v>
      </c>
      <c r="Y659" s="4">
        <f t="shared" ref="Y659" si="733">INDEX(InternalRates,MATCH($S659,InternalRates01,FALSE),2)</f>
        <v>278.98333333333335</v>
      </c>
      <c r="Z659" s="3" t="str">
        <f t="shared" si="704"/>
        <v>Nie</v>
      </c>
      <c r="AA659" s="3" t="str">
        <f t="shared" si="705"/>
        <v>SLA</v>
      </c>
      <c r="AD659" s="3" t="s">
        <v>48</v>
      </c>
      <c r="AE659" s="6">
        <v>44963</v>
      </c>
      <c r="AF659" s="3" t="s">
        <v>59</v>
      </c>
      <c r="AG659" s="3" t="s">
        <v>49</v>
      </c>
      <c r="AH659" s="3">
        <f>YEAR(SrcDB[[#This Row],[Datum_zverejnenia]])</f>
        <v>2022</v>
      </c>
      <c r="AI659" s="3" cm="1">
        <f t="array" ref="AI659">COUNT(_xlfn.UNIQUE(_xlfn._xlws.FILTER(SrcDB[ID],SrcDB[Objednavatel_ICO]=$H659)))</f>
        <v>3</v>
      </c>
      <c r="AJ659" s="3" cm="1">
        <f t="array" ref="AJ659">COUNT(_xlfn.UNIQUE(_xlfn._xlws.FILTER(SrcDB[ID],SrcDB[Dodavatel_ICO]=$K659)))</f>
        <v>9</v>
      </c>
      <c r="AK659" s="3">
        <f t="shared" si="717"/>
        <v>0</v>
      </c>
      <c r="AL659" s="3">
        <f t="shared" si="718"/>
        <v>0</v>
      </c>
      <c r="AM659" s="17" t="str">
        <f>IF(SrcDB[[#This Row],[Pocet zmluv objednavatela]]&gt;3,SrcDB[[#This Row],[Objednavatel]],"Ostatné")</f>
        <v>Ostatné</v>
      </c>
      <c r="AN659" s="17" t="str">
        <f>IF(SrcDB[[#This Row],[Pocet zmluv dodavatela]]&gt;3,SrcDB[[#This Row],[Dodavatel]],"Ostatné")</f>
        <v>DXC Technology Slovakia s.r.o.</v>
      </c>
    </row>
    <row r="660" spans="1:40" x14ac:dyDescent="0.3">
      <c r="A660" s="2" t="s">
        <v>821</v>
      </c>
      <c r="B660" s="2">
        <v>6273806</v>
      </c>
      <c r="C660" s="3" t="str">
        <f t="shared" si="711"/>
        <v>Nie</v>
      </c>
      <c r="D660" s="3" t="str">
        <f t="shared" si="712"/>
        <v>Áno</v>
      </c>
      <c r="E660" s="3" t="s">
        <v>48</v>
      </c>
      <c r="F660" s="3" t="s">
        <v>49</v>
      </c>
      <c r="G660" s="2" t="str">
        <f t="shared" si="713"/>
        <v>Veľké zmluvy</v>
      </c>
      <c r="H660" s="5">
        <v>30845572</v>
      </c>
      <c r="I660" s="2" t="s">
        <v>116</v>
      </c>
      <c r="J660" s="2" t="s">
        <v>822</v>
      </c>
      <c r="K660" s="5">
        <v>35785306</v>
      </c>
      <c r="L660" s="2" t="s">
        <v>118</v>
      </c>
      <c r="M660" s="2" t="s">
        <v>119</v>
      </c>
      <c r="N660" s="6">
        <v>44641.481793981482</v>
      </c>
      <c r="O660" s="4">
        <v>8041666.6699999999</v>
      </c>
      <c r="P660" s="2">
        <v>114495</v>
      </c>
      <c r="Q660" s="2" t="s">
        <v>823</v>
      </c>
      <c r="R660" s="2" t="s">
        <v>824</v>
      </c>
      <c r="S660" s="2" t="s">
        <v>56</v>
      </c>
      <c r="T660" s="2" t="s">
        <v>129</v>
      </c>
      <c r="U660" s="2" t="s">
        <v>129</v>
      </c>
      <c r="W660" s="4">
        <v>400</v>
      </c>
      <c r="X660" s="4">
        <v>480</v>
      </c>
      <c r="Y660" s="4">
        <f t="shared" ref="Y660" si="734">INDEX(InternalRates,MATCH($S660,InternalRates01,FALSE),2)</f>
        <v>278.98333333333335</v>
      </c>
      <c r="Z660" s="3" t="str">
        <f t="shared" si="704"/>
        <v>Nie</v>
      </c>
      <c r="AA660" s="3" t="str">
        <f t="shared" si="705"/>
        <v>SLA</v>
      </c>
      <c r="AD660" s="3" t="s">
        <v>48</v>
      </c>
      <c r="AE660" s="6">
        <v>44963</v>
      </c>
      <c r="AF660" s="3" t="s">
        <v>59</v>
      </c>
      <c r="AG660" s="3" t="s">
        <v>49</v>
      </c>
      <c r="AH660" s="3">
        <f>YEAR(SrcDB[[#This Row],[Datum_zverejnenia]])</f>
        <v>2022</v>
      </c>
      <c r="AI660" s="3" cm="1">
        <f t="array" ref="AI660">COUNT(_xlfn.UNIQUE(_xlfn._xlws.FILTER(SrcDB[ID],SrcDB[Objednavatel_ICO]=$H660)))</f>
        <v>3</v>
      </c>
      <c r="AJ660" s="3" cm="1">
        <f t="array" ref="AJ660">COUNT(_xlfn.UNIQUE(_xlfn._xlws.FILTER(SrcDB[ID],SrcDB[Dodavatel_ICO]=$K660)))</f>
        <v>9</v>
      </c>
      <c r="AK660" s="3">
        <f t="shared" si="717"/>
        <v>0</v>
      </c>
      <c r="AL660" s="3">
        <f t="shared" si="718"/>
        <v>0</v>
      </c>
      <c r="AM660" s="17" t="str">
        <f>IF(SrcDB[[#This Row],[Pocet zmluv objednavatela]]&gt;3,SrcDB[[#This Row],[Objednavatel]],"Ostatné")</f>
        <v>Ostatné</v>
      </c>
      <c r="AN660" s="17" t="str">
        <f>IF(SrcDB[[#This Row],[Pocet zmluv dodavatela]]&gt;3,SrcDB[[#This Row],[Dodavatel]],"Ostatné")</f>
        <v>DXC Technology Slovakia s.r.o.</v>
      </c>
    </row>
    <row r="661" spans="1:40" x14ac:dyDescent="0.3">
      <c r="A661" s="2" t="s">
        <v>821</v>
      </c>
      <c r="B661" s="2">
        <v>6273806</v>
      </c>
      <c r="C661" s="3" t="str">
        <f t="shared" si="711"/>
        <v>Nie</v>
      </c>
      <c r="D661" s="3" t="str">
        <f t="shared" si="712"/>
        <v>Áno</v>
      </c>
      <c r="E661" s="3" t="s">
        <v>48</v>
      </c>
      <c r="F661" s="3" t="s">
        <v>49</v>
      </c>
      <c r="G661" s="2" t="str">
        <f t="shared" si="713"/>
        <v>Veľké zmluvy</v>
      </c>
      <c r="H661" s="5">
        <v>30845572</v>
      </c>
      <c r="I661" s="2" t="s">
        <v>116</v>
      </c>
      <c r="J661" s="2" t="s">
        <v>822</v>
      </c>
      <c r="K661" s="5">
        <v>35785306</v>
      </c>
      <c r="L661" s="2" t="s">
        <v>118</v>
      </c>
      <c r="M661" s="2" t="s">
        <v>119</v>
      </c>
      <c r="N661" s="6">
        <v>44641.481793981482</v>
      </c>
      <c r="O661" s="4">
        <v>8041666.6699999999</v>
      </c>
      <c r="P661" s="2">
        <v>114495</v>
      </c>
      <c r="Q661" s="2" t="s">
        <v>823</v>
      </c>
      <c r="R661" s="2" t="s">
        <v>824</v>
      </c>
      <c r="S661" s="2" t="s">
        <v>98</v>
      </c>
      <c r="T661" s="2" t="s">
        <v>98</v>
      </c>
      <c r="W661" s="4">
        <v>350</v>
      </c>
      <c r="X661" s="4">
        <v>420</v>
      </c>
      <c r="Y661" s="4">
        <f t="shared" ref="Y661" si="735">INDEX(InternalRates,MATCH($S661,InternalRates01,FALSE),2)</f>
        <v>278.98333333333335</v>
      </c>
      <c r="Z661" s="3" t="str">
        <f t="shared" si="704"/>
        <v>Nie</v>
      </c>
      <c r="AA661" s="3" t="str">
        <f t="shared" si="705"/>
        <v>SLA</v>
      </c>
      <c r="AD661" s="3" t="s">
        <v>48</v>
      </c>
      <c r="AE661" s="6">
        <v>44963</v>
      </c>
      <c r="AF661" s="3" t="s">
        <v>59</v>
      </c>
      <c r="AG661" s="3" t="s">
        <v>49</v>
      </c>
      <c r="AH661" s="3">
        <f>YEAR(SrcDB[[#This Row],[Datum_zverejnenia]])</f>
        <v>2022</v>
      </c>
      <c r="AI661" s="3" cm="1">
        <f t="array" ref="AI661">COUNT(_xlfn.UNIQUE(_xlfn._xlws.FILTER(SrcDB[ID],SrcDB[Objednavatel_ICO]=$H661)))</f>
        <v>3</v>
      </c>
      <c r="AJ661" s="3" cm="1">
        <f t="array" ref="AJ661">COUNT(_xlfn.UNIQUE(_xlfn._xlws.FILTER(SrcDB[ID],SrcDB[Dodavatel_ICO]=$K661)))</f>
        <v>9</v>
      </c>
      <c r="AK661" s="3">
        <f t="shared" si="717"/>
        <v>0</v>
      </c>
      <c r="AL661" s="3">
        <f t="shared" si="718"/>
        <v>0</v>
      </c>
      <c r="AM661" s="17" t="str">
        <f>IF(SrcDB[[#This Row],[Pocet zmluv objednavatela]]&gt;3,SrcDB[[#This Row],[Objednavatel]],"Ostatné")</f>
        <v>Ostatné</v>
      </c>
      <c r="AN661" s="17" t="str">
        <f>IF(SrcDB[[#This Row],[Pocet zmluv dodavatela]]&gt;3,SrcDB[[#This Row],[Dodavatel]],"Ostatné")</f>
        <v>DXC Technology Slovakia s.r.o.</v>
      </c>
    </row>
    <row r="662" spans="1:40" x14ac:dyDescent="0.3">
      <c r="A662" s="2" t="s">
        <v>821</v>
      </c>
      <c r="B662" s="2">
        <v>6273806</v>
      </c>
      <c r="C662" s="3" t="str">
        <f t="shared" si="711"/>
        <v>Nie</v>
      </c>
      <c r="D662" s="3" t="str">
        <f t="shared" si="712"/>
        <v>Áno</v>
      </c>
      <c r="E662" s="3" t="s">
        <v>48</v>
      </c>
      <c r="F662" s="3" t="s">
        <v>49</v>
      </c>
      <c r="G662" s="2" t="str">
        <f t="shared" si="713"/>
        <v>Veľké zmluvy</v>
      </c>
      <c r="H662" s="5">
        <v>30845572</v>
      </c>
      <c r="I662" s="2" t="s">
        <v>116</v>
      </c>
      <c r="J662" s="2" t="s">
        <v>822</v>
      </c>
      <c r="K662" s="5">
        <v>35785306</v>
      </c>
      <c r="L662" s="2" t="s">
        <v>118</v>
      </c>
      <c r="M662" s="2" t="s">
        <v>119</v>
      </c>
      <c r="N662" s="6">
        <v>44641.481793981482</v>
      </c>
      <c r="O662" s="4">
        <v>8041666.6699999999</v>
      </c>
      <c r="P662" s="2">
        <v>114495</v>
      </c>
      <c r="Q662" s="2" t="s">
        <v>823</v>
      </c>
      <c r="R662" s="2" t="s">
        <v>824</v>
      </c>
      <c r="S662" s="2" t="s">
        <v>69</v>
      </c>
      <c r="T662" s="2" t="s">
        <v>70</v>
      </c>
      <c r="W662" s="4">
        <v>800</v>
      </c>
      <c r="X662" s="4">
        <v>960</v>
      </c>
      <c r="Y662" s="4">
        <f t="shared" ref="Y662" si="736">INDEX(InternalRates,MATCH($S662,InternalRates01,FALSE),2)</f>
        <v>278.98333333333335</v>
      </c>
      <c r="Z662" s="3" t="str">
        <f t="shared" si="704"/>
        <v>Nie</v>
      </c>
      <c r="AA662" s="3" t="str">
        <f t="shared" si="705"/>
        <v>SLA</v>
      </c>
      <c r="AD662" s="3" t="s">
        <v>48</v>
      </c>
      <c r="AE662" s="6">
        <v>44963</v>
      </c>
      <c r="AF662" s="3" t="s">
        <v>638</v>
      </c>
      <c r="AG662" s="3" t="s">
        <v>49</v>
      </c>
      <c r="AH662" s="3">
        <f>YEAR(SrcDB[[#This Row],[Datum_zverejnenia]])</f>
        <v>2022</v>
      </c>
      <c r="AI662" s="3" cm="1">
        <f t="array" ref="AI662">COUNT(_xlfn.UNIQUE(_xlfn._xlws.FILTER(SrcDB[ID],SrcDB[Objednavatel_ICO]=$H662)))</f>
        <v>3</v>
      </c>
      <c r="AJ662" s="3" cm="1">
        <f t="array" ref="AJ662">COUNT(_xlfn.UNIQUE(_xlfn._xlws.FILTER(SrcDB[ID],SrcDB[Dodavatel_ICO]=$K662)))</f>
        <v>9</v>
      </c>
      <c r="AK662" s="3">
        <f t="shared" si="717"/>
        <v>0</v>
      </c>
      <c r="AL662" s="3">
        <f t="shared" si="718"/>
        <v>0</v>
      </c>
      <c r="AM662" s="17" t="str">
        <f>IF(SrcDB[[#This Row],[Pocet zmluv objednavatela]]&gt;3,SrcDB[[#This Row],[Objednavatel]],"Ostatné")</f>
        <v>Ostatné</v>
      </c>
      <c r="AN662" s="17" t="str">
        <f>IF(SrcDB[[#This Row],[Pocet zmluv dodavatela]]&gt;3,SrcDB[[#This Row],[Dodavatel]],"Ostatné")</f>
        <v>DXC Technology Slovakia s.r.o.</v>
      </c>
    </row>
    <row r="663" spans="1:40" x14ac:dyDescent="0.3">
      <c r="A663" s="2" t="s">
        <v>821</v>
      </c>
      <c r="B663" s="2">
        <v>6273806</v>
      </c>
      <c r="C663" s="3" t="str">
        <f t="shared" si="711"/>
        <v>Nie</v>
      </c>
      <c r="D663" s="3" t="str">
        <f t="shared" si="712"/>
        <v>Áno</v>
      </c>
      <c r="E663" s="3" t="s">
        <v>48</v>
      </c>
      <c r="F663" s="3" t="s">
        <v>49</v>
      </c>
      <c r="G663" s="2" t="str">
        <f t="shared" si="713"/>
        <v>Veľké zmluvy</v>
      </c>
      <c r="H663" s="5">
        <v>30845572</v>
      </c>
      <c r="I663" s="2" t="s">
        <v>116</v>
      </c>
      <c r="J663" s="2" t="s">
        <v>822</v>
      </c>
      <c r="K663" s="5">
        <v>35785306</v>
      </c>
      <c r="L663" s="2" t="s">
        <v>118</v>
      </c>
      <c r="M663" s="2" t="s">
        <v>119</v>
      </c>
      <c r="N663" s="6">
        <v>44641.481793981482</v>
      </c>
      <c r="O663" s="4">
        <v>8041666.6699999999</v>
      </c>
      <c r="P663" s="2">
        <v>114495</v>
      </c>
      <c r="Q663" s="2" t="s">
        <v>823</v>
      </c>
      <c r="R663" s="2" t="s">
        <v>824</v>
      </c>
      <c r="S663" s="2" t="s">
        <v>71</v>
      </c>
      <c r="T663" s="2" t="s">
        <v>71</v>
      </c>
      <c r="W663" s="4">
        <v>720</v>
      </c>
      <c r="X663" s="4">
        <v>864</v>
      </c>
      <c r="Y663" s="4">
        <f t="shared" ref="Y663" si="737">INDEX(InternalRates,MATCH($S663,InternalRates01,FALSE),2)</f>
        <v>354.0333333333333</v>
      </c>
      <c r="Z663" s="3" t="str">
        <f t="shared" si="704"/>
        <v>Nie</v>
      </c>
      <c r="AA663" s="3" t="str">
        <f t="shared" si="705"/>
        <v>SLA</v>
      </c>
      <c r="AD663" s="3" t="s">
        <v>48</v>
      </c>
      <c r="AE663" s="6">
        <v>44963</v>
      </c>
      <c r="AF663" s="3" t="s">
        <v>638</v>
      </c>
      <c r="AG663" s="3" t="s">
        <v>49</v>
      </c>
      <c r="AH663" s="3">
        <f>YEAR(SrcDB[[#This Row],[Datum_zverejnenia]])</f>
        <v>2022</v>
      </c>
      <c r="AI663" s="3" cm="1">
        <f t="array" ref="AI663">COUNT(_xlfn.UNIQUE(_xlfn._xlws.FILTER(SrcDB[ID],SrcDB[Objednavatel_ICO]=$H663)))</f>
        <v>3</v>
      </c>
      <c r="AJ663" s="3" cm="1">
        <f t="array" ref="AJ663">COUNT(_xlfn.UNIQUE(_xlfn._xlws.FILTER(SrcDB[ID],SrcDB[Dodavatel_ICO]=$K663)))</f>
        <v>9</v>
      </c>
      <c r="AK663" s="3">
        <f t="shared" si="717"/>
        <v>0</v>
      </c>
      <c r="AL663" s="3">
        <f t="shared" si="718"/>
        <v>0</v>
      </c>
      <c r="AM663" s="17" t="str">
        <f>IF(SrcDB[[#This Row],[Pocet zmluv objednavatela]]&gt;3,SrcDB[[#This Row],[Objednavatel]],"Ostatné")</f>
        <v>Ostatné</v>
      </c>
      <c r="AN663" s="17" t="str">
        <f>IF(SrcDB[[#This Row],[Pocet zmluv dodavatela]]&gt;3,SrcDB[[#This Row],[Dodavatel]],"Ostatné")</f>
        <v>DXC Technology Slovakia s.r.o.</v>
      </c>
    </row>
    <row r="664" spans="1:40" x14ac:dyDescent="0.3">
      <c r="A664" s="2" t="s">
        <v>821</v>
      </c>
      <c r="B664" s="2">
        <v>6273806</v>
      </c>
      <c r="C664" s="3" t="str">
        <f t="shared" si="711"/>
        <v>Nie</v>
      </c>
      <c r="D664" s="3" t="str">
        <f t="shared" si="712"/>
        <v>Áno</v>
      </c>
      <c r="E664" s="3" t="s">
        <v>48</v>
      </c>
      <c r="F664" s="3" t="s">
        <v>49</v>
      </c>
      <c r="G664" s="2" t="str">
        <f t="shared" si="713"/>
        <v>Veľké zmluvy</v>
      </c>
      <c r="H664" s="5">
        <v>30845572</v>
      </c>
      <c r="I664" s="2" t="s">
        <v>116</v>
      </c>
      <c r="J664" s="2" t="s">
        <v>822</v>
      </c>
      <c r="K664" s="5">
        <v>35785306</v>
      </c>
      <c r="L664" s="2" t="s">
        <v>118</v>
      </c>
      <c r="M664" s="2" t="s">
        <v>119</v>
      </c>
      <c r="N664" s="6">
        <v>44641.481793981482</v>
      </c>
      <c r="O664" s="4">
        <v>8041666.6699999999</v>
      </c>
      <c r="P664" s="2">
        <v>114495</v>
      </c>
      <c r="Q664" s="2" t="s">
        <v>823</v>
      </c>
      <c r="R664" s="2" t="s">
        <v>824</v>
      </c>
      <c r="S664" s="2" t="s">
        <v>56</v>
      </c>
      <c r="T664" s="2" t="s">
        <v>96</v>
      </c>
      <c r="U664" s="2" t="s">
        <v>97</v>
      </c>
      <c r="W664" s="4">
        <v>400</v>
      </c>
      <c r="X664" s="4">
        <v>480</v>
      </c>
      <c r="Y664" s="4">
        <f t="shared" ref="Y664" si="738">INDEX(InternalRates,MATCH($S664,InternalRates01,FALSE),2)</f>
        <v>278.98333333333335</v>
      </c>
      <c r="Z664" s="3" t="str">
        <f t="shared" si="704"/>
        <v>Nie</v>
      </c>
      <c r="AA664" s="3" t="str">
        <f t="shared" si="705"/>
        <v>SLA</v>
      </c>
      <c r="AD664" s="3" t="s">
        <v>48</v>
      </c>
      <c r="AE664" s="6">
        <v>44963</v>
      </c>
      <c r="AF664" s="3" t="s">
        <v>59</v>
      </c>
      <c r="AG664" s="3" t="s">
        <v>49</v>
      </c>
      <c r="AH664" s="3">
        <f>YEAR(SrcDB[[#This Row],[Datum_zverejnenia]])</f>
        <v>2022</v>
      </c>
      <c r="AI664" s="3" cm="1">
        <f t="array" ref="AI664">COUNT(_xlfn.UNIQUE(_xlfn._xlws.FILTER(SrcDB[ID],SrcDB[Objednavatel_ICO]=$H664)))</f>
        <v>3</v>
      </c>
      <c r="AJ664" s="3" cm="1">
        <f t="array" ref="AJ664">COUNT(_xlfn.UNIQUE(_xlfn._xlws.FILTER(SrcDB[ID],SrcDB[Dodavatel_ICO]=$K664)))</f>
        <v>9</v>
      </c>
      <c r="AK664" s="3">
        <f t="shared" si="717"/>
        <v>0</v>
      </c>
      <c r="AL664" s="3">
        <f t="shared" si="718"/>
        <v>0</v>
      </c>
      <c r="AM664" s="17" t="str">
        <f>IF(SrcDB[[#This Row],[Pocet zmluv objednavatela]]&gt;3,SrcDB[[#This Row],[Objednavatel]],"Ostatné")</f>
        <v>Ostatné</v>
      </c>
      <c r="AN664" s="17" t="str">
        <f>IF(SrcDB[[#This Row],[Pocet zmluv dodavatela]]&gt;3,SrcDB[[#This Row],[Dodavatel]],"Ostatné")</f>
        <v>DXC Technology Slovakia s.r.o.</v>
      </c>
    </row>
    <row r="665" spans="1:40" x14ac:dyDescent="0.3">
      <c r="A665" s="2" t="s">
        <v>821</v>
      </c>
      <c r="B665" s="2">
        <v>6273806</v>
      </c>
      <c r="C665" s="3" t="str">
        <f t="shared" si="711"/>
        <v>Nie</v>
      </c>
      <c r="D665" s="3" t="str">
        <f t="shared" si="712"/>
        <v>Áno</v>
      </c>
      <c r="E665" s="3" t="s">
        <v>48</v>
      </c>
      <c r="F665" s="3" t="s">
        <v>49</v>
      </c>
      <c r="G665" s="2" t="str">
        <f t="shared" si="713"/>
        <v>Veľké zmluvy</v>
      </c>
      <c r="H665" s="5">
        <v>30845572</v>
      </c>
      <c r="I665" s="2" t="s">
        <v>116</v>
      </c>
      <c r="J665" s="2" t="s">
        <v>822</v>
      </c>
      <c r="K665" s="5">
        <v>35785306</v>
      </c>
      <c r="L665" s="2" t="s">
        <v>118</v>
      </c>
      <c r="M665" s="2" t="s">
        <v>119</v>
      </c>
      <c r="N665" s="6">
        <v>44641.481793981482</v>
      </c>
      <c r="O665" s="4">
        <v>8041666.6699999999</v>
      </c>
      <c r="P665" s="2">
        <v>114495</v>
      </c>
      <c r="Q665" s="2" t="s">
        <v>823</v>
      </c>
      <c r="R665" s="2" t="s">
        <v>824</v>
      </c>
      <c r="S665" s="2" t="s">
        <v>56</v>
      </c>
      <c r="T665" s="2" t="s">
        <v>825</v>
      </c>
      <c r="U665" s="2" t="s">
        <v>58</v>
      </c>
      <c r="W665" s="4">
        <v>900</v>
      </c>
      <c r="X665" s="4">
        <v>1080</v>
      </c>
      <c r="Y665" s="4">
        <f t="shared" ref="Y665" si="739">INDEX(InternalRates,MATCH($S665,InternalRates01,FALSE),2)</f>
        <v>278.98333333333335</v>
      </c>
      <c r="Z665" s="3" t="str">
        <f t="shared" si="704"/>
        <v>Nie</v>
      </c>
      <c r="AA665" s="3" t="str">
        <f t="shared" si="705"/>
        <v>SLA</v>
      </c>
      <c r="AD665" s="3" t="s">
        <v>48</v>
      </c>
      <c r="AE665" s="6">
        <v>44963</v>
      </c>
      <c r="AF665" s="3" t="s">
        <v>59</v>
      </c>
      <c r="AG665" s="3" t="s">
        <v>49</v>
      </c>
      <c r="AH665" s="3">
        <f>YEAR(SrcDB[[#This Row],[Datum_zverejnenia]])</f>
        <v>2022</v>
      </c>
      <c r="AI665" s="3" cm="1">
        <f t="array" ref="AI665">COUNT(_xlfn.UNIQUE(_xlfn._xlws.FILTER(SrcDB[ID],SrcDB[Objednavatel_ICO]=$H665)))</f>
        <v>3</v>
      </c>
      <c r="AJ665" s="3" cm="1">
        <f t="array" ref="AJ665">COUNT(_xlfn.UNIQUE(_xlfn._xlws.FILTER(SrcDB[ID],SrcDB[Dodavatel_ICO]=$K665)))</f>
        <v>9</v>
      </c>
      <c r="AK665" s="3">
        <f t="shared" si="717"/>
        <v>0</v>
      </c>
      <c r="AL665" s="3">
        <f t="shared" si="718"/>
        <v>0</v>
      </c>
      <c r="AM665" s="17" t="str">
        <f>IF(SrcDB[[#This Row],[Pocet zmluv objednavatela]]&gt;3,SrcDB[[#This Row],[Objednavatel]],"Ostatné")</f>
        <v>Ostatné</v>
      </c>
      <c r="AN665" s="17" t="str">
        <f>IF(SrcDB[[#This Row],[Pocet zmluv dodavatela]]&gt;3,SrcDB[[#This Row],[Dodavatel]],"Ostatné")</f>
        <v>DXC Technology Slovakia s.r.o.</v>
      </c>
    </row>
    <row r="666" spans="1:40" x14ac:dyDescent="0.3">
      <c r="A666" s="2" t="s">
        <v>821</v>
      </c>
      <c r="B666" s="2">
        <v>6273806</v>
      </c>
      <c r="C666" s="3" t="str">
        <f t="shared" si="711"/>
        <v>Nie</v>
      </c>
      <c r="D666" s="3" t="str">
        <f t="shared" si="712"/>
        <v>Áno</v>
      </c>
      <c r="E666" s="3" t="s">
        <v>48</v>
      </c>
      <c r="F666" s="3" t="s">
        <v>49</v>
      </c>
      <c r="G666" s="2" t="str">
        <f t="shared" si="713"/>
        <v>Veľké zmluvy</v>
      </c>
      <c r="H666" s="5">
        <v>30845572</v>
      </c>
      <c r="I666" s="2" t="s">
        <v>116</v>
      </c>
      <c r="J666" s="2" t="s">
        <v>822</v>
      </c>
      <c r="K666" s="5">
        <v>35785306</v>
      </c>
      <c r="L666" s="2" t="s">
        <v>118</v>
      </c>
      <c r="M666" s="2" t="s">
        <v>119</v>
      </c>
      <c r="N666" s="6">
        <v>44641.481793981482</v>
      </c>
      <c r="O666" s="4">
        <v>8041666.6699999999</v>
      </c>
      <c r="P666" s="2">
        <v>114495</v>
      </c>
      <c r="Q666" s="2" t="s">
        <v>823</v>
      </c>
      <c r="R666" s="2" t="s">
        <v>824</v>
      </c>
      <c r="S666" s="2" t="s">
        <v>56</v>
      </c>
      <c r="T666" s="2" t="s">
        <v>826</v>
      </c>
      <c r="U666" s="2" t="s">
        <v>58</v>
      </c>
      <c r="W666" s="4">
        <v>400</v>
      </c>
      <c r="X666" s="4">
        <v>480</v>
      </c>
      <c r="Y666" s="4">
        <f t="shared" ref="Y666" si="740">INDEX(InternalRates,MATCH($S666,InternalRates01,FALSE),2)</f>
        <v>278.98333333333335</v>
      </c>
      <c r="Z666" s="3" t="str">
        <f t="shared" si="704"/>
        <v>Nie</v>
      </c>
      <c r="AA666" s="3" t="str">
        <f t="shared" si="705"/>
        <v>SLA</v>
      </c>
      <c r="AD666" s="3" t="s">
        <v>48</v>
      </c>
      <c r="AE666" s="6">
        <v>44963</v>
      </c>
      <c r="AF666" s="3" t="s">
        <v>59</v>
      </c>
      <c r="AG666" s="3" t="s">
        <v>49</v>
      </c>
      <c r="AH666" s="3">
        <f>YEAR(SrcDB[[#This Row],[Datum_zverejnenia]])</f>
        <v>2022</v>
      </c>
      <c r="AI666" s="3" cm="1">
        <f t="array" ref="AI666">COUNT(_xlfn.UNIQUE(_xlfn._xlws.FILTER(SrcDB[ID],SrcDB[Objednavatel_ICO]=$H666)))</f>
        <v>3</v>
      </c>
      <c r="AJ666" s="3" cm="1">
        <f t="array" ref="AJ666">COUNT(_xlfn.UNIQUE(_xlfn._xlws.FILTER(SrcDB[ID],SrcDB[Dodavatel_ICO]=$K666)))</f>
        <v>9</v>
      </c>
      <c r="AK666" s="3">
        <f t="shared" si="717"/>
        <v>0</v>
      </c>
      <c r="AL666" s="3">
        <f t="shared" si="718"/>
        <v>0</v>
      </c>
      <c r="AM666" s="17" t="str">
        <f>IF(SrcDB[[#This Row],[Pocet zmluv objednavatela]]&gt;3,SrcDB[[#This Row],[Objednavatel]],"Ostatné")</f>
        <v>Ostatné</v>
      </c>
      <c r="AN666" s="17" t="str">
        <f>IF(SrcDB[[#This Row],[Pocet zmluv dodavatela]]&gt;3,SrcDB[[#This Row],[Dodavatel]],"Ostatné")</f>
        <v>DXC Technology Slovakia s.r.o.</v>
      </c>
    </row>
    <row r="667" spans="1:40" x14ac:dyDescent="0.3">
      <c r="A667" s="2" t="s">
        <v>821</v>
      </c>
      <c r="B667" s="2">
        <v>6273806</v>
      </c>
      <c r="C667" s="3" t="str">
        <f t="shared" si="711"/>
        <v>Nie</v>
      </c>
      <c r="D667" s="3" t="str">
        <f t="shared" si="712"/>
        <v>Áno</v>
      </c>
      <c r="E667" s="3" t="s">
        <v>48</v>
      </c>
      <c r="F667" s="3" t="s">
        <v>49</v>
      </c>
      <c r="G667" s="2" t="str">
        <f t="shared" si="713"/>
        <v>Veľké zmluvy</v>
      </c>
      <c r="H667" s="5">
        <v>30845572</v>
      </c>
      <c r="I667" s="2" t="s">
        <v>116</v>
      </c>
      <c r="J667" s="2" t="s">
        <v>822</v>
      </c>
      <c r="K667" s="5">
        <v>35785306</v>
      </c>
      <c r="L667" s="2" t="s">
        <v>118</v>
      </c>
      <c r="M667" s="2" t="s">
        <v>119</v>
      </c>
      <c r="N667" s="6">
        <v>44641.481793981482</v>
      </c>
      <c r="O667" s="4">
        <v>8041666.6699999999</v>
      </c>
      <c r="P667" s="2">
        <v>114495</v>
      </c>
      <c r="Q667" s="2" t="s">
        <v>823</v>
      </c>
      <c r="R667" s="2" t="s">
        <v>824</v>
      </c>
      <c r="S667" s="2" t="s">
        <v>56</v>
      </c>
      <c r="T667" s="2" t="s">
        <v>827</v>
      </c>
      <c r="U667" s="2" t="s">
        <v>58</v>
      </c>
      <c r="W667" s="4">
        <v>450</v>
      </c>
      <c r="X667" s="4">
        <v>540</v>
      </c>
      <c r="Y667" s="4">
        <f t="shared" ref="Y667" si="741">INDEX(InternalRates,MATCH($S667,InternalRates01,FALSE),2)</f>
        <v>278.98333333333335</v>
      </c>
      <c r="Z667" s="3" t="str">
        <f t="shared" si="704"/>
        <v>Nie</v>
      </c>
      <c r="AA667" s="3" t="str">
        <f t="shared" si="705"/>
        <v>SLA</v>
      </c>
      <c r="AD667" s="3" t="s">
        <v>48</v>
      </c>
      <c r="AE667" s="6">
        <v>44963</v>
      </c>
      <c r="AF667" s="3" t="s">
        <v>59</v>
      </c>
      <c r="AG667" s="3" t="s">
        <v>49</v>
      </c>
      <c r="AH667" s="3">
        <f>YEAR(SrcDB[[#This Row],[Datum_zverejnenia]])</f>
        <v>2022</v>
      </c>
      <c r="AI667" s="3" cm="1">
        <f t="array" ref="AI667">COUNT(_xlfn.UNIQUE(_xlfn._xlws.FILTER(SrcDB[ID],SrcDB[Objednavatel_ICO]=$H667)))</f>
        <v>3</v>
      </c>
      <c r="AJ667" s="3" cm="1">
        <f t="array" ref="AJ667">COUNT(_xlfn.UNIQUE(_xlfn._xlws.FILTER(SrcDB[ID],SrcDB[Dodavatel_ICO]=$K667)))</f>
        <v>9</v>
      </c>
      <c r="AK667" s="3">
        <f t="shared" si="717"/>
        <v>0</v>
      </c>
      <c r="AL667" s="3">
        <f t="shared" si="718"/>
        <v>0</v>
      </c>
      <c r="AM667" s="17" t="str">
        <f>IF(SrcDB[[#This Row],[Pocet zmluv objednavatela]]&gt;3,SrcDB[[#This Row],[Objednavatel]],"Ostatné")</f>
        <v>Ostatné</v>
      </c>
      <c r="AN667" s="17" t="str">
        <f>IF(SrcDB[[#This Row],[Pocet zmluv dodavatela]]&gt;3,SrcDB[[#This Row],[Dodavatel]],"Ostatné")</f>
        <v>DXC Technology Slovakia s.r.o.</v>
      </c>
    </row>
    <row r="668" spans="1:40" x14ac:dyDescent="0.3">
      <c r="A668" s="2" t="s">
        <v>821</v>
      </c>
      <c r="B668" s="2">
        <v>6273806</v>
      </c>
      <c r="C668" s="3" t="str">
        <f t="shared" si="711"/>
        <v>Nie</v>
      </c>
      <c r="D668" s="3" t="str">
        <f t="shared" si="712"/>
        <v>Áno</v>
      </c>
      <c r="E668" s="3" t="s">
        <v>48</v>
      </c>
      <c r="F668" s="3" t="s">
        <v>49</v>
      </c>
      <c r="G668" s="2" t="str">
        <f t="shared" si="713"/>
        <v>Veľké zmluvy</v>
      </c>
      <c r="H668" s="5">
        <v>30845572</v>
      </c>
      <c r="I668" s="2" t="s">
        <v>116</v>
      </c>
      <c r="J668" s="2" t="s">
        <v>822</v>
      </c>
      <c r="K668" s="5">
        <v>35785306</v>
      </c>
      <c r="L668" s="2" t="s">
        <v>118</v>
      </c>
      <c r="M668" s="2" t="s">
        <v>119</v>
      </c>
      <c r="N668" s="6">
        <v>44641.481793981482</v>
      </c>
      <c r="O668" s="4">
        <v>8041666.6699999999</v>
      </c>
      <c r="P668" s="2">
        <v>114495</v>
      </c>
      <c r="Q668" s="2" t="s">
        <v>823</v>
      </c>
      <c r="R668" s="2" t="s">
        <v>824</v>
      </c>
      <c r="S668" s="2" t="s">
        <v>56</v>
      </c>
      <c r="T668" s="2" t="s">
        <v>828</v>
      </c>
      <c r="U668" s="2" t="s">
        <v>58</v>
      </c>
      <c r="W668" s="4">
        <v>350</v>
      </c>
      <c r="X668" s="4">
        <v>420</v>
      </c>
      <c r="Y668" s="4">
        <f t="shared" ref="Y668" si="742">INDEX(InternalRates,MATCH($S668,InternalRates01,FALSE),2)</f>
        <v>278.98333333333335</v>
      </c>
      <c r="Z668" s="3" t="str">
        <f t="shared" si="704"/>
        <v>Nie</v>
      </c>
      <c r="AA668" s="3" t="str">
        <f t="shared" si="705"/>
        <v>SLA</v>
      </c>
      <c r="AD668" s="3" t="s">
        <v>48</v>
      </c>
      <c r="AE668" s="6">
        <v>44963</v>
      </c>
      <c r="AF668" s="3" t="s">
        <v>59</v>
      </c>
      <c r="AG668" s="3" t="s">
        <v>49</v>
      </c>
      <c r="AH668" s="3">
        <f>YEAR(SrcDB[[#This Row],[Datum_zverejnenia]])</f>
        <v>2022</v>
      </c>
      <c r="AI668" s="3" cm="1">
        <f t="array" ref="AI668">COUNT(_xlfn.UNIQUE(_xlfn._xlws.FILTER(SrcDB[ID],SrcDB[Objednavatel_ICO]=$H668)))</f>
        <v>3</v>
      </c>
      <c r="AJ668" s="3" cm="1">
        <f t="array" ref="AJ668">COUNT(_xlfn.UNIQUE(_xlfn._xlws.FILTER(SrcDB[ID],SrcDB[Dodavatel_ICO]=$K668)))</f>
        <v>9</v>
      </c>
      <c r="AK668" s="3">
        <f t="shared" si="717"/>
        <v>0</v>
      </c>
      <c r="AL668" s="3">
        <f t="shared" si="718"/>
        <v>0</v>
      </c>
      <c r="AM668" s="17" t="str">
        <f>IF(SrcDB[[#This Row],[Pocet zmluv objednavatela]]&gt;3,SrcDB[[#This Row],[Objednavatel]],"Ostatné")</f>
        <v>Ostatné</v>
      </c>
      <c r="AN668" s="17" t="str">
        <f>IF(SrcDB[[#This Row],[Pocet zmluv dodavatela]]&gt;3,SrcDB[[#This Row],[Dodavatel]],"Ostatné")</f>
        <v>DXC Technology Slovakia s.r.o.</v>
      </c>
    </row>
    <row r="669" spans="1:40" x14ac:dyDescent="0.3">
      <c r="A669" s="2" t="s">
        <v>821</v>
      </c>
      <c r="B669" s="2">
        <v>6273806</v>
      </c>
      <c r="C669" s="3" t="str">
        <f t="shared" si="711"/>
        <v>Nie</v>
      </c>
      <c r="D669" s="3" t="str">
        <f t="shared" si="712"/>
        <v>Áno</v>
      </c>
      <c r="E669" s="3" t="s">
        <v>48</v>
      </c>
      <c r="F669" s="3" t="s">
        <v>49</v>
      </c>
      <c r="G669" s="2" t="str">
        <f t="shared" si="713"/>
        <v>Veľké zmluvy</v>
      </c>
      <c r="H669" s="5">
        <v>30845572</v>
      </c>
      <c r="I669" s="2" t="s">
        <v>116</v>
      </c>
      <c r="J669" s="2" t="s">
        <v>822</v>
      </c>
      <c r="K669" s="5">
        <v>35785306</v>
      </c>
      <c r="L669" s="2" t="s">
        <v>118</v>
      </c>
      <c r="M669" s="2" t="s">
        <v>119</v>
      </c>
      <c r="N669" s="6">
        <v>44641.481793981482</v>
      </c>
      <c r="O669" s="4">
        <v>8041666.6699999999</v>
      </c>
      <c r="P669" s="2">
        <v>114495</v>
      </c>
      <c r="Q669" s="2" t="s">
        <v>823</v>
      </c>
      <c r="R669" s="2" t="s">
        <v>824</v>
      </c>
      <c r="S669" s="2" t="s">
        <v>56</v>
      </c>
      <c r="T669" s="2" t="s">
        <v>829</v>
      </c>
      <c r="U669" s="2" t="s">
        <v>58</v>
      </c>
      <c r="W669" s="4">
        <v>350</v>
      </c>
      <c r="X669" s="4">
        <v>420</v>
      </c>
      <c r="Y669" s="4">
        <f t="shared" ref="Y669" si="743">INDEX(InternalRates,MATCH($S669,InternalRates01,FALSE),2)</f>
        <v>278.98333333333335</v>
      </c>
      <c r="Z669" s="3" t="str">
        <f t="shared" si="704"/>
        <v>Nie</v>
      </c>
      <c r="AA669" s="3" t="str">
        <f t="shared" si="705"/>
        <v>SLA</v>
      </c>
      <c r="AD669" s="3" t="s">
        <v>48</v>
      </c>
      <c r="AE669" s="6">
        <v>44963</v>
      </c>
      <c r="AF669" s="3" t="s">
        <v>59</v>
      </c>
      <c r="AG669" s="3" t="s">
        <v>49</v>
      </c>
      <c r="AH669" s="3">
        <f>YEAR(SrcDB[[#This Row],[Datum_zverejnenia]])</f>
        <v>2022</v>
      </c>
      <c r="AI669" s="3" cm="1">
        <f t="array" ref="AI669">COUNT(_xlfn.UNIQUE(_xlfn._xlws.FILTER(SrcDB[ID],SrcDB[Objednavatel_ICO]=$H669)))</f>
        <v>3</v>
      </c>
      <c r="AJ669" s="3" cm="1">
        <f t="array" ref="AJ669">COUNT(_xlfn.UNIQUE(_xlfn._xlws.FILTER(SrcDB[ID],SrcDB[Dodavatel_ICO]=$K669)))</f>
        <v>9</v>
      </c>
      <c r="AK669" s="3">
        <f t="shared" si="717"/>
        <v>0</v>
      </c>
      <c r="AL669" s="3">
        <f t="shared" si="718"/>
        <v>0</v>
      </c>
      <c r="AM669" s="17" t="str">
        <f>IF(SrcDB[[#This Row],[Pocet zmluv objednavatela]]&gt;3,SrcDB[[#This Row],[Objednavatel]],"Ostatné")</f>
        <v>Ostatné</v>
      </c>
      <c r="AN669" s="17" t="str">
        <f>IF(SrcDB[[#This Row],[Pocet zmluv dodavatela]]&gt;3,SrcDB[[#This Row],[Dodavatel]],"Ostatné")</f>
        <v>DXC Technology Slovakia s.r.o.</v>
      </c>
    </row>
    <row r="670" spans="1:40" x14ac:dyDescent="0.3">
      <c r="A670" s="2" t="s">
        <v>821</v>
      </c>
      <c r="B670" s="2">
        <v>6273806</v>
      </c>
      <c r="C670" s="3" t="str">
        <f t="shared" si="711"/>
        <v>Nie</v>
      </c>
      <c r="D670" s="3" t="str">
        <f t="shared" si="712"/>
        <v>Áno</v>
      </c>
      <c r="E670" s="3" t="s">
        <v>48</v>
      </c>
      <c r="F670" s="3" t="s">
        <v>49</v>
      </c>
      <c r="G670" s="2" t="str">
        <f t="shared" si="713"/>
        <v>Veľké zmluvy</v>
      </c>
      <c r="H670" s="5">
        <v>30845572</v>
      </c>
      <c r="I670" s="2" t="s">
        <v>116</v>
      </c>
      <c r="J670" s="2" t="s">
        <v>822</v>
      </c>
      <c r="K670" s="5">
        <v>35785306</v>
      </c>
      <c r="L670" s="2" t="s">
        <v>118</v>
      </c>
      <c r="M670" s="2" t="s">
        <v>119</v>
      </c>
      <c r="N670" s="6">
        <v>44641.481793981482</v>
      </c>
      <c r="O670" s="4">
        <v>8041666.6699999999</v>
      </c>
      <c r="P670" s="2">
        <v>114495</v>
      </c>
      <c r="Q670" s="2" t="s">
        <v>823</v>
      </c>
      <c r="R670" s="2" t="s">
        <v>824</v>
      </c>
      <c r="S670" s="2" t="s">
        <v>56</v>
      </c>
      <c r="T670" s="2" t="s">
        <v>830</v>
      </c>
      <c r="U670" s="2" t="s">
        <v>58</v>
      </c>
      <c r="W670" s="4">
        <v>350</v>
      </c>
      <c r="X670" s="4">
        <v>420</v>
      </c>
      <c r="Y670" s="4">
        <f t="shared" ref="Y670" si="744">INDEX(InternalRates,MATCH($S670,InternalRates01,FALSE),2)</f>
        <v>278.98333333333335</v>
      </c>
      <c r="Z670" s="3" t="str">
        <f t="shared" si="704"/>
        <v>Nie</v>
      </c>
      <c r="AA670" s="3" t="str">
        <f t="shared" si="705"/>
        <v>SLA</v>
      </c>
      <c r="AD670" s="3" t="s">
        <v>48</v>
      </c>
      <c r="AE670" s="6">
        <v>44963</v>
      </c>
      <c r="AF670" s="3" t="s">
        <v>59</v>
      </c>
      <c r="AG670" s="3" t="s">
        <v>49</v>
      </c>
      <c r="AH670" s="3">
        <f>YEAR(SrcDB[[#This Row],[Datum_zverejnenia]])</f>
        <v>2022</v>
      </c>
      <c r="AI670" s="3" cm="1">
        <f t="array" ref="AI670">COUNT(_xlfn.UNIQUE(_xlfn._xlws.FILTER(SrcDB[ID],SrcDB[Objednavatel_ICO]=$H670)))</f>
        <v>3</v>
      </c>
      <c r="AJ670" s="3" cm="1">
        <f t="array" ref="AJ670">COUNT(_xlfn.UNIQUE(_xlfn._xlws.FILTER(SrcDB[ID],SrcDB[Dodavatel_ICO]=$K670)))</f>
        <v>9</v>
      </c>
      <c r="AK670" s="3">
        <f t="shared" si="717"/>
        <v>0</v>
      </c>
      <c r="AL670" s="3">
        <f t="shared" si="718"/>
        <v>0</v>
      </c>
      <c r="AM670" s="17" t="str">
        <f>IF(SrcDB[[#This Row],[Pocet zmluv objednavatela]]&gt;3,SrcDB[[#This Row],[Objednavatel]],"Ostatné")</f>
        <v>Ostatné</v>
      </c>
      <c r="AN670" s="17" t="str">
        <f>IF(SrcDB[[#This Row],[Pocet zmluv dodavatela]]&gt;3,SrcDB[[#This Row],[Dodavatel]],"Ostatné")</f>
        <v>DXC Technology Slovakia s.r.o.</v>
      </c>
    </row>
    <row r="671" spans="1:40" x14ac:dyDescent="0.3">
      <c r="A671" s="2" t="s">
        <v>831</v>
      </c>
      <c r="B671" s="2">
        <v>6275383</v>
      </c>
      <c r="C671" s="3" t="str">
        <f t="shared" si="711"/>
        <v>Nejasné</v>
      </c>
      <c r="D671" s="3" t="str">
        <f t="shared" si="712"/>
        <v>Nejasné</v>
      </c>
      <c r="E671" s="3" t="s">
        <v>49</v>
      </c>
      <c r="F671" s="3" t="s">
        <v>48</v>
      </c>
      <c r="G671" s="2" t="str">
        <f t="shared" si="713"/>
        <v>Malé zmluvy</v>
      </c>
      <c r="H671" s="5" t="s">
        <v>832</v>
      </c>
      <c r="I671" s="2" t="s">
        <v>833</v>
      </c>
      <c r="J671" s="2" t="s">
        <v>834</v>
      </c>
      <c r="K671" s="5">
        <v>36396222</v>
      </c>
      <c r="L671" s="2" t="s">
        <v>52</v>
      </c>
      <c r="M671" s="2" t="s">
        <v>53</v>
      </c>
      <c r="N671" s="6">
        <v>44641</v>
      </c>
      <c r="O671" s="4">
        <v>209744.4</v>
      </c>
      <c r="P671" s="2">
        <v>114571</v>
      </c>
      <c r="Q671" s="2" t="s">
        <v>835</v>
      </c>
      <c r="R671" s="2" t="s">
        <v>836</v>
      </c>
      <c r="S671" s="2" t="s">
        <v>69</v>
      </c>
      <c r="T671" s="2" t="s">
        <v>70</v>
      </c>
      <c r="W671" s="4">
        <v>550</v>
      </c>
      <c r="X671" s="4">
        <v>660</v>
      </c>
      <c r="Y671" s="4">
        <f t="shared" ref="Y671" si="745">INDEX(InternalRates,MATCH($S671,InternalRates01,FALSE),2)</f>
        <v>278.98333333333335</v>
      </c>
      <c r="Z671" s="3" t="str">
        <f>IF(W671&gt;0,IF(Y671&gt;W671,"Áno","Nie"),"Nie")</f>
        <v>Nie</v>
      </c>
      <c r="AA671" s="3" t="str">
        <f>IF(E671="Nie","SLA",IF(F671="Nie","ZoD","SLA+ZoD"))</f>
        <v>ZoD</v>
      </c>
      <c r="AB671" s="4">
        <v>3</v>
      </c>
      <c r="AC671" s="4">
        <v>4.8883928571428568</v>
      </c>
      <c r="AD671" s="3" t="s">
        <v>49</v>
      </c>
      <c r="AE671" s="6">
        <v>44963</v>
      </c>
      <c r="AF671" s="3" t="s">
        <v>59</v>
      </c>
      <c r="AG671" s="3" t="s">
        <v>49</v>
      </c>
      <c r="AH671" s="3">
        <f>YEAR(SrcDB[[#This Row],[Datum_zverejnenia]])</f>
        <v>2022</v>
      </c>
      <c r="AI671" s="3" cm="1">
        <f t="array" ref="AI671">COUNT(_xlfn.UNIQUE(_xlfn._xlws.FILTER(SrcDB[ID],SrcDB[Objednavatel_ICO]=$H671)))</f>
        <v>1</v>
      </c>
      <c r="AJ671" s="3" cm="1">
        <f t="array" ref="AJ671">COUNT(_xlfn.UNIQUE(_xlfn._xlws.FILTER(SrcDB[ID],SrcDB[Dodavatel_ICO]=$K671)))</f>
        <v>11</v>
      </c>
      <c r="AK671" s="3">
        <f t="shared" si="717"/>
        <v>1</v>
      </c>
      <c r="AL671" s="3">
        <f t="shared" si="718"/>
        <v>1</v>
      </c>
      <c r="AM671" s="17" t="str">
        <f>IF(SrcDB[[#This Row],[Pocet zmluv objednavatela]]&gt;3,SrcDB[[#This Row],[Objednavatel]],"Ostatné")</f>
        <v>Ostatné</v>
      </c>
      <c r="AN671" s="17" t="str">
        <f>IF(SrcDB[[#This Row],[Pocet zmluv dodavatela]]&gt;3,SrcDB[[#This Row],[Dodavatel]],"Ostatné")</f>
        <v>AUTOCONT s.r.o. / ARICOMA Systems s.r.o.</v>
      </c>
    </row>
    <row r="672" spans="1:40" x14ac:dyDescent="0.3">
      <c r="A672" s="2" t="s">
        <v>831</v>
      </c>
      <c r="B672" s="2">
        <v>6275383</v>
      </c>
      <c r="C672" s="3" t="str">
        <f t="shared" si="711"/>
        <v>Nejasné</v>
      </c>
      <c r="D672" s="3" t="str">
        <f t="shared" si="712"/>
        <v>Nejasné</v>
      </c>
      <c r="E672" s="3" t="s">
        <v>49</v>
      </c>
      <c r="F672" s="3" t="s">
        <v>48</v>
      </c>
      <c r="G672" s="2" t="str">
        <f t="shared" si="713"/>
        <v>Malé zmluvy</v>
      </c>
      <c r="H672" s="5" t="s">
        <v>832</v>
      </c>
      <c r="I672" s="2" t="s">
        <v>833</v>
      </c>
      <c r="J672" s="2" t="s">
        <v>834</v>
      </c>
      <c r="K672" s="5">
        <v>36396222</v>
      </c>
      <c r="L672" s="2" t="s">
        <v>52</v>
      </c>
      <c r="M672" s="2" t="s">
        <v>53</v>
      </c>
      <c r="N672" s="6">
        <v>44641.538842592592</v>
      </c>
      <c r="O672" s="4">
        <v>209744.4</v>
      </c>
      <c r="P672" s="2">
        <v>114571</v>
      </c>
      <c r="Q672" s="2" t="s">
        <v>835</v>
      </c>
      <c r="R672" s="2" t="s">
        <v>836</v>
      </c>
      <c r="S672" s="2" t="s">
        <v>123</v>
      </c>
      <c r="T672" s="2" t="s">
        <v>582</v>
      </c>
      <c r="V672" s="2" t="s">
        <v>583</v>
      </c>
      <c r="W672" s="4">
        <v>560</v>
      </c>
      <c r="X672" s="4">
        <v>672</v>
      </c>
      <c r="Y672" s="4">
        <f t="shared" ref="Y672" si="746">INDEX(InternalRates,MATCH($S672,InternalRates01,FALSE),2)</f>
        <v>231.85833333333335</v>
      </c>
      <c r="Z672" s="3" t="str">
        <f t="shared" ref="Z672:Z735" si="747">IF(W672&gt;0,IF(Y672&gt;W672,"Áno","Nie"),"Nie")</f>
        <v>Nie</v>
      </c>
      <c r="AA672" s="3" t="str">
        <f t="shared" ref="AA672:AA735" si="748">IF(E672="Nie","SLA",IF(F672="Nie","ZoD","SLA+ZoD"))</f>
        <v>ZoD</v>
      </c>
      <c r="AB672" s="4">
        <v>12</v>
      </c>
      <c r="AC672" s="4">
        <v>19.553571428571427</v>
      </c>
      <c r="AD672" s="3" t="s">
        <v>49</v>
      </c>
      <c r="AE672" s="6">
        <v>44963</v>
      </c>
      <c r="AF672" s="3" t="s">
        <v>59</v>
      </c>
      <c r="AG672" s="3" t="s">
        <v>49</v>
      </c>
      <c r="AH672" s="3">
        <f>YEAR(SrcDB[[#This Row],[Datum_zverejnenia]])</f>
        <v>2022</v>
      </c>
      <c r="AI672" s="3" cm="1">
        <f t="array" ref="AI672">COUNT(_xlfn.UNIQUE(_xlfn._xlws.FILTER(SrcDB[ID],SrcDB[Objednavatel_ICO]=$H672)))</f>
        <v>1</v>
      </c>
      <c r="AJ672" s="3" cm="1">
        <f t="array" ref="AJ672">COUNT(_xlfn.UNIQUE(_xlfn._xlws.FILTER(SrcDB[ID],SrcDB[Dodavatel_ICO]=$K672)))</f>
        <v>11</v>
      </c>
      <c r="AK672" s="3">
        <f t="shared" si="717"/>
        <v>0</v>
      </c>
      <c r="AL672" s="3">
        <f t="shared" si="718"/>
        <v>0</v>
      </c>
      <c r="AM672" s="17" t="str">
        <f>IF(SrcDB[[#This Row],[Pocet zmluv objednavatela]]&gt;3,SrcDB[[#This Row],[Objednavatel]],"Ostatné")</f>
        <v>Ostatné</v>
      </c>
      <c r="AN672" s="17" t="str">
        <f>IF(SrcDB[[#This Row],[Pocet zmluv dodavatela]]&gt;3,SrcDB[[#This Row],[Dodavatel]],"Ostatné")</f>
        <v>AUTOCONT s.r.o. / ARICOMA Systems s.r.o.</v>
      </c>
    </row>
    <row r="673" spans="1:40" x14ac:dyDescent="0.3">
      <c r="A673" s="2" t="s">
        <v>831</v>
      </c>
      <c r="B673" s="2">
        <v>6275383</v>
      </c>
      <c r="C673" s="3" t="str">
        <f t="shared" si="711"/>
        <v>Nejasné</v>
      </c>
      <c r="D673" s="3" t="str">
        <f t="shared" si="712"/>
        <v>Nejasné</v>
      </c>
      <c r="E673" s="3" t="s">
        <v>49</v>
      </c>
      <c r="F673" s="3" t="s">
        <v>48</v>
      </c>
      <c r="G673" s="2" t="str">
        <f t="shared" si="713"/>
        <v>Malé zmluvy</v>
      </c>
      <c r="H673" s="5" t="s">
        <v>832</v>
      </c>
      <c r="I673" s="2" t="s">
        <v>833</v>
      </c>
      <c r="J673" s="2" t="s">
        <v>834</v>
      </c>
      <c r="K673" s="5">
        <v>36396222</v>
      </c>
      <c r="L673" s="2" t="s">
        <v>52</v>
      </c>
      <c r="M673" s="2" t="s">
        <v>53</v>
      </c>
      <c r="N673" s="6">
        <v>44641.538842592592</v>
      </c>
      <c r="O673" s="4">
        <v>209744.4</v>
      </c>
      <c r="P673" s="2">
        <v>114571</v>
      </c>
      <c r="Q673" s="2" t="s">
        <v>835</v>
      </c>
      <c r="R673" s="2" t="s">
        <v>836</v>
      </c>
      <c r="S673" s="2" t="s">
        <v>56</v>
      </c>
      <c r="T673" s="2" t="s">
        <v>837</v>
      </c>
      <c r="U673" s="2" t="s">
        <v>58</v>
      </c>
      <c r="W673" s="4">
        <v>640</v>
      </c>
      <c r="X673" s="4">
        <v>768</v>
      </c>
      <c r="Y673" s="4">
        <f t="shared" ref="Y673" si="749">INDEX(InternalRates,MATCH($S673,InternalRates01,FALSE),2)</f>
        <v>278.98333333333335</v>
      </c>
      <c r="Z673" s="3" t="str">
        <f t="shared" si="747"/>
        <v>Nie</v>
      </c>
      <c r="AA673" s="3" t="str">
        <f t="shared" si="748"/>
        <v>ZoD</v>
      </c>
      <c r="AB673" s="4">
        <v>3</v>
      </c>
      <c r="AC673" s="4">
        <v>4.8883928571428568</v>
      </c>
      <c r="AD673" s="3" t="s">
        <v>49</v>
      </c>
      <c r="AE673" s="6">
        <v>44963</v>
      </c>
      <c r="AF673" s="3" t="s">
        <v>59</v>
      </c>
      <c r="AG673" s="3" t="s">
        <v>49</v>
      </c>
      <c r="AH673" s="3">
        <f>YEAR(SrcDB[[#This Row],[Datum_zverejnenia]])</f>
        <v>2022</v>
      </c>
      <c r="AI673" s="3" cm="1">
        <f t="array" ref="AI673">COUNT(_xlfn.UNIQUE(_xlfn._xlws.FILTER(SrcDB[ID],SrcDB[Objednavatel_ICO]=$H673)))</f>
        <v>1</v>
      </c>
      <c r="AJ673" s="3" cm="1">
        <f t="array" ref="AJ673">COUNT(_xlfn.UNIQUE(_xlfn._xlws.FILTER(SrcDB[ID],SrcDB[Dodavatel_ICO]=$K673)))</f>
        <v>11</v>
      </c>
      <c r="AK673" s="3">
        <f t="shared" si="717"/>
        <v>0</v>
      </c>
      <c r="AL673" s="3">
        <f t="shared" si="718"/>
        <v>0</v>
      </c>
      <c r="AM673" s="17" t="str">
        <f>IF(SrcDB[[#This Row],[Pocet zmluv objednavatela]]&gt;3,SrcDB[[#This Row],[Objednavatel]],"Ostatné")</f>
        <v>Ostatné</v>
      </c>
      <c r="AN673" s="17" t="str">
        <f>IF(SrcDB[[#This Row],[Pocet zmluv dodavatela]]&gt;3,SrcDB[[#This Row],[Dodavatel]],"Ostatné")</f>
        <v>AUTOCONT s.r.o. / ARICOMA Systems s.r.o.</v>
      </c>
    </row>
    <row r="674" spans="1:40" x14ac:dyDescent="0.3">
      <c r="A674" s="2" t="s">
        <v>831</v>
      </c>
      <c r="B674" s="2">
        <v>6275383</v>
      </c>
      <c r="C674" s="3" t="str">
        <f t="shared" si="711"/>
        <v>Nejasné</v>
      </c>
      <c r="D674" s="3" t="str">
        <f t="shared" si="712"/>
        <v>Nejasné</v>
      </c>
      <c r="E674" s="3" t="s">
        <v>49</v>
      </c>
      <c r="F674" s="3" t="s">
        <v>48</v>
      </c>
      <c r="G674" s="2" t="str">
        <f t="shared" si="713"/>
        <v>Malé zmluvy</v>
      </c>
      <c r="H674" s="5" t="s">
        <v>832</v>
      </c>
      <c r="I674" s="2" t="s">
        <v>833</v>
      </c>
      <c r="J674" s="2" t="s">
        <v>834</v>
      </c>
      <c r="K674" s="5">
        <v>36396222</v>
      </c>
      <c r="L674" s="2" t="s">
        <v>52</v>
      </c>
      <c r="M674" s="2" t="s">
        <v>53</v>
      </c>
      <c r="N674" s="6">
        <v>44641.538842592592</v>
      </c>
      <c r="O674" s="4">
        <v>209744.4</v>
      </c>
      <c r="P674" s="2">
        <v>114571</v>
      </c>
      <c r="Q674" s="2" t="s">
        <v>835</v>
      </c>
      <c r="R674" s="2" t="s">
        <v>836</v>
      </c>
      <c r="S674" s="2" t="s">
        <v>56</v>
      </c>
      <c r="T674" s="2" t="s">
        <v>838</v>
      </c>
      <c r="U674" s="2" t="s">
        <v>58</v>
      </c>
      <c r="W674" s="4">
        <v>640</v>
      </c>
      <c r="X674" s="4">
        <v>768</v>
      </c>
      <c r="Y674" s="4">
        <f t="shared" ref="Y674" si="750">INDEX(InternalRates,MATCH($S674,InternalRates01,FALSE),2)</f>
        <v>278.98333333333335</v>
      </c>
      <c r="Z674" s="3" t="str">
        <f t="shared" si="747"/>
        <v>Nie</v>
      </c>
      <c r="AA674" s="3" t="str">
        <f t="shared" si="748"/>
        <v>ZoD</v>
      </c>
      <c r="AB674" s="4">
        <v>5</v>
      </c>
      <c r="AC674" s="4">
        <v>8.1473214285714288</v>
      </c>
      <c r="AD674" s="3" t="s">
        <v>49</v>
      </c>
      <c r="AE674" s="6">
        <v>44963</v>
      </c>
      <c r="AF674" s="3" t="s">
        <v>59</v>
      </c>
      <c r="AG674" s="3" t="s">
        <v>49</v>
      </c>
      <c r="AH674" s="3">
        <f>YEAR(SrcDB[[#This Row],[Datum_zverejnenia]])</f>
        <v>2022</v>
      </c>
      <c r="AI674" s="3" cm="1">
        <f t="array" ref="AI674">COUNT(_xlfn.UNIQUE(_xlfn._xlws.FILTER(SrcDB[ID],SrcDB[Objednavatel_ICO]=$H674)))</f>
        <v>1</v>
      </c>
      <c r="AJ674" s="3" cm="1">
        <f t="array" ref="AJ674">COUNT(_xlfn.UNIQUE(_xlfn._xlws.FILTER(SrcDB[ID],SrcDB[Dodavatel_ICO]=$K674)))</f>
        <v>11</v>
      </c>
      <c r="AK674" s="3">
        <f t="shared" si="717"/>
        <v>0</v>
      </c>
      <c r="AL674" s="3">
        <f t="shared" si="718"/>
        <v>0</v>
      </c>
      <c r="AM674" s="17" t="str">
        <f>IF(SrcDB[[#This Row],[Pocet zmluv objednavatela]]&gt;3,SrcDB[[#This Row],[Objednavatel]],"Ostatné")</f>
        <v>Ostatné</v>
      </c>
      <c r="AN674" s="17" t="str">
        <f>IF(SrcDB[[#This Row],[Pocet zmluv dodavatela]]&gt;3,SrcDB[[#This Row],[Dodavatel]],"Ostatné")</f>
        <v>AUTOCONT s.r.o. / ARICOMA Systems s.r.o.</v>
      </c>
    </row>
    <row r="675" spans="1:40" x14ac:dyDescent="0.3">
      <c r="A675" s="2" t="s">
        <v>831</v>
      </c>
      <c r="B675" s="2">
        <v>6275383</v>
      </c>
      <c r="C675" s="3" t="str">
        <f t="shared" si="711"/>
        <v>Nejasné</v>
      </c>
      <c r="D675" s="3" t="str">
        <f t="shared" si="712"/>
        <v>Nejasné</v>
      </c>
      <c r="E675" s="3" t="s">
        <v>49</v>
      </c>
      <c r="F675" s="3" t="s">
        <v>48</v>
      </c>
      <c r="G675" s="2" t="str">
        <f t="shared" si="713"/>
        <v>Malé zmluvy</v>
      </c>
      <c r="H675" s="5" t="s">
        <v>832</v>
      </c>
      <c r="I675" s="2" t="s">
        <v>833</v>
      </c>
      <c r="J675" s="2" t="s">
        <v>834</v>
      </c>
      <c r="K675" s="5">
        <v>36396222</v>
      </c>
      <c r="L675" s="2" t="s">
        <v>52</v>
      </c>
      <c r="M675" s="2" t="s">
        <v>53</v>
      </c>
      <c r="N675" s="6">
        <v>44641.538842592592</v>
      </c>
      <c r="O675" s="4">
        <v>209744.4</v>
      </c>
      <c r="P675" s="2">
        <v>114571</v>
      </c>
      <c r="Q675" s="2" t="s">
        <v>835</v>
      </c>
      <c r="R675" s="2" t="s">
        <v>836</v>
      </c>
      <c r="S675" s="2" t="s">
        <v>56</v>
      </c>
      <c r="T675" s="2" t="s">
        <v>839</v>
      </c>
      <c r="U675" s="2" t="s">
        <v>58</v>
      </c>
      <c r="W675" s="4">
        <v>550</v>
      </c>
      <c r="X675" s="4">
        <v>660</v>
      </c>
      <c r="Y675" s="4">
        <f t="shared" ref="Y675" si="751">INDEX(InternalRates,MATCH($S675,InternalRates01,FALSE),2)</f>
        <v>278.98333333333335</v>
      </c>
      <c r="Z675" s="3" t="str">
        <f t="shared" si="747"/>
        <v>Nie</v>
      </c>
      <c r="AA675" s="3" t="str">
        <f t="shared" si="748"/>
        <v>ZoD</v>
      </c>
      <c r="AB675" s="4">
        <v>2</v>
      </c>
      <c r="AC675" s="4">
        <v>3.2589285714285716</v>
      </c>
      <c r="AD675" s="3" t="s">
        <v>49</v>
      </c>
      <c r="AE675" s="6">
        <v>44963</v>
      </c>
      <c r="AF675" s="3" t="s">
        <v>59</v>
      </c>
      <c r="AG675" s="3" t="s">
        <v>49</v>
      </c>
      <c r="AH675" s="3">
        <f>YEAR(SrcDB[[#This Row],[Datum_zverejnenia]])</f>
        <v>2022</v>
      </c>
      <c r="AI675" s="3" cm="1">
        <f t="array" ref="AI675">COUNT(_xlfn.UNIQUE(_xlfn._xlws.FILTER(SrcDB[ID],SrcDB[Objednavatel_ICO]=$H675)))</f>
        <v>1</v>
      </c>
      <c r="AJ675" s="3" cm="1">
        <f t="array" ref="AJ675">COUNT(_xlfn.UNIQUE(_xlfn._xlws.FILTER(SrcDB[ID],SrcDB[Dodavatel_ICO]=$K675)))</f>
        <v>11</v>
      </c>
      <c r="AK675" s="3">
        <f t="shared" si="717"/>
        <v>0</v>
      </c>
      <c r="AL675" s="3">
        <f t="shared" si="718"/>
        <v>0</v>
      </c>
      <c r="AM675" s="17" t="str">
        <f>IF(SrcDB[[#This Row],[Pocet zmluv objednavatela]]&gt;3,SrcDB[[#This Row],[Objednavatel]],"Ostatné")</f>
        <v>Ostatné</v>
      </c>
      <c r="AN675" s="17" t="str">
        <f>IF(SrcDB[[#This Row],[Pocet zmluv dodavatela]]&gt;3,SrcDB[[#This Row],[Dodavatel]],"Ostatné")</f>
        <v>AUTOCONT s.r.o. / ARICOMA Systems s.r.o.</v>
      </c>
    </row>
    <row r="676" spans="1:40" x14ac:dyDescent="0.3">
      <c r="A676" s="2" t="s">
        <v>831</v>
      </c>
      <c r="B676" s="2">
        <v>6275383</v>
      </c>
      <c r="C676" s="3" t="str">
        <f t="shared" si="711"/>
        <v>Nejasné</v>
      </c>
      <c r="D676" s="3" t="str">
        <f t="shared" si="712"/>
        <v>Nejasné</v>
      </c>
      <c r="E676" s="3" t="s">
        <v>49</v>
      </c>
      <c r="F676" s="3" t="s">
        <v>48</v>
      </c>
      <c r="G676" s="2" t="str">
        <f t="shared" si="713"/>
        <v>Malé zmluvy</v>
      </c>
      <c r="H676" s="5" t="s">
        <v>832</v>
      </c>
      <c r="I676" s="2" t="s">
        <v>833</v>
      </c>
      <c r="J676" s="2" t="s">
        <v>834</v>
      </c>
      <c r="K676" s="5">
        <v>36396222</v>
      </c>
      <c r="L676" s="2" t="s">
        <v>52</v>
      </c>
      <c r="M676" s="2" t="s">
        <v>53</v>
      </c>
      <c r="N676" s="6">
        <v>44641.538842592592</v>
      </c>
      <c r="O676" s="4">
        <v>209744.4</v>
      </c>
      <c r="P676" s="2">
        <v>114571</v>
      </c>
      <c r="Q676" s="2" t="s">
        <v>835</v>
      </c>
      <c r="R676" s="2" t="s">
        <v>836</v>
      </c>
      <c r="S676" s="2" t="s">
        <v>56</v>
      </c>
      <c r="T676" s="2" t="s">
        <v>840</v>
      </c>
      <c r="U676" s="2" t="s">
        <v>58</v>
      </c>
      <c r="W676" s="4">
        <v>550</v>
      </c>
      <c r="X676" s="4">
        <v>660</v>
      </c>
      <c r="Y676" s="4">
        <f t="shared" ref="Y676" si="752">INDEX(InternalRates,MATCH($S676,InternalRates01,FALSE),2)</f>
        <v>278.98333333333335</v>
      </c>
      <c r="Z676" s="3" t="str">
        <f t="shared" si="747"/>
        <v>Nie</v>
      </c>
      <c r="AA676" s="3" t="str">
        <f t="shared" si="748"/>
        <v>ZoD</v>
      </c>
      <c r="AB676" s="4">
        <v>10</v>
      </c>
      <c r="AC676" s="4">
        <v>16.294642857142858</v>
      </c>
      <c r="AD676" s="3" t="s">
        <v>49</v>
      </c>
      <c r="AE676" s="6">
        <v>44963</v>
      </c>
      <c r="AF676" s="3" t="s">
        <v>59</v>
      </c>
      <c r="AG676" s="3" t="s">
        <v>49</v>
      </c>
      <c r="AH676" s="3">
        <f>YEAR(SrcDB[[#This Row],[Datum_zverejnenia]])</f>
        <v>2022</v>
      </c>
      <c r="AI676" s="3" cm="1">
        <f t="array" ref="AI676">COUNT(_xlfn.UNIQUE(_xlfn._xlws.FILTER(SrcDB[ID],SrcDB[Objednavatel_ICO]=$H676)))</f>
        <v>1</v>
      </c>
      <c r="AJ676" s="3" cm="1">
        <f t="array" ref="AJ676">COUNT(_xlfn.UNIQUE(_xlfn._xlws.FILTER(SrcDB[ID],SrcDB[Dodavatel_ICO]=$K676)))</f>
        <v>11</v>
      </c>
      <c r="AK676" s="3">
        <f t="shared" si="717"/>
        <v>0</v>
      </c>
      <c r="AL676" s="3">
        <f t="shared" si="718"/>
        <v>0</v>
      </c>
      <c r="AM676" s="17" t="str">
        <f>IF(SrcDB[[#This Row],[Pocet zmluv objednavatela]]&gt;3,SrcDB[[#This Row],[Objednavatel]],"Ostatné")</f>
        <v>Ostatné</v>
      </c>
      <c r="AN676" s="17" t="str">
        <f>IF(SrcDB[[#This Row],[Pocet zmluv dodavatela]]&gt;3,SrcDB[[#This Row],[Dodavatel]],"Ostatné")</f>
        <v>AUTOCONT s.r.o. / ARICOMA Systems s.r.o.</v>
      </c>
    </row>
    <row r="677" spans="1:40" x14ac:dyDescent="0.3">
      <c r="A677" s="2" t="s">
        <v>841</v>
      </c>
      <c r="B677" s="2">
        <v>6301114</v>
      </c>
      <c r="C677" s="3" t="str">
        <f t="shared" si="711"/>
        <v>Nie</v>
      </c>
      <c r="D677" s="3" t="str">
        <f t="shared" si="712"/>
        <v>Áno</v>
      </c>
      <c r="E677" s="3" t="s">
        <v>48</v>
      </c>
      <c r="F677" s="3" t="s">
        <v>49</v>
      </c>
      <c r="G677" s="2" t="str">
        <f t="shared" si="713"/>
        <v>Malé zmluvy</v>
      </c>
      <c r="H677" s="5">
        <v>36211541</v>
      </c>
      <c r="I677" s="2" t="s">
        <v>689</v>
      </c>
      <c r="J677" s="2" t="s">
        <v>842</v>
      </c>
      <c r="K677" s="5">
        <v>45899495</v>
      </c>
      <c r="L677" s="2" t="s">
        <v>746</v>
      </c>
      <c r="M677" s="2" t="s">
        <v>843</v>
      </c>
      <c r="N677" s="6">
        <v>44650.621747685182</v>
      </c>
      <c r="O677" s="4">
        <v>188760</v>
      </c>
      <c r="P677" s="2">
        <v>406837</v>
      </c>
      <c r="Q677" s="2" t="s">
        <v>844</v>
      </c>
      <c r="R677" s="2" t="s">
        <v>845</v>
      </c>
      <c r="S677" s="2" t="s">
        <v>98</v>
      </c>
      <c r="W677" s="4">
        <v>550</v>
      </c>
      <c r="X677" s="4">
        <v>660</v>
      </c>
      <c r="Y677" s="4">
        <f t="shared" ref="Y677" si="753">INDEX(InternalRates,MATCH($S677,InternalRates01,FALSE),2)</f>
        <v>278.98333333333335</v>
      </c>
      <c r="Z677" s="3" t="str">
        <f t="shared" si="747"/>
        <v>Nie</v>
      </c>
      <c r="AA677" s="3" t="str">
        <f t="shared" si="748"/>
        <v>SLA</v>
      </c>
      <c r="AB677" s="4">
        <v>1</v>
      </c>
      <c r="AC677" s="4">
        <v>0.25</v>
      </c>
      <c r="AD677" s="3" t="s">
        <v>48</v>
      </c>
      <c r="AE677" s="6">
        <v>44991</v>
      </c>
      <c r="AF677" s="3" t="s">
        <v>59</v>
      </c>
      <c r="AG677" s="3" t="s">
        <v>60</v>
      </c>
      <c r="AH677" s="3">
        <f>YEAR(SrcDB[[#This Row],[Datum_zverejnenia]])</f>
        <v>2022</v>
      </c>
      <c r="AI677" s="3" cm="1">
        <f t="array" ref="AI677">COUNT(_xlfn.UNIQUE(_xlfn._xlws.FILTER(SrcDB[ID],SrcDB[Objednavatel_ICO]=$H677)))</f>
        <v>6</v>
      </c>
      <c r="AJ677" s="3" cm="1">
        <f t="array" ref="AJ677">COUNT(_xlfn.UNIQUE(_xlfn._xlws.FILTER(SrcDB[ID],SrcDB[Dodavatel_ICO]=$K677)))</f>
        <v>2</v>
      </c>
      <c r="AK677" s="3">
        <f t="shared" si="717"/>
        <v>1</v>
      </c>
      <c r="AL677" s="3">
        <f t="shared" si="718"/>
        <v>1</v>
      </c>
      <c r="AM677" s="17" t="str">
        <f>IF(SrcDB[[#This Row],[Pocet zmluv objednavatela]]&gt;3,SrcDB[[#This Row],[Objednavatel]],"Ostatné")</f>
        <v>TEKO, a. s. / MH Teplárenský holding, a.s.</v>
      </c>
      <c r="AN677" s="17" t="str">
        <f>IF(SrcDB[[#This Row],[Pocet zmluv dodavatela]]&gt;3,SrcDB[[#This Row],[Dodavatel]],"Ostatné")</f>
        <v>Ostatné</v>
      </c>
    </row>
    <row r="678" spans="1:40" x14ac:dyDescent="0.3">
      <c r="A678" s="2" t="s">
        <v>841</v>
      </c>
      <c r="B678" s="2">
        <v>6301114</v>
      </c>
      <c r="C678" s="3" t="str">
        <f t="shared" si="711"/>
        <v>Nie</v>
      </c>
      <c r="D678" s="3" t="str">
        <f t="shared" si="712"/>
        <v>Áno</v>
      </c>
      <c r="E678" s="3" t="s">
        <v>48</v>
      </c>
      <c r="F678" s="3" t="s">
        <v>49</v>
      </c>
      <c r="G678" s="2" t="str">
        <f t="shared" si="713"/>
        <v>Malé zmluvy</v>
      </c>
      <c r="H678" s="5">
        <v>36211541</v>
      </c>
      <c r="I678" s="2" t="s">
        <v>689</v>
      </c>
      <c r="J678" s="2" t="s">
        <v>842</v>
      </c>
      <c r="K678" s="5">
        <v>45899495</v>
      </c>
      <c r="L678" s="2" t="s">
        <v>746</v>
      </c>
      <c r="M678" s="2" t="s">
        <v>843</v>
      </c>
      <c r="N678" s="6">
        <v>44650.621747685182</v>
      </c>
      <c r="O678" s="4">
        <v>188760</v>
      </c>
      <c r="P678" s="2">
        <v>406837</v>
      </c>
      <c r="Q678" s="2" t="s">
        <v>844</v>
      </c>
      <c r="R678" s="2" t="s">
        <v>845</v>
      </c>
      <c r="S678" s="2" t="s">
        <v>56</v>
      </c>
      <c r="T678" s="2" t="s">
        <v>286</v>
      </c>
      <c r="U678" s="2" t="s">
        <v>129</v>
      </c>
      <c r="W678" s="4">
        <v>550</v>
      </c>
      <c r="X678" s="4">
        <v>660</v>
      </c>
      <c r="Y678" s="4">
        <f t="shared" ref="Y678" si="754">INDEX(InternalRates,MATCH($S678,InternalRates01,FALSE),2)</f>
        <v>278.98333333333335</v>
      </c>
      <c r="Z678" s="3" t="str">
        <f t="shared" si="747"/>
        <v>Nie</v>
      </c>
      <c r="AA678" s="3" t="str">
        <f t="shared" si="748"/>
        <v>SLA</v>
      </c>
      <c r="AB678" s="4">
        <v>1</v>
      </c>
      <c r="AC678" s="4">
        <v>0.25</v>
      </c>
      <c r="AD678" s="3" t="s">
        <v>48</v>
      </c>
      <c r="AE678" s="6">
        <v>44991</v>
      </c>
      <c r="AF678" s="3" t="s">
        <v>59</v>
      </c>
      <c r="AG678" s="3" t="s">
        <v>60</v>
      </c>
      <c r="AH678" s="3">
        <f>YEAR(SrcDB[[#This Row],[Datum_zverejnenia]])</f>
        <v>2022</v>
      </c>
      <c r="AI678" s="3" cm="1">
        <f t="array" ref="AI678">COUNT(_xlfn.UNIQUE(_xlfn._xlws.FILTER(SrcDB[ID],SrcDB[Objednavatel_ICO]=$H678)))</f>
        <v>6</v>
      </c>
      <c r="AJ678" s="3" cm="1">
        <f t="array" ref="AJ678">COUNT(_xlfn.UNIQUE(_xlfn._xlws.FILTER(SrcDB[ID],SrcDB[Dodavatel_ICO]=$K678)))</f>
        <v>2</v>
      </c>
      <c r="AK678" s="3">
        <f t="shared" si="717"/>
        <v>0</v>
      </c>
      <c r="AL678" s="3">
        <f t="shared" si="718"/>
        <v>0</v>
      </c>
      <c r="AM678" s="17" t="str">
        <f>IF(SrcDB[[#This Row],[Pocet zmluv objednavatela]]&gt;3,SrcDB[[#This Row],[Objednavatel]],"Ostatné")</f>
        <v>TEKO, a. s. / MH Teplárenský holding, a.s.</v>
      </c>
      <c r="AN678" s="17" t="str">
        <f>IF(SrcDB[[#This Row],[Pocet zmluv dodavatela]]&gt;3,SrcDB[[#This Row],[Dodavatel]],"Ostatné")</f>
        <v>Ostatné</v>
      </c>
    </row>
    <row r="679" spans="1:40" x14ac:dyDescent="0.3">
      <c r="A679" s="2" t="s">
        <v>841</v>
      </c>
      <c r="B679" s="2">
        <v>6301114</v>
      </c>
      <c r="C679" s="3" t="str">
        <f t="shared" si="711"/>
        <v>Nie</v>
      </c>
      <c r="D679" s="3" t="str">
        <f t="shared" si="712"/>
        <v>Áno</v>
      </c>
      <c r="E679" s="3" t="s">
        <v>48</v>
      </c>
      <c r="F679" s="3" t="s">
        <v>49</v>
      </c>
      <c r="G679" s="2" t="str">
        <f t="shared" si="713"/>
        <v>Malé zmluvy</v>
      </c>
      <c r="H679" s="5">
        <v>36211541</v>
      </c>
      <c r="I679" s="2" t="s">
        <v>689</v>
      </c>
      <c r="J679" s="2" t="s">
        <v>842</v>
      </c>
      <c r="K679" s="5">
        <v>45899495</v>
      </c>
      <c r="L679" s="2" t="s">
        <v>746</v>
      </c>
      <c r="M679" s="2" t="s">
        <v>843</v>
      </c>
      <c r="N679" s="6">
        <v>44650.621747685182</v>
      </c>
      <c r="O679" s="4">
        <v>188760</v>
      </c>
      <c r="P679" s="2">
        <v>406837</v>
      </c>
      <c r="Q679" s="2" t="s">
        <v>844</v>
      </c>
      <c r="R679" s="2" t="s">
        <v>845</v>
      </c>
      <c r="S679" s="2" t="s">
        <v>73</v>
      </c>
      <c r="W679" s="4">
        <v>550</v>
      </c>
      <c r="X679" s="4">
        <v>660</v>
      </c>
      <c r="Y679" s="4">
        <f t="shared" ref="Y679" si="755">INDEX(InternalRates,MATCH($S679,InternalRates01,FALSE),2)</f>
        <v>278.98333333333335</v>
      </c>
      <c r="Z679" s="3" t="str">
        <f t="shared" si="747"/>
        <v>Nie</v>
      </c>
      <c r="AA679" s="3" t="str">
        <f t="shared" si="748"/>
        <v>SLA</v>
      </c>
      <c r="AB679" s="4">
        <v>1</v>
      </c>
      <c r="AC679" s="4">
        <v>0.25</v>
      </c>
      <c r="AD679" s="3" t="s">
        <v>48</v>
      </c>
      <c r="AE679" s="6">
        <v>44991</v>
      </c>
      <c r="AF679" s="3" t="s">
        <v>59</v>
      </c>
      <c r="AG679" s="3" t="s">
        <v>60</v>
      </c>
      <c r="AH679" s="3">
        <f>YEAR(SrcDB[[#This Row],[Datum_zverejnenia]])</f>
        <v>2022</v>
      </c>
      <c r="AI679" s="3" cm="1">
        <f t="array" ref="AI679">COUNT(_xlfn.UNIQUE(_xlfn._xlws.FILTER(SrcDB[ID],SrcDB[Objednavatel_ICO]=$H679)))</f>
        <v>6</v>
      </c>
      <c r="AJ679" s="3" cm="1">
        <f t="array" ref="AJ679">COUNT(_xlfn.UNIQUE(_xlfn._xlws.FILTER(SrcDB[ID],SrcDB[Dodavatel_ICO]=$K679)))</f>
        <v>2</v>
      </c>
      <c r="AK679" s="3">
        <f t="shared" si="717"/>
        <v>0</v>
      </c>
      <c r="AL679" s="3">
        <f t="shared" si="718"/>
        <v>0</v>
      </c>
      <c r="AM679" s="17" t="str">
        <f>IF(SrcDB[[#This Row],[Pocet zmluv objednavatela]]&gt;3,SrcDB[[#This Row],[Objednavatel]],"Ostatné")</f>
        <v>TEKO, a. s. / MH Teplárenský holding, a.s.</v>
      </c>
      <c r="AN679" s="17" t="str">
        <f>IF(SrcDB[[#This Row],[Pocet zmluv dodavatela]]&gt;3,SrcDB[[#This Row],[Dodavatel]],"Ostatné")</f>
        <v>Ostatné</v>
      </c>
    </row>
    <row r="680" spans="1:40" x14ac:dyDescent="0.3">
      <c r="A680" s="2" t="s">
        <v>841</v>
      </c>
      <c r="B680" s="2">
        <v>6301114</v>
      </c>
      <c r="C680" s="3" t="str">
        <f t="shared" si="711"/>
        <v>Nie</v>
      </c>
      <c r="D680" s="3" t="str">
        <f t="shared" si="712"/>
        <v>Áno</v>
      </c>
      <c r="E680" s="3" t="s">
        <v>48</v>
      </c>
      <c r="F680" s="3" t="s">
        <v>49</v>
      </c>
      <c r="G680" s="2" t="str">
        <f t="shared" si="713"/>
        <v>Malé zmluvy</v>
      </c>
      <c r="H680" s="5">
        <v>36211541</v>
      </c>
      <c r="I680" s="2" t="s">
        <v>689</v>
      </c>
      <c r="J680" s="2" t="s">
        <v>842</v>
      </c>
      <c r="K680" s="5">
        <v>45899495</v>
      </c>
      <c r="L680" s="2" t="s">
        <v>746</v>
      </c>
      <c r="M680" s="2" t="s">
        <v>843</v>
      </c>
      <c r="N680" s="6">
        <v>44650.621747685182</v>
      </c>
      <c r="O680" s="4">
        <v>188760</v>
      </c>
      <c r="P680" s="2">
        <v>406837</v>
      </c>
      <c r="Q680" s="2" t="s">
        <v>844</v>
      </c>
      <c r="R680" s="2" t="s">
        <v>845</v>
      </c>
      <c r="S680" s="2" t="s">
        <v>77</v>
      </c>
      <c r="W680" s="4">
        <v>550</v>
      </c>
      <c r="X680" s="4">
        <v>660</v>
      </c>
      <c r="Y680" s="4">
        <f t="shared" ref="Y680" si="756">INDEX(InternalRates,MATCH($S680,InternalRates01,FALSE),2)</f>
        <v>278.98333333333335</v>
      </c>
      <c r="Z680" s="3" t="str">
        <f t="shared" si="747"/>
        <v>Nie</v>
      </c>
      <c r="AA680" s="3" t="str">
        <f t="shared" si="748"/>
        <v>SLA</v>
      </c>
      <c r="AB680" s="4">
        <v>1</v>
      </c>
      <c r="AC680" s="4">
        <v>0.25</v>
      </c>
      <c r="AD680" s="3" t="s">
        <v>48</v>
      </c>
      <c r="AE680" s="6">
        <v>44991</v>
      </c>
      <c r="AF680" s="3" t="s">
        <v>59</v>
      </c>
      <c r="AG680" s="3" t="s">
        <v>60</v>
      </c>
      <c r="AH680" s="3">
        <f>YEAR(SrcDB[[#This Row],[Datum_zverejnenia]])</f>
        <v>2022</v>
      </c>
      <c r="AI680" s="3" cm="1">
        <f t="array" ref="AI680">COUNT(_xlfn.UNIQUE(_xlfn._xlws.FILTER(SrcDB[ID],SrcDB[Objednavatel_ICO]=$H680)))</f>
        <v>6</v>
      </c>
      <c r="AJ680" s="3" cm="1">
        <f t="array" ref="AJ680">COUNT(_xlfn.UNIQUE(_xlfn._xlws.FILTER(SrcDB[ID],SrcDB[Dodavatel_ICO]=$K680)))</f>
        <v>2</v>
      </c>
      <c r="AK680" s="3">
        <f t="shared" si="717"/>
        <v>0</v>
      </c>
      <c r="AL680" s="3">
        <f t="shared" si="718"/>
        <v>0</v>
      </c>
      <c r="AM680" s="17" t="str">
        <f>IF(SrcDB[[#This Row],[Pocet zmluv objednavatela]]&gt;3,SrcDB[[#This Row],[Objednavatel]],"Ostatné")</f>
        <v>TEKO, a. s. / MH Teplárenský holding, a.s.</v>
      </c>
      <c r="AN680" s="17" t="str">
        <f>IF(SrcDB[[#This Row],[Pocet zmluv dodavatela]]&gt;3,SrcDB[[#This Row],[Dodavatel]],"Ostatné")</f>
        <v>Ostatné</v>
      </c>
    </row>
    <row r="681" spans="1:40" x14ac:dyDescent="0.3">
      <c r="A681" s="2" t="s">
        <v>846</v>
      </c>
      <c r="B681" s="2">
        <v>6316309</v>
      </c>
      <c r="C681" s="3" t="str">
        <f t="shared" si="711"/>
        <v>Nejasné</v>
      </c>
      <c r="D681" s="3" t="str">
        <f t="shared" si="712"/>
        <v>Nejasné</v>
      </c>
      <c r="E681" s="3" t="s">
        <v>49</v>
      </c>
      <c r="F681" s="3" t="s">
        <v>48</v>
      </c>
      <c r="G681" s="2" t="str">
        <f t="shared" si="713"/>
        <v>Malé zmluvy</v>
      </c>
      <c r="H681" s="5">
        <v>30416094</v>
      </c>
      <c r="I681" s="2" t="s">
        <v>718</v>
      </c>
      <c r="J681" s="2" t="s">
        <v>719</v>
      </c>
      <c r="K681" s="5">
        <v>37954156</v>
      </c>
      <c r="L681" s="2" t="s">
        <v>847</v>
      </c>
      <c r="M681" s="2" t="s">
        <v>696</v>
      </c>
      <c r="N681" s="6">
        <v>44657.280925925923</v>
      </c>
      <c r="O681" s="4">
        <v>105825</v>
      </c>
      <c r="P681" s="2">
        <v>114573</v>
      </c>
      <c r="Q681" s="2" t="s">
        <v>848</v>
      </c>
      <c r="R681" s="2" t="s">
        <v>849</v>
      </c>
      <c r="S681" s="2" t="s">
        <v>183</v>
      </c>
      <c r="T681" s="2" t="s">
        <v>183</v>
      </c>
      <c r="W681" s="4">
        <v>332</v>
      </c>
      <c r="X681" s="4">
        <v>398.4</v>
      </c>
      <c r="Y681" s="4">
        <f t="shared" ref="Y681" si="757">INDEX(InternalRates,MATCH($S681,InternalRates01,FALSE),2)</f>
        <v>278.98333333333335</v>
      </c>
      <c r="Z681" s="3" t="str">
        <f t="shared" si="747"/>
        <v>Nie</v>
      </c>
      <c r="AA681" s="3" t="str">
        <f t="shared" si="748"/>
        <v>ZoD</v>
      </c>
      <c r="AB681" s="4">
        <v>265.625</v>
      </c>
      <c r="AC681" s="4">
        <v>257.44324215264868</v>
      </c>
      <c r="AD681" s="3" t="s">
        <v>48</v>
      </c>
      <c r="AE681" s="6">
        <v>44991</v>
      </c>
      <c r="AF681" s="3" t="s">
        <v>59</v>
      </c>
      <c r="AG681" s="3" t="s">
        <v>60</v>
      </c>
      <c r="AH681" s="3">
        <f>YEAR(SrcDB[[#This Row],[Datum_zverejnenia]])</f>
        <v>2022</v>
      </c>
      <c r="AI681" s="3" cm="1">
        <f t="array" ref="AI681">COUNT(_xlfn.UNIQUE(_xlfn._xlws.FILTER(SrcDB[ID],SrcDB[Objednavatel_ICO]=$H681)))</f>
        <v>2</v>
      </c>
      <c r="AJ681" s="3" cm="1">
        <f t="array" ref="AJ681">COUNT(_xlfn.UNIQUE(_xlfn._xlws.FILTER(SrcDB[ID],SrcDB[Dodavatel_ICO]=$K681)))</f>
        <v>1</v>
      </c>
      <c r="AK681" s="3">
        <f t="shared" si="717"/>
        <v>1</v>
      </c>
      <c r="AL681" s="3">
        <f t="shared" si="718"/>
        <v>1</v>
      </c>
      <c r="AM681" s="17" t="str">
        <f>IF(SrcDB[[#This Row],[Pocet zmluv objednavatela]]&gt;3,SrcDB[[#This Row],[Objednavatel]],"Ostatné")</f>
        <v>Ostatné</v>
      </c>
      <c r="AN681" s="17" t="str">
        <f>IF(SrcDB[[#This Row],[Pocet zmluv dodavatela]]&gt;3,SrcDB[[#This Row],[Dodavatel]],"Ostatné")</f>
        <v>Ostatné</v>
      </c>
    </row>
    <row r="682" spans="1:40" x14ac:dyDescent="0.3">
      <c r="A682" s="2" t="s">
        <v>850</v>
      </c>
      <c r="B682" s="2">
        <v>6351082</v>
      </c>
      <c r="C682" s="3" t="str">
        <f t="shared" si="711"/>
        <v>Nie</v>
      </c>
      <c r="D682" s="3" t="str">
        <f t="shared" si="712"/>
        <v>Áno</v>
      </c>
      <c r="E682" s="3" t="s">
        <v>48</v>
      </c>
      <c r="F682" s="3" t="s">
        <v>49</v>
      </c>
      <c r="G682" s="2" t="str">
        <f t="shared" si="713"/>
        <v>Stredné zmluvy</v>
      </c>
      <c r="H682" s="5" t="s">
        <v>391</v>
      </c>
      <c r="I682" s="2" t="s">
        <v>392</v>
      </c>
      <c r="J682" s="2" t="s">
        <v>393</v>
      </c>
      <c r="K682" s="5">
        <v>35743468</v>
      </c>
      <c r="L682" s="2" t="s">
        <v>356</v>
      </c>
      <c r="M682" s="2" t="s">
        <v>851</v>
      </c>
      <c r="N682" s="6">
        <v>44671.635497685187</v>
      </c>
      <c r="O682" s="4">
        <v>1493736</v>
      </c>
      <c r="P682" s="2">
        <v>114533</v>
      </c>
      <c r="Q682" s="2" t="s">
        <v>852</v>
      </c>
      <c r="R682" s="2" t="s">
        <v>853</v>
      </c>
      <c r="S682" s="2" t="s">
        <v>183</v>
      </c>
      <c r="T682" s="2" t="s">
        <v>183</v>
      </c>
      <c r="W682" s="4">
        <v>872</v>
      </c>
      <c r="X682" s="4">
        <v>1046.3999999999999</v>
      </c>
      <c r="Y682" s="4">
        <f t="shared" ref="Y682" si="758">INDEX(InternalRates,MATCH($S682,InternalRates01,FALSE),2)</f>
        <v>278.98333333333335</v>
      </c>
      <c r="Z682" s="3" t="str">
        <f t="shared" si="747"/>
        <v>Nie</v>
      </c>
      <c r="AA682" s="3" t="str">
        <f t="shared" si="748"/>
        <v>SLA</v>
      </c>
      <c r="AB682" s="4">
        <v>6840</v>
      </c>
      <c r="AC682" s="4">
        <v>1710</v>
      </c>
      <c r="AD682" s="3" t="s">
        <v>48</v>
      </c>
      <c r="AE682" s="6">
        <v>44991</v>
      </c>
      <c r="AF682" s="3" t="s">
        <v>59</v>
      </c>
      <c r="AG682" s="3" t="s">
        <v>49</v>
      </c>
      <c r="AH682" s="3">
        <f>YEAR(SrcDB[[#This Row],[Datum_zverejnenia]])</f>
        <v>2022</v>
      </c>
      <c r="AI682" s="3" cm="1">
        <f t="array" ref="AI682">COUNT(_xlfn.UNIQUE(_xlfn._xlws.FILTER(SrcDB[ID],SrcDB[Objednavatel_ICO]=$H682)))</f>
        <v>7</v>
      </c>
      <c r="AJ682" s="3" cm="1">
        <f t="array" ref="AJ682">COUNT(_xlfn.UNIQUE(_xlfn._xlws.FILTER(SrcDB[ID],SrcDB[Dodavatel_ICO]=$K682)))</f>
        <v>6</v>
      </c>
      <c r="AK682" s="3">
        <f t="shared" si="717"/>
        <v>1</v>
      </c>
      <c r="AL682" s="3">
        <f t="shared" si="718"/>
        <v>1</v>
      </c>
      <c r="AM682" s="17" t="str">
        <f>IF(SrcDB[[#This Row],[Pocet zmluv objednavatela]]&gt;3,SrcDB[[#This Row],[Objednavatel]],"Ostatné")</f>
        <v>Ministerstvo práce, sociálnych vecí a rodiny SR</v>
      </c>
      <c r="AN682" s="17" t="str">
        <f>IF(SrcDB[[#This Row],[Pocet zmluv dodavatela]]&gt;3,SrcDB[[#This Row],[Dodavatel]],"Ostatné")</f>
        <v>Gratex International, a.s.</v>
      </c>
    </row>
    <row r="683" spans="1:40" x14ac:dyDescent="0.3">
      <c r="A683" s="2" t="s">
        <v>176</v>
      </c>
      <c r="B683" s="2">
        <v>6358187</v>
      </c>
      <c r="C683" s="3" t="str">
        <f t="shared" si="711"/>
        <v>Áno</v>
      </c>
      <c r="D683" s="3" t="str">
        <f t="shared" si="712"/>
        <v>Nie</v>
      </c>
      <c r="E683" s="3" t="s">
        <v>49</v>
      </c>
      <c r="F683" s="3" t="s">
        <v>49</v>
      </c>
      <c r="G683" s="2" t="str">
        <f t="shared" si="713"/>
        <v>Malé zmluvy</v>
      </c>
      <c r="H683" s="5">
        <v>35850370</v>
      </c>
      <c r="I683" s="2" t="s">
        <v>854</v>
      </c>
      <c r="J683" s="2" t="s">
        <v>855</v>
      </c>
      <c r="K683" s="5">
        <v>36396222</v>
      </c>
      <c r="L683" s="2" t="s">
        <v>52</v>
      </c>
      <c r="M683" s="2" t="s">
        <v>53</v>
      </c>
      <c r="N683" s="6">
        <v>44673.507824074077</v>
      </c>
      <c r="O683" s="4">
        <v>358680</v>
      </c>
      <c r="P683" s="2">
        <v>6215909</v>
      </c>
      <c r="Q683" s="2" t="s">
        <v>856</v>
      </c>
      <c r="R683" s="2" t="s">
        <v>857</v>
      </c>
      <c r="S683" s="2" t="s">
        <v>183</v>
      </c>
      <c r="T683" s="2" t="s">
        <v>183</v>
      </c>
      <c r="W683" s="4">
        <v>600</v>
      </c>
      <c r="X683" s="4">
        <v>720</v>
      </c>
      <c r="Y683" s="4">
        <f t="shared" ref="Y683" si="759">INDEX(InternalRates,MATCH($S683,InternalRates01,FALSE),2)</f>
        <v>278.98333333333335</v>
      </c>
      <c r="Z683" s="3" t="str">
        <f t="shared" si="747"/>
        <v>Nie</v>
      </c>
      <c r="AA683" s="3" t="str">
        <f t="shared" si="748"/>
        <v>SLA+ZoD</v>
      </c>
      <c r="AB683" s="4">
        <v>120</v>
      </c>
      <c r="AC683" s="4">
        <v>40</v>
      </c>
      <c r="AD683" s="3" t="s">
        <v>48</v>
      </c>
      <c r="AE683" s="6">
        <v>44990</v>
      </c>
      <c r="AF683" s="3" t="s">
        <v>59</v>
      </c>
      <c r="AG683" s="3" t="s">
        <v>49</v>
      </c>
      <c r="AH683" s="3">
        <f>YEAR(SrcDB[[#This Row],[Datum_zverejnenia]])</f>
        <v>2022</v>
      </c>
      <c r="AI683" s="3" cm="1">
        <f t="array" ref="AI683">COUNT(_xlfn.UNIQUE(_xlfn._xlws.FILTER(SrcDB[ID],SrcDB[Objednavatel_ICO]=$H683)))</f>
        <v>5</v>
      </c>
      <c r="AJ683" s="3" cm="1">
        <f t="array" ref="AJ683">COUNT(_xlfn.UNIQUE(_xlfn._xlws.FILTER(SrcDB[ID],SrcDB[Dodavatel_ICO]=$K683)))</f>
        <v>11</v>
      </c>
      <c r="AK683" s="3">
        <f t="shared" si="717"/>
        <v>1</v>
      </c>
      <c r="AL683" s="3">
        <f t="shared" si="718"/>
        <v>1</v>
      </c>
      <c r="AM683" s="17" t="str">
        <f>IF(SrcDB[[#This Row],[Pocet zmluv objednavatela]]&gt;3,SrcDB[[#This Row],[Objednavatel]],"Ostatné")</f>
        <v>Bratislavská vodárenská spoločnosť, a. s.</v>
      </c>
      <c r="AN683" s="17" t="str">
        <f>IF(SrcDB[[#This Row],[Pocet zmluv dodavatela]]&gt;3,SrcDB[[#This Row],[Dodavatel]],"Ostatné")</f>
        <v>AUTOCONT s.r.o. / ARICOMA Systems s.r.o.</v>
      </c>
    </row>
    <row r="684" spans="1:40" x14ac:dyDescent="0.3">
      <c r="A684" s="2" t="s">
        <v>858</v>
      </c>
      <c r="B684" s="2">
        <v>6400990</v>
      </c>
      <c r="C684" s="3" t="str">
        <f t="shared" si="711"/>
        <v>Áno</v>
      </c>
      <c r="D684" s="3" t="str">
        <f t="shared" si="712"/>
        <v>Nie</v>
      </c>
      <c r="E684" s="3" t="s">
        <v>49</v>
      </c>
      <c r="F684" s="3" t="s">
        <v>48</v>
      </c>
      <c r="G684" s="2" t="str">
        <f t="shared" si="713"/>
        <v>Stredné zmluvy</v>
      </c>
      <c r="H684" s="5">
        <v>31755194</v>
      </c>
      <c r="I684" s="2" t="s">
        <v>859</v>
      </c>
      <c r="J684" s="2" t="s">
        <v>860</v>
      </c>
      <c r="K684" s="5">
        <v>31326650</v>
      </c>
      <c r="L684" s="2" t="s">
        <v>156</v>
      </c>
      <c r="M684" s="2" t="s">
        <v>53</v>
      </c>
      <c r="N684" s="6">
        <v>44684.547395833331</v>
      </c>
      <c r="O684" s="4">
        <v>3898023.6</v>
      </c>
      <c r="P684" s="2">
        <v>114692</v>
      </c>
      <c r="Q684" s="2" t="s">
        <v>861</v>
      </c>
      <c r="R684" s="2" t="s">
        <v>862</v>
      </c>
      <c r="S684" s="2" t="s">
        <v>71</v>
      </c>
      <c r="W684" s="4">
        <v>432</v>
      </c>
      <c r="X684" s="4">
        <v>518.4</v>
      </c>
      <c r="Y684" s="4">
        <f t="shared" ref="Y684" si="760">INDEX(InternalRates,MATCH($S684,InternalRates01,FALSE),2)</f>
        <v>354.0333333333333</v>
      </c>
      <c r="Z684" s="3" t="str">
        <f t="shared" si="747"/>
        <v>Nie</v>
      </c>
      <c r="AA684" s="3" t="str">
        <f t="shared" si="748"/>
        <v>ZoD</v>
      </c>
      <c r="AB684" s="4">
        <v>145</v>
      </c>
      <c r="AC684" s="4">
        <v>72.5</v>
      </c>
      <c r="AD684" s="3" t="s">
        <v>48</v>
      </c>
      <c r="AE684" s="6">
        <v>44985</v>
      </c>
      <c r="AF684" s="3" t="s">
        <v>59</v>
      </c>
      <c r="AG684" s="3" t="s">
        <v>48</v>
      </c>
      <c r="AH684" s="3">
        <f>YEAR(SrcDB[[#This Row],[Datum_zverejnenia]])</f>
        <v>2022</v>
      </c>
      <c r="AI684" s="3" cm="1">
        <f t="array" ref="AI684">COUNT(_xlfn.UNIQUE(_xlfn._xlws.FILTER(SrcDB[ID],SrcDB[Objednavatel_ICO]=$H684)))</f>
        <v>2</v>
      </c>
      <c r="AJ684" s="3" cm="1">
        <f t="array" ref="AJ684">COUNT(_xlfn.UNIQUE(_xlfn._xlws.FILTER(SrcDB[ID],SrcDB[Dodavatel_ICO]=$K684)))</f>
        <v>8</v>
      </c>
      <c r="AK684" s="3">
        <f t="shared" si="717"/>
        <v>1</v>
      </c>
      <c r="AL684" s="3">
        <f t="shared" si="718"/>
        <v>1</v>
      </c>
      <c r="AM684" s="17" t="str">
        <f>IF(SrcDB[[#This Row],[Pocet zmluv objednavatela]]&gt;3,SrcDB[[#This Row],[Objednavatel]],"Ostatné")</f>
        <v>Ostatné</v>
      </c>
      <c r="AN684" s="17" t="str">
        <f>IF(SrcDB[[#This Row],[Pocet zmluv dodavatela]]&gt;3,SrcDB[[#This Row],[Dodavatel]],"Ostatné")</f>
        <v>TEMPEST a.s.</v>
      </c>
    </row>
    <row r="685" spans="1:40" x14ac:dyDescent="0.3">
      <c r="A685" s="2" t="s">
        <v>858</v>
      </c>
      <c r="B685" s="2">
        <v>6400990</v>
      </c>
      <c r="C685" s="3" t="str">
        <f t="shared" si="711"/>
        <v>Áno</v>
      </c>
      <c r="D685" s="3" t="str">
        <f t="shared" si="712"/>
        <v>Nie</v>
      </c>
      <c r="E685" s="3" t="s">
        <v>49</v>
      </c>
      <c r="F685" s="3" t="s">
        <v>48</v>
      </c>
      <c r="G685" s="2" t="str">
        <f t="shared" si="713"/>
        <v>Stredné zmluvy</v>
      </c>
      <c r="H685" s="5">
        <v>31755194</v>
      </c>
      <c r="I685" s="2" t="s">
        <v>859</v>
      </c>
      <c r="J685" s="2" t="s">
        <v>860</v>
      </c>
      <c r="K685" s="5">
        <v>31326650</v>
      </c>
      <c r="L685" s="2" t="s">
        <v>156</v>
      </c>
      <c r="M685" s="2" t="s">
        <v>53</v>
      </c>
      <c r="N685" s="6">
        <v>44684.547395833331</v>
      </c>
      <c r="O685" s="4">
        <v>3898023.6</v>
      </c>
      <c r="P685" s="2">
        <v>114692</v>
      </c>
      <c r="Q685" s="2" t="s">
        <v>861</v>
      </c>
      <c r="R685" s="2" t="s">
        <v>862</v>
      </c>
      <c r="S685" s="2" t="s">
        <v>79</v>
      </c>
      <c r="W685" s="4">
        <v>384</v>
      </c>
      <c r="X685" s="4">
        <v>460.79999999999995</v>
      </c>
      <c r="Y685" s="4">
        <f t="shared" ref="Y685" si="761">INDEX(InternalRates,MATCH($S685,InternalRates01,FALSE),2)</f>
        <v>278.98333333333335</v>
      </c>
      <c r="Z685" s="3" t="str">
        <f t="shared" si="747"/>
        <v>Nie</v>
      </c>
      <c r="AA685" s="3" t="str">
        <f t="shared" si="748"/>
        <v>ZoD</v>
      </c>
      <c r="AB685" s="4">
        <v>917</v>
      </c>
      <c r="AC685" s="4">
        <v>458.5</v>
      </c>
      <c r="AD685" s="3" t="s">
        <v>48</v>
      </c>
      <c r="AE685" s="6">
        <v>44985</v>
      </c>
      <c r="AF685" s="3" t="s">
        <v>59</v>
      </c>
      <c r="AG685" s="3" t="s">
        <v>48</v>
      </c>
      <c r="AH685" s="3">
        <f>YEAR(SrcDB[[#This Row],[Datum_zverejnenia]])</f>
        <v>2022</v>
      </c>
      <c r="AI685" s="3" cm="1">
        <f t="array" ref="AI685">COUNT(_xlfn.UNIQUE(_xlfn._xlws.FILTER(SrcDB[ID],SrcDB[Objednavatel_ICO]=$H685)))</f>
        <v>2</v>
      </c>
      <c r="AJ685" s="3" cm="1">
        <f t="array" ref="AJ685">COUNT(_xlfn.UNIQUE(_xlfn._xlws.FILTER(SrcDB[ID],SrcDB[Dodavatel_ICO]=$K685)))</f>
        <v>8</v>
      </c>
      <c r="AK685" s="3">
        <f t="shared" si="717"/>
        <v>0</v>
      </c>
      <c r="AL685" s="3">
        <f t="shared" si="718"/>
        <v>0</v>
      </c>
      <c r="AM685" s="17" t="str">
        <f>IF(SrcDB[[#This Row],[Pocet zmluv objednavatela]]&gt;3,SrcDB[[#This Row],[Objednavatel]],"Ostatné")</f>
        <v>Ostatné</v>
      </c>
      <c r="AN685" s="17" t="str">
        <f>IF(SrcDB[[#This Row],[Pocet zmluv dodavatela]]&gt;3,SrcDB[[#This Row],[Dodavatel]],"Ostatné")</f>
        <v>TEMPEST a.s.</v>
      </c>
    </row>
    <row r="686" spans="1:40" x14ac:dyDescent="0.3">
      <c r="A686" s="2" t="s">
        <v>858</v>
      </c>
      <c r="B686" s="2">
        <v>6400990</v>
      </c>
      <c r="C686" s="3" t="str">
        <f t="shared" si="711"/>
        <v>Áno</v>
      </c>
      <c r="D686" s="3" t="str">
        <f t="shared" si="712"/>
        <v>Nie</v>
      </c>
      <c r="E686" s="3" t="s">
        <v>49</v>
      </c>
      <c r="F686" s="3" t="s">
        <v>48</v>
      </c>
      <c r="G686" s="2" t="str">
        <f t="shared" si="713"/>
        <v>Stredné zmluvy</v>
      </c>
      <c r="H686" s="5">
        <v>31755194</v>
      </c>
      <c r="I686" s="2" t="s">
        <v>859</v>
      </c>
      <c r="J686" s="2" t="s">
        <v>860</v>
      </c>
      <c r="K686" s="5">
        <v>31326650</v>
      </c>
      <c r="L686" s="2" t="s">
        <v>156</v>
      </c>
      <c r="M686" s="2" t="s">
        <v>53</v>
      </c>
      <c r="N686" s="6">
        <v>44684.547395833331</v>
      </c>
      <c r="O686" s="4">
        <v>3898023.6</v>
      </c>
      <c r="P686" s="2">
        <v>114692</v>
      </c>
      <c r="Q686" s="2" t="s">
        <v>861</v>
      </c>
      <c r="R686" s="2" t="s">
        <v>862</v>
      </c>
      <c r="S686" s="2" t="s">
        <v>77</v>
      </c>
      <c r="W686" s="4">
        <v>392</v>
      </c>
      <c r="X686" s="4">
        <v>470.4</v>
      </c>
      <c r="Y686" s="4">
        <f t="shared" ref="Y686" si="762">INDEX(InternalRates,MATCH($S686,InternalRates01,FALSE),2)</f>
        <v>278.98333333333335</v>
      </c>
      <c r="Z686" s="3" t="str">
        <f t="shared" si="747"/>
        <v>Nie</v>
      </c>
      <c r="AA686" s="3" t="str">
        <f t="shared" si="748"/>
        <v>ZoD</v>
      </c>
      <c r="AB686" s="4">
        <v>3099</v>
      </c>
      <c r="AC686" s="4">
        <v>1549.5</v>
      </c>
      <c r="AD686" s="3" t="s">
        <v>48</v>
      </c>
      <c r="AE686" s="6">
        <v>44985</v>
      </c>
      <c r="AF686" s="3" t="s">
        <v>59</v>
      </c>
      <c r="AG686" s="3" t="s">
        <v>48</v>
      </c>
      <c r="AH686" s="3">
        <f>YEAR(SrcDB[[#This Row],[Datum_zverejnenia]])</f>
        <v>2022</v>
      </c>
      <c r="AI686" s="3" cm="1">
        <f t="array" ref="AI686">COUNT(_xlfn.UNIQUE(_xlfn._xlws.FILTER(SrcDB[ID],SrcDB[Objednavatel_ICO]=$H686)))</f>
        <v>2</v>
      </c>
      <c r="AJ686" s="3" cm="1">
        <f t="array" ref="AJ686">COUNT(_xlfn.UNIQUE(_xlfn._xlws.FILTER(SrcDB[ID],SrcDB[Dodavatel_ICO]=$K686)))</f>
        <v>8</v>
      </c>
      <c r="AK686" s="3">
        <f t="shared" si="717"/>
        <v>0</v>
      </c>
      <c r="AL686" s="3">
        <f t="shared" si="718"/>
        <v>0</v>
      </c>
      <c r="AM686" s="17" t="str">
        <f>IF(SrcDB[[#This Row],[Pocet zmluv objednavatela]]&gt;3,SrcDB[[#This Row],[Objednavatel]],"Ostatné")</f>
        <v>Ostatné</v>
      </c>
      <c r="AN686" s="17" t="str">
        <f>IF(SrcDB[[#This Row],[Pocet zmluv dodavatela]]&gt;3,SrcDB[[#This Row],[Dodavatel]],"Ostatné")</f>
        <v>TEMPEST a.s.</v>
      </c>
    </row>
    <row r="687" spans="1:40" x14ac:dyDescent="0.3">
      <c r="A687" s="2" t="s">
        <v>858</v>
      </c>
      <c r="B687" s="2">
        <v>6400990</v>
      </c>
      <c r="C687" s="3" t="str">
        <f t="shared" si="711"/>
        <v>Áno</v>
      </c>
      <c r="D687" s="3" t="str">
        <f t="shared" si="712"/>
        <v>Nie</v>
      </c>
      <c r="E687" s="3" t="s">
        <v>49</v>
      </c>
      <c r="F687" s="3" t="s">
        <v>48</v>
      </c>
      <c r="G687" s="2" t="str">
        <f t="shared" si="713"/>
        <v>Stredné zmluvy</v>
      </c>
      <c r="H687" s="5">
        <v>31755194</v>
      </c>
      <c r="I687" s="2" t="s">
        <v>859</v>
      </c>
      <c r="J687" s="2" t="s">
        <v>860</v>
      </c>
      <c r="K687" s="5">
        <v>31326650</v>
      </c>
      <c r="L687" s="2" t="s">
        <v>156</v>
      </c>
      <c r="M687" s="2" t="s">
        <v>53</v>
      </c>
      <c r="N687" s="6">
        <v>44684.547395833331</v>
      </c>
      <c r="O687" s="4">
        <v>3898023.6</v>
      </c>
      <c r="P687" s="2">
        <v>114692</v>
      </c>
      <c r="Q687" s="2" t="s">
        <v>861</v>
      </c>
      <c r="R687" s="2" t="s">
        <v>862</v>
      </c>
      <c r="S687" s="2" t="s">
        <v>69</v>
      </c>
      <c r="T687" s="2" t="s">
        <v>70</v>
      </c>
      <c r="W687" s="4">
        <v>400</v>
      </c>
      <c r="X687" s="4">
        <v>480</v>
      </c>
      <c r="Y687" s="4">
        <f t="shared" ref="Y687" si="763">INDEX(InternalRates,MATCH($S687,InternalRates01,FALSE),2)</f>
        <v>278.98333333333335</v>
      </c>
      <c r="Z687" s="3" t="str">
        <f t="shared" si="747"/>
        <v>Nie</v>
      </c>
      <c r="AA687" s="3" t="str">
        <f t="shared" si="748"/>
        <v>ZoD</v>
      </c>
      <c r="AB687" s="4">
        <v>196</v>
      </c>
      <c r="AC687" s="4">
        <v>98</v>
      </c>
      <c r="AD687" s="3" t="s">
        <v>48</v>
      </c>
      <c r="AE687" s="6">
        <v>44985</v>
      </c>
      <c r="AF687" s="3" t="s">
        <v>59</v>
      </c>
      <c r="AG687" s="3" t="s">
        <v>48</v>
      </c>
      <c r="AH687" s="3">
        <f>YEAR(SrcDB[[#This Row],[Datum_zverejnenia]])</f>
        <v>2022</v>
      </c>
      <c r="AI687" s="3" cm="1">
        <f t="array" ref="AI687">COUNT(_xlfn.UNIQUE(_xlfn._xlws.FILTER(SrcDB[ID],SrcDB[Objednavatel_ICO]=$H687)))</f>
        <v>2</v>
      </c>
      <c r="AJ687" s="3" cm="1">
        <f t="array" ref="AJ687">COUNT(_xlfn.UNIQUE(_xlfn._xlws.FILTER(SrcDB[ID],SrcDB[Dodavatel_ICO]=$K687)))</f>
        <v>8</v>
      </c>
      <c r="AK687" s="3">
        <f t="shared" si="717"/>
        <v>0</v>
      </c>
      <c r="AL687" s="3">
        <f t="shared" si="718"/>
        <v>0</v>
      </c>
      <c r="AM687" s="17" t="str">
        <f>IF(SrcDB[[#This Row],[Pocet zmluv objednavatela]]&gt;3,SrcDB[[#This Row],[Objednavatel]],"Ostatné")</f>
        <v>Ostatné</v>
      </c>
      <c r="AN687" s="17" t="str">
        <f>IF(SrcDB[[#This Row],[Pocet zmluv dodavatela]]&gt;3,SrcDB[[#This Row],[Dodavatel]],"Ostatné")</f>
        <v>TEMPEST a.s.</v>
      </c>
    </row>
    <row r="688" spans="1:40" x14ac:dyDescent="0.3">
      <c r="A688" s="2" t="s">
        <v>858</v>
      </c>
      <c r="B688" s="2">
        <v>6400990</v>
      </c>
      <c r="C688" s="3" t="str">
        <f t="shared" si="711"/>
        <v>Áno</v>
      </c>
      <c r="D688" s="3" t="str">
        <f t="shared" si="712"/>
        <v>Nie</v>
      </c>
      <c r="E688" s="3" t="s">
        <v>49</v>
      </c>
      <c r="F688" s="3" t="s">
        <v>48</v>
      </c>
      <c r="G688" s="2" t="str">
        <f t="shared" si="713"/>
        <v>Stredné zmluvy</v>
      </c>
      <c r="H688" s="5">
        <v>31755194</v>
      </c>
      <c r="I688" s="2" t="s">
        <v>859</v>
      </c>
      <c r="J688" s="2" t="s">
        <v>860</v>
      </c>
      <c r="K688" s="5">
        <v>31326650</v>
      </c>
      <c r="L688" s="2" t="s">
        <v>156</v>
      </c>
      <c r="M688" s="2" t="s">
        <v>53</v>
      </c>
      <c r="N688" s="6">
        <v>44684.547395833331</v>
      </c>
      <c r="O688" s="4">
        <v>3898023.6</v>
      </c>
      <c r="P688" s="2">
        <v>114692</v>
      </c>
      <c r="Q688" s="2" t="s">
        <v>861</v>
      </c>
      <c r="R688" s="2" t="s">
        <v>862</v>
      </c>
      <c r="S688" s="2" t="s">
        <v>73</v>
      </c>
      <c r="W688" s="4">
        <v>400</v>
      </c>
      <c r="X688" s="4">
        <v>480</v>
      </c>
      <c r="Y688" s="4">
        <f t="shared" ref="Y688" si="764">INDEX(InternalRates,MATCH($S688,InternalRates01,FALSE),2)</f>
        <v>278.98333333333335</v>
      </c>
      <c r="Z688" s="3" t="str">
        <f t="shared" si="747"/>
        <v>Nie</v>
      </c>
      <c r="AA688" s="3" t="str">
        <f t="shared" si="748"/>
        <v>ZoD</v>
      </c>
      <c r="AB688" s="4">
        <v>1274</v>
      </c>
      <c r="AC688" s="4">
        <v>637</v>
      </c>
      <c r="AD688" s="3" t="s">
        <v>48</v>
      </c>
      <c r="AE688" s="6">
        <v>44985</v>
      </c>
      <c r="AF688" s="3" t="s">
        <v>59</v>
      </c>
      <c r="AG688" s="3" t="s">
        <v>48</v>
      </c>
      <c r="AH688" s="3">
        <f>YEAR(SrcDB[[#This Row],[Datum_zverejnenia]])</f>
        <v>2022</v>
      </c>
      <c r="AI688" s="3" cm="1">
        <f t="array" ref="AI688">COUNT(_xlfn.UNIQUE(_xlfn._xlws.FILTER(SrcDB[ID],SrcDB[Objednavatel_ICO]=$H688)))</f>
        <v>2</v>
      </c>
      <c r="AJ688" s="3" cm="1">
        <f t="array" ref="AJ688">COUNT(_xlfn.UNIQUE(_xlfn._xlws.FILTER(SrcDB[ID],SrcDB[Dodavatel_ICO]=$K688)))</f>
        <v>8</v>
      </c>
      <c r="AK688" s="3">
        <f t="shared" si="717"/>
        <v>0</v>
      </c>
      <c r="AL688" s="3">
        <f t="shared" si="718"/>
        <v>0</v>
      </c>
      <c r="AM688" s="17" t="str">
        <f>IF(SrcDB[[#This Row],[Pocet zmluv objednavatela]]&gt;3,SrcDB[[#This Row],[Objednavatel]],"Ostatné")</f>
        <v>Ostatné</v>
      </c>
      <c r="AN688" s="17" t="str">
        <f>IF(SrcDB[[#This Row],[Pocet zmluv dodavatela]]&gt;3,SrcDB[[#This Row],[Dodavatel]],"Ostatné")</f>
        <v>TEMPEST a.s.</v>
      </c>
    </row>
    <row r="689" spans="1:40" x14ac:dyDescent="0.3">
      <c r="A689" s="2" t="s">
        <v>858</v>
      </c>
      <c r="B689" s="2">
        <v>6400990</v>
      </c>
      <c r="C689" s="3" t="str">
        <f t="shared" si="711"/>
        <v>Áno</v>
      </c>
      <c r="D689" s="3" t="str">
        <f t="shared" si="712"/>
        <v>Nie</v>
      </c>
      <c r="E689" s="3" t="s">
        <v>49</v>
      </c>
      <c r="F689" s="3" t="s">
        <v>48</v>
      </c>
      <c r="G689" s="2" t="str">
        <f t="shared" si="713"/>
        <v>Stredné zmluvy</v>
      </c>
      <c r="H689" s="5">
        <v>31755194</v>
      </c>
      <c r="I689" s="2" t="s">
        <v>859</v>
      </c>
      <c r="J689" s="2" t="s">
        <v>860</v>
      </c>
      <c r="K689" s="5">
        <v>31326650</v>
      </c>
      <c r="L689" s="2" t="s">
        <v>156</v>
      </c>
      <c r="M689" s="2" t="s">
        <v>53</v>
      </c>
      <c r="N689" s="6">
        <v>44684.547395833331</v>
      </c>
      <c r="O689" s="4">
        <v>3898023.6</v>
      </c>
      <c r="P689" s="2">
        <v>114692</v>
      </c>
      <c r="Q689" s="2" t="s">
        <v>861</v>
      </c>
      <c r="R689" s="2" t="s">
        <v>862</v>
      </c>
      <c r="S689" s="2" t="s">
        <v>56</v>
      </c>
      <c r="T689" s="2" t="s">
        <v>448</v>
      </c>
      <c r="U689" s="2" t="s">
        <v>449</v>
      </c>
      <c r="W689" s="4">
        <v>400</v>
      </c>
      <c r="X689" s="4">
        <v>480</v>
      </c>
      <c r="Y689" s="4">
        <f t="shared" ref="Y689" si="765">INDEX(InternalRates,MATCH($S689,InternalRates01,FALSE),2)</f>
        <v>278.98333333333335</v>
      </c>
      <c r="Z689" s="3" t="str">
        <f t="shared" si="747"/>
        <v>Nie</v>
      </c>
      <c r="AA689" s="3" t="str">
        <f t="shared" si="748"/>
        <v>ZoD</v>
      </c>
      <c r="AB689" s="4">
        <v>405</v>
      </c>
      <c r="AC689" s="4">
        <v>202.5</v>
      </c>
      <c r="AD689" s="3" t="s">
        <v>48</v>
      </c>
      <c r="AE689" s="6">
        <v>44985</v>
      </c>
      <c r="AF689" s="3" t="s">
        <v>59</v>
      </c>
      <c r="AG689" s="3" t="s">
        <v>48</v>
      </c>
      <c r="AH689" s="3">
        <f>YEAR(SrcDB[[#This Row],[Datum_zverejnenia]])</f>
        <v>2022</v>
      </c>
      <c r="AI689" s="3" cm="1">
        <f t="array" ref="AI689">COUNT(_xlfn.UNIQUE(_xlfn._xlws.FILTER(SrcDB[ID],SrcDB[Objednavatel_ICO]=$H689)))</f>
        <v>2</v>
      </c>
      <c r="AJ689" s="3" cm="1">
        <f t="array" ref="AJ689">COUNT(_xlfn.UNIQUE(_xlfn._xlws.FILTER(SrcDB[ID],SrcDB[Dodavatel_ICO]=$K689)))</f>
        <v>8</v>
      </c>
      <c r="AK689" s="3">
        <f t="shared" si="717"/>
        <v>0</v>
      </c>
      <c r="AL689" s="3">
        <f t="shared" si="718"/>
        <v>0</v>
      </c>
      <c r="AM689" s="17" t="str">
        <f>IF(SrcDB[[#This Row],[Pocet zmluv objednavatela]]&gt;3,SrcDB[[#This Row],[Objednavatel]],"Ostatné")</f>
        <v>Ostatné</v>
      </c>
      <c r="AN689" s="17" t="str">
        <f>IF(SrcDB[[#This Row],[Pocet zmluv dodavatela]]&gt;3,SrcDB[[#This Row],[Dodavatel]],"Ostatné")</f>
        <v>TEMPEST a.s.</v>
      </c>
    </row>
    <row r="690" spans="1:40" x14ac:dyDescent="0.3">
      <c r="A690" s="2" t="s">
        <v>858</v>
      </c>
      <c r="B690" s="2">
        <v>6400990</v>
      </c>
      <c r="C690" s="3" t="str">
        <f t="shared" si="711"/>
        <v>Áno</v>
      </c>
      <c r="D690" s="3" t="str">
        <f t="shared" si="712"/>
        <v>Nie</v>
      </c>
      <c r="E690" s="3" t="s">
        <v>49</v>
      </c>
      <c r="F690" s="3" t="s">
        <v>48</v>
      </c>
      <c r="G690" s="2" t="str">
        <f t="shared" si="713"/>
        <v>Stredné zmluvy</v>
      </c>
      <c r="H690" s="5">
        <v>31755194</v>
      </c>
      <c r="I690" s="2" t="s">
        <v>859</v>
      </c>
      <c r="J690" s="2" t="s">
        <v>860</v>
      </c>
      <c r="K690" s="5">
        <v>31326650</v>
      </c>
      <c r="L690" s="2" t="s">
        <v>156</v>
      </c>
      <c r="M690" s="2" t="s">
        <v>53</v>
      </c>
      <c r="N690" s="6">
        <v>44684.547395833331</v>
      </c>
      <c r="O690" s="4">
        <v>3898023.6</v>
      </c>
      <c r="P690" s="2">
        <v>114692</v>
      </c>
      <c r="Q690" s="2" t="s">
        <v>861</v>
      </c>
      <c r="R690" s="2" t="s">
        <v>862</v>
      </c>
      <c r="S690" s="2" t="s">
        <v>56</v>
      </c>
      <c r="T690" s="2" t="s">
        <v>94</v>
      </c>
      <c r="U690" s="2" t="s">
        <v>95</v>
      </c>
      <c r="W690" s="4">
        <v>396</v>
      </c>
      <c r="X690" s="4">
        <v>475.2</v>
      </c>
      <c r="Y690" s="4">
        <f t="shared" ref="Y690" si="766">INDEX(InternalRates,MATCH($S690,InternalRates01,FALSE),2)</f>
        <v>278.98333333333335</v>
      </c>
      <c r="Z690" s="3" t="str">
        <f t="shared" si="747"/>
        <v>Nie</v>
      </c>
      <c r="AA690" s="3" t="str">
        <f t="shared" si="748"/>
        <v>ZoD</v>
      </c>
      <c r="AB690" s="4">
        <v>232</v>
      </c>
      <c r="AC690" s="4">
        <v>116</v>
      </c>
      <c r="AD690" s="3" t="s">
        <v>48</v>
      </c>
      <c r="AE690" s="6">
        <v>44985</v>
      </c>
      <c r="AF690" s="3" t="s">
        <v>59</v>
      </c>
      <c r="AG690" s="3" t="s">
        <v>48</v>
      </c>
      <c r="AH690" s="3">
        <f>YEAR(SrcDB[[#This Row],[Datum_zverejnenia]])</f>
        <v>2022</v>
      </c>
      <c r="AI690" s="3" cm="1">
        <f t="array" ref="AI690">COUNT(_xlfn.UNIQUE(_xlfn._xlws.FILTER(SrcDB[ID],SrcDB[Objednavatel_ICO]=$H690)))</f>
        <v>2</v>
      </c>
      <c r="AJ690" s="3" cm="1">
        <f t="array" ref="AJ690">COUNT(_xlfn.UNIQUE(_xlfn._xlws.FILTER(SrcDB[ID],SrcDB[Dodavatel_ICO]=$K690)))</f>
        <v>8</v>
      </c>
      <c r="AK690" s="3">
        <f t="shared" si="717"/>
        <v>0</v>
      </c>
      <c r="AL690" s="3">
        <f t="shared" si="718"/>
        <v>0</v>
      </c>
      <c r="AM690" s="17" t="str">
        <f>IF(SrcDB[[#This Row],[Pocet zmluv objednavatela]]&gt;3,SrcDB[[#This Row],[Objednavatel]],"Ostatné")</f>
        <v>Ostatné</v>
      </c>
      <c r="AN690" s="17" t="str">
        <f>IF(SrcDB[[#This Row],[Pocet zmluv dodavatela]]&gt;3,SrcDB[[#This Row],[Dodavatel]],"Ostatné")</f>
        <v>TEMPEST a.s.</v>
      </c>
    </row>
    <row r="691" spans="1:40" x14ac:dyDescent="0.3">
      <c r="A691" s="2" t="s">
        <v>858</v>
      </c>
      <c r="B691" s="2">
        <v>6400990</v>
      </c>
      <c r="C691" s="3" t="str">
        <f t="shared" si="711"/>
        <v>Áno</v>
      </c>
      <c r="D691" s="3" t="str">
        <f t="shared" si="712"/>
        <v>Nie</v>
      </c>
      <c r="E691" s="3" t="s">
        <v>49</v>
      </c>
      <c r="F691" s="3" t="s">
        <v>48</v>
      </c>
      <c r="G691" s="2" t="str">
        <f t="shared" si="713"/>
        <v>Stredné zmluvy</v>
      </c>
      <c r="H691" s="5">
        <v>31755194</v>
      </c>
      <c r="I691" s="2" t="s">
        <v>859</v>
      </c>
      <c r="J691" s="2" t="s">
        <v>860</v>
      </c>
      <c r="K691" s="5">
        <v>31326650</v>
      </c>
      <c r="L691" s="2" t="s">
        <v>156</v>
      </c>
      <c r="M691" s="2" t="s">
        <v>53</v>
      </c>
      <c r="N691" s="6">
        <v>44684.547395833331</v>
      </c>
      <c r="O691" s="4">
        <v>3898023.6</v>
      </c>
      <c r="P691" s="2">
        <v>114692</v>
      </c>
      <c r="Q691" s="2" t="s">
        <v>861</v>
      </c>
      <c r="R691" s="2" t="s">
        <v>862</v>
      </c>
      <c r="S691" s="2" t="s">
        <v>56</v>
      </c>
      <c r="T691" s="2" t="s">
        <v>96</v>
      </c>
      <c r="U691" s="2" t="s">
        <v>97</v>
      </c>
      <c r="W691" s="4">
        <v>396</v>
      </c>
      <c r="X691" s="4">
        <v>475.2</v>
      </c>
      <c r="Y691" s="4">
        <f t="shared" ref="Y691" si="767">INDEX(InternalRates,MATCH($S691,InternalRates01,FALSE),2)</f>
        <v>278.98333333333335</v>
      </c>
      <c r="Z691" s="3" t="str">
        <f t="shared" si="747"/>
        <v>Nie</v>
      </c>
      <c r="AA691" s="3" t="str">
        <f t="shared" si="748"/>
        <v>ZoD</v>
      </c>
      <c r="AB691" s="4">
        <v>619</v>
      </c>
      <c r="AC691" s="4">
        <v>309.5</v>
      </c>
      <c r="AD691" s="3" t="s">
        <v>48</v>
      </c>
      <c r="AE691" s="6">
        <v>44985</v>
      </c>
      <c r="AF691" s="3" t="s">
        <v>59</v>
      </c>
      <c r="AG691" s="3" t="s">
        <v>48</v>
      </c>
      <c r="AH691" s="3">
        <f>YEAR(SrcDB[[#This Row],[Datum_zverejnenia]])</f>
        <v>2022</v>
      </c>
      <c r="AI691" s="3" cm="1">
        <f t="array" ref="AI691">COUNT(_xlfn.UNIQUE(_xlfn._xlws.FILTER(SrcDB[ID],SrcDB[Objednavatel_ICO]=$H691)))</f>
        <v>2</v>
      </c>
      <c r="AJ691" s="3" cm="1">
        <f t="array" ref="AJ691">COUNT(_xlfn.UNIQUE(_xlfn._xlws.FILTER(SrcDB[ID],SrcDB[Dodavatel_ICO]=$K691)))</f>
        <v>8</v>
      </c>
      <c r="AK691" s="3">
        <f t="shared" si="717"/>
        <v>0</v>
      </c>
      <c r="AL691" s="3">
        <f t="shared" si="718"/>
        <v>0</v>
      </c>
      <c r="AM691" s="17" t="str">
        <f>IF(SrcDB[[#This Row],[Pocet zmluv objednavatela]]&gt;3,SrcDB[[#This Row],[Objednavatel]],"Ostatné")</f>
        <v>Ostatné</v>
      </c>
      <c r="AN691" s="17" t="str">
        <f>IF(SrcDB[[#This Row],[Pocet zmluv dodavatela]]&gt;3,SrcDB[[#This Row],[Dodavatel]],"Ostatné")</f>
        <v>TEMPEST a.s.</v>
      </c>
    </row>
    <row r="692" spans="1:40" x14ac:dyDescent="0.3">
      <c r="A692" s="2" t="s">
        <v>858</v>
      </c>
      <c r="B692" s="2">
        <v>6400990</v>
      </c>
      <c r="C692" s="3" t="str">
        <f t="shared" si="711"/>
        <v>Áno</v>
      </c>
      <c r="D692" s="3" t="str">
        <f t="shared" si="712"/>
        <v>Nie</v>
      </c>
      <c r="E692" s="3" t="s">
        <v>49</v>
      </c>
      <c r="F692" s="3" t="s">
        <v>48</v>
      </c>
      <c r="G692" s="2" t="str">
        <f t="shared" si="713"/>
        <v>Stredné zmluvy</v>
      </c>
      <c r="H692" s="5">
        <v>31755194</v>
      </c>
      <c r="I692" s="2" t="s">
        <v>859</v>
      </c>
      <c r="J692" s="2" t="s">
        <v>860</v>
      </c>
      <c r="K692" s="5">
        <v>31326650</v>
      </c>
      <c r="L692" s="2" t="s">
        <v>156</v>
      </c>
      <c r="M692" s="2" t="s">
        <v>53</v>
      </c>
      <c r="N692" s="6">
        <v>44684.547395833331</v>
      </c>
      <c r="O692" s="4">
        <v>3898023.6</v>
      </c>
      <c r="P692" s="2">
        <v>114692</v>
      </c>
      <c r="Q692" s="2" t="s">
        <v>861</v>
      </c>
      <c r="R692" s="2" t="s">
        <v>862</v>
      </c>
      <c r="S692" s="2" t="s">
        <v>56</v>
      </c>
      <c r="T692" s="2" t="s">
        <v>522</v>
      </c>
      <c r="U692" s="2" t="s">
        <v>289</v>
      </c>
      <c r="W692" s="4">
        <v>396</v>
      </c>
      <c r="X692" s="4">
        <v>475.2</v>
      </c>
      <c r="Y692" s="4">
        <f t="shared" ref="Y692" si="768">INDEX(InternalRates,MATCH($S692,InternalRates01,FALSE),2)</f>
        <v>278.98333333333335</v>
      </c>
      <c r="Z692" s="3" t="str">
        <f t="shared" si="747"/>
        <v>Nie</v>
      </c>
      <c r="AA692" s="3" t="str">
        <f t="shared" si="748"/>
        <v>ZoD</v>
      </c>
      <c r="AB692" s="4">
        <v>0</v>
      </c>
      <c r="AC692" s="4">
        <v>0</v>
      </c>
      <c r="AD692" s="3" t="s">
        <v>48</v>
      </c>
      <c r="AE692" s="6">
        <v>44985</v>
      </c>
      <c r="AF692" s="3" t="s">
        <v>59</v>
      </c>
      <c r="AG692" s="3" t="s">
        <v>48</v>
      </c>
      <c r="AH692" s="3">
        <f>YEAR(SrcDB[[#This Row],[Datum_zverejnenia]])</f>
        <v>2022</v>
      </c>
      <c r="AI692" s="3" cm="1">
        <f t="array" ref="AI692">COUNT(_xlfn.UNIQUE(_xlfn._xlws.FILTER(SrcDB[ID],SrcDB[Objednavatel_ICO]=$H692)))</f>
        <v>2</v>
      </c>
      <c r="AJ692" s="3" cm="1">
        <f t="array" ref="AJ692">COUNT(_xlfn.UNIQUE(_xlfn._xlws.FILTER(SrcDB[ID],SrcDB[Dodavatel_ICO]=$K692)))</f>
        <v>8</v>
      </c>
      <c r="AK692" s="3">
        <f t="shared" si="717"/>
        <v>0</v>
      </c>
      <c r="AL692" s="3">
        <f t="shared" si="718"/>
        <v>0</v>
      </c>
      <c r="AM692" s="17" t="str">
        <f>IF(SrcDB[[#This Row],[Pocet zmluv objednavatela]]&gt;3,SrcDB[[#This Row],[Objednavatel]],"Ostatné")</f>
        <v>Ostatné</v>
      </c>
      <c r="AN692" s="17" t="str">
        <f>IF(SrcDB[[#This Row],[Pocet zmluv dodavatela]]&gt;3,SrcDB[[#This Row],[Dodavatel]],"Ostatné")</f>
        <v>TEMPEST a.s.</v>
      </c>
    </row>
    <row r="693" spans="1:40" x14ac:dyDescent="0.3">
      <c r="A693" s="2" t="s">
        <v>858</v>
      </c>
      <c r="B693" s="2">
        <v>6400990</v>
      </c>
      <c r="C693" s="3" t="str">
        <f t="shared" si="711"/>
        <v>Áno</v>
      </c>
      <c r="D693" s="3" t="str">
        <f t="shared" si="712"/>
        <v>Nie</v>
      </c>
      <c r="E693" s="3" t="s">
        <v>49</v>
      </c>
      <c r="F693" s="3" t="s">
        <v>48</v>
      </c>
      <c r="G693" s="2" t="str">
        <f t="shared" si="713"/>
        <v>Stredné zmluvy</v>
      </c>
      <c r="H693" s="5">
        <v>31755194</v>
      </c>
      <c r="I693" s="2" t="s">
        <v>859</v>
      </c>
      <c r="J693" s="2" t="s">
        <v>860</v>
      </c>
      <c r="K693" s="5">
        <v>31326650</v>
      </c>
      <c r="L693" s="2" t="s">
        <v>156</v>
      </c>
      <c r="M693" s="2" t="s">
        <v>53</v>
      </c>
      <c r="N693" s="6">
        <v>44684.547395833331</v>
      </c>
      <c r="O693" s="4">
        <v>3898023.6</v>
      </c>
      <c r="P693" s="2">
        <v>114692</v>
      </c>
      <c r="Q693" s="2" t="s">
        <v>861</v>
      </c>
      <c r="R693" s="2" t="s">
        <v>862</v>
      </c>
      <c r="S693" s="2" t="s">
        <v>98</v>
      </c>
      <c r="W693" s="4">
        <v>396</v>
      </c>
      <c r="X693" s="4">
        <v>475.2</v>
      </c>
      <c r="Y693" s="4">
        <f t="shared" ref="Y693" si="769">INDEX(InternalRates,MATCH($S693,InternalRates01,FALSE),2)</f>
        <v>278.98333333333335</v>
      </c>
      <c r="Z693" s="3" t="str">
        <f t="shared" si="747"/>
        <v>Nie</v>
      </c>
      <c r="AA693" s="3" t="str">
        <f t="shared" si="748"/>
        <v>ZoD</v>
      </c>
      <c r="AB693" s="4">
        <v>44</v>
      </c>
      <c r="AC693" s="4">
        <v>22</v>
      </c>
      <c r="AD693" s="3" t="s">
        <v>48</v>
      </c>
      <c r="AE693" s="6">
        <v>44985</v>
      </c>
      <c r="AF693" s="3" t="s">
        <v>59</v>
      </c>
      <c r="AG693" s="3" t="s">
        <v>48</v>
      </c>
      <c r="AH693" s="3">
        <f>YEAR(SrcDB[[#This Row],[Datum_zverejnenia]])</f>
        <v>2022</v>
      </c>
      <c r="AI693" s="3" cm="1">
        <f t="array" ref="AI693">COUNT(_xlfn.UNIQUE(_xlfn._xlws.FILTER(SrcDB[ID],SrcDB[Objednavatel_ICO]=$H693)))</f>
        <v>2</v>
      </c>
      <c r="AJ693" s="3" cm="1">
        <f t="array" ref="AJ693">COUNT(_xlfn.UNIQUE(_xlfn._xlws.FILTER(SrcDB[ID],SrcDB[Dodavatel_ICO]=$K693)))</f>
        <v>8</v>
      </c>
      <c r="AK693" s="3">
        <f t="shared" si="717"/>
        <v>0</v>
      </c>
      <c r="AL693" s="3">
        <f t="shared" si="718"/>
        <v>0</v>
      </c>
      <c r="AM693" s="17" t="str">
        <f>IF(SrcDB[[#This Row],[Pocet zmluv objednavatela]]&gt;3,SrcDB[[#This Row],[Objednavatel]],"Ostatné")</f>
        <v>Ostatné</v>
      </c>
      <c r="AN693" s="17" t="str">
        <f>IF(SrcDB[[#This Row],[Pocet zmluv dodavatela]]&gt;3,SrcDB[[#This Row],[Dodavatel]],"Ostatné")</f>
        <v>TEMPEST a.s.</v>
      </c>
    </row>
    <row r="694" spans="1:40" x14ac:dyDescent="0.3">
      <c r="A694" s="2" t="s">
        <v>858</v>
      </c>
      <c r="B694" s="2">
        <v>6400990</v>
      </c>
      <c r="C694" s="3" t="str">
        <f t="shared" si="711"/>
        <v>Áno</v>
      </c>
      <c r="D694" s="3" t="str">
        <f t="shared" si="712"/>
        <v>Nie</v>
      </c>
      <c r="E694" s="3" t="s">
        <v>49</v>
      </c>
      <c r="F694" s="3" t="s">
        <v>49</v>
      </c>
      <c r="G694" s="2" t="str">
        <f t="shared" si="713"/>
        <v>Stredné zmluvy</v>
      </c>
      <c r="H694" s="5">
        <v>31755194</v>
      </c>
      <c r="I694" s="2" t="s">
        <v>859</v>
      </c>
      <c r="J694" s="2" t="s">
        <v>860</v>
      </c>
      <c r="K694" s="5">
        <v>31326650</v>
      </c>
      <c r="L694" s="2" t="s">
        <v>156</v>
      </c>
      <c r="M694" s="2" t="s">
        <v>53</v>
      </c>
      <c r="N694" s="6">
        <v>44684.547395833331</v>
      </c>
      <c r="O694" s="4">
        <v>3898023.6</v>
      </c>
      <c r="P694" s="2">
        <v>114692</v>
      </c>
      <c r="Q694" s="2" t="s">
        <v>861</v>
      </c>
      <c r="R694" s="2" t="s">
        <v>862</v>
      </c>
      <c r="S694" s="2" t="s">
        <v>56</v>
      </c>
      <c r="T694" s="2" t="s">
        <v>522</v>
      </c>
      <c r="U694" s="2" t="s">
        <v>289</v>
      </c>
      <c r="W694" s="4">
        <v>381</v>
      </c>
      <c r="X694" s="4">
        <v>457.2</v>
      </c>
      <c r="Y694" s="4">
        <f t="shared" ref="Y694" si="770">INDEX(InternalRates,MATCH($S694,InternalRates01,FALSE),2)</f>
        <v>278.98333333333335</v>
      </c>
      <c r="Z694" s="3" t="str">
        <f t="shared" si="747"/>
        <v>Nie</v>
      </c>
      <c r="AA694" s="3" t="str">
        <f t="shared" si="748"/>
        <v>SLA+ZoD</v>
      </c>
      <c r="AB694" s="4">
        <v>23</v>
      </c>
      <c r="AC694" s="4">
        <v>11.5</v>
      </c>
      <c r="AD694" s="3" t="s">
        <v>48</v>
      </c>
      <c r="AE694" s="6">
        <v>44985</v>
      </c>
      <c r="AF694" s="3" t="s">
        <v>59</v>
      </c>
      <c r="AG694" s="3" t="s">
        <v>48</v>
      </c>
      <c r="AH694" s="3">
        <f>YEAR(SrcDB[[#This Row],[Datum_zverejnenia]])</f>
        <v>2022</v>
      </c>
      <c r="AI694" s="3" cm="1">
        <f t="array" ref="AI694">COUNT(_xlfn.UNIQUE(_xlfn._xlws.FILTER(SrcDB[ID],SrcDB[Objednavatel_ICO]=$H694)))</f>
        <v>2</v>
      </c>
      <c r="AJ694" s="3" cm="1">
        <f t="array" ref="AJ694">COUNT(_xlfn.UNIQUE(_xlfn._xlws.FILTER(SrcDB[ID],SrcDB[Dodavatel_ICO]=$K694)))</f>
        <v>8</v>
      </c>
      <c r="AK694" s="3">
        <f t="shared" si="717"/>
        <v>0</v>
      </c>
      <c r="AL694" s="3">
        <f t="shared" si="718"/>
        <v>0</v>
      </c>
      <c r="AM694" s="17" t="str">
        <f>IF(SrcDB[[#This Row],[Pocet zmluv objednavatela]]&gt;3,SrcDB[[#This Row],[Objednavatel]],"Ostatné")</f>
        <v>Ostatné</v>
      </c>
      <c r="AN694" s="17" t="str">
        <f>IF(SrcDB[[#This Row],[Pocet zmluv dodavatela]]&gt;3,SrcDB[[#This Row],[Dodavatel]],"Ostatné")</f>
        <v>TEMPEST a.s.</v>
      </c>
    </row>
    <row r="695" spans="1:40" x14ac:dyDescent="0.3">
      <c r="A695" s="2" t="s">
        <v>863</v>
      </c>
      <c r="B695" s="2">
        <v>6401267</v>
      </c>
      <c r="C695" s="3" t="str">
        <f t="shared" si="711"/>
        <v>Nie</v>
      </c>
      <c r="D695" s="3" t="str">
        <f t="shared" si="712"/>
        <v>Áno</v>
      </c>
      <c r="E695" s="3" t="s">
        <v>48</v>
      </c>
      <c r="F695" s="3" t="s">
        <v>49</v>
      </c>
      <c r="G695" s="2" t="str">
        <f t="shared" si="713"/>
        <v>Stredné zmluvy</v>
      </c>
      <c r="H695" s="5">
        <v>31755194</v>
      </c>
      <c r="I695" s="2" t="s">
        <v>859</v>
      </c>
      <c r="J695" s="2" t="s">
        <v>860</v>
      </c>
      <c r="K695" s="5">
        <v>31326650</v>
      </c>
      <c r="L695" s="2" t="s">
        <v>156</v>
      </c>
      <c r="M695" s="2" t="s">
        <v>53</v>
      </c>
      <c r="N695" s="6">
        <v>44684.554837962962</v>
      </c>
      <c r="O695" s="4">
        <v>4176000</v>
      </c>
      <c r="P695" s="2">
        <v>114692</v>
      </c>
      <c r="Q695" s="2" t="s">
        <v>864</v>
      </c>
      <c r="R695" s="2" t="s">
        <v>865</v>
      </c>
      <c r="S695" s="2" t="s">
        <v>183</v>
      </c>
      <c r="T695" s="2" t="s">
        <v>183</v>
      </c>
      <c r="W695" s="4">
        <v>400</v>
      </c>
      <c r="X695" s="4">
        <v>480</v>
      </c>
      <c r="Y695" s="4">
        <f t="shared" ref="Y695" si="771">INDEX(InternalRates,MATCH($S695,InternalRates01,FALSE),2)</f>
        <v>278.98333333333335</v>
      </c>
      <c r="Z695" s="3" t="str">
        <f t="shared" si="747"/>
        <v>Nie</v>
      </c>
      <c r="AA695" s="3" t="str">
        <f t="shared" si="748"/>
        <v>SLA</v>
      </c>
      <c r="AD695" s="3" t="s">
        <v>49</v>
      </c>
      <c r="AE695" s="6">
        <v>44988</v>
      </c>
      <c r="AF695" s="3" t="s">
        <v>59</v>
      </c>
      <c r="AG695" s="3" t="s">
        <v>48</v>
      </c>
      <c r="AH695" s="3">
        <f>YEAR(SrcDB[[#This Row],[Datum_zverejnenia]])</f>
        <v>2022</v>
      </c>
      <c r="AI695" s="3" cm="1">
        <f t="array" ref="AI695">COUNT(_xlfn.UNIQUE(_xlfn._xlws.FILTER(SrcDB[ID],SrcDB[Objednavatel_ICO]=$H695)))</f>
        <v>2</v>
      </c>
      <c r="AJ695" s="3" cm="1">
        <f t="array" ref="AJ695">COUNT(_xlfn.UNIQUE(_xlfn._xlws.FILTER(SrcDB[ID],SrcDB[Dodavatel_ICO]=$K695)))</f>
        <v>8</v>
      </c>
      <c r="AK695" s="3">
        <f t="shared" si="717"/>
        <v>1</v>
      </c>
      <c r="AL695" s="3">
        <f t="shared" si="718"/>
        <v>1</v>
      </c>
      <c r="AM695" s="17" t="str">
        <f>IF(SrcDB[[#This Row],[Pocet zmluv objednavatela]]&gt;3,SrcDB[[#This Row],[Objednavatel]],"Ostatné")</f>
        <v>Ostatné</v>
      </c>
      <c r="AN695" s="17" t="str">
        <f>IF(SrcDB[[#This Row],[Pocet zmluv dodavatela]]&gt;3,SrcDB[[#This Row],[Dodavatel]],"Ostatné")</f>
        <v>TEMPEST a.s.</v>
      </c>
    </row>
    <row r="696" spans="1:40" x14ac:dyDescent="0.3">
      <c r="A696" s="2" t="s">
        <v>866</v>
      </c>
      <c r="B696" s="2">
        <v>6432554</v>
      </c>
      <c r="C696" s="3" t="str">
        <f t="shared" si="711"/>
        <v>Áno</v>
      </c>
      <c r="D696" s="3" t="str">
        <f t="shared" si="712"/>
        <v>Nie</v>
      </c>
      <c r="E696" s="3" t="s">
        <v>49</v>
      </c>
      <c r="F696" s="3" t="s">
        <v>48</v>
      </c>
      <c r="G696" s="2" t="str">
        <f t="shared" si="713"/>
        <v>Malé zmluvy</v>
      </c>
      <c r="H696" s="5" t="s">
        <v>867</v>
      </c>
      <c r="I696" s="2" t="s">
        <v>868</v>
      </c>
      <c r="J696" s="2" t="s">
        <v>869</v>
      </c>
      <c r="K696" s="5">
        <v>31648410</v>
      </c>
      <c r="L696" s="2" t="s">
        <v>870</v>
      </c>
      <c r="M696" s="2" t="s">
        <v>871</v>
      </c>
      <c r="N696" s="6">
        <v>44691.674131944441</v>
      </c>
      <c r="O696" s="4">
        <v>664296</v>
      </c>
      <c r="P696" s="2">
        <v>117199</v>
      </c>
      <c r="Q696" s="2" t="s">
        <v>872</v>
      </c>
      <c r="R696" s="2" t="s">
        <v>873</v>
      </c>
      <c r="S696" s="2" t="s">
        <v>71</v>
      </c>
      <c r="W696" s="4">
        <v>640</v>
      </c>
      <c r="X696" s="4">
        <v>768</v>
      </c>
      <c r="Y696" s="4">
        <f t="shared" ref="Y696" si="772">INDEX(InternalRates,MATCH($S696,InternalRates01,FALSE),2)</f>
        <v>354.0333333333333</v>
      </c>
      <c r="Z696" s="3" t="str">
        <f t="shared" si="747"/>
        <v>Nie</v>
      </c>
      <c r="AA696" s="3" t="str">
        <f t="shared" si="748"/>
        <v>ZoD</v>
      </c>
      <c r="AB696" s="4">
        <v>42</v>
      </c>
      <c r="AC696" s="4">
        <v>33.6</v>
      </c>
      <c r="AD696" s="3" t="s">
        <v>48</v>
      </c>
      <c r="AE696" s="6">
        <v>44987</v>
      </c>
      <c r="AF696" s="3" t="s">
        <v>59</v>
      </c>
      <c r="AG696" s="3" t="s">
        <v>48</v>
      </c>
      <c r="AH696" s="3">
        <f>YEAR(SrcDB[[#This Row],[Datum_zverejnenia]])</f>
        <v>2022</v>
      </c>
      <c r="AI696" s="3" cm="1">
        <f t="array" ref="AI696">COUNT(_xlfn.UNIQUE(_xlfn._xlws.FILTER(SrcDB[ID],SrcDB[Objednavatel_ICO]=$H696)))</f>
        <v>4</v>
      </c>
      <c r="AJ696" s="3" cm="1">
        <f t="array" ref="AJ696">COUNT(_xlfn.UNIQUE(_xlfn._xlws.FILTER(SrcDB[ID],SrcDB[Dodavatel_ICO]=$K696)))</f>
        <v>4</v>
      </c>
      <c r="AK696" s="3">
        <f t="shared" si="717"/>
        <v>1</v>
      </c>
      <c r="AL696" s="3">
        <f t="shared" si="718"/>
        <v>1</v>
      </c>
      <c r="AM696" s="17" t="str">
        <f>IF(SrcDB[[#This Row],[Pocet zmluv objednavatela]]&gt;3,SrcDB[[#This Row],[Objednavatel]],"Ostatné")</f>
        <v>Technická univerzita v Košiciach</v>
      </c>
      <c r="AN696" s="17" t="str">
        <f>IF(SrcDB[[#This Row],[Pocet zmluv dodavatela]]&gt;3,SrcDB[[#This Row],[Dodavatel]],"Ostatné")</f>
        <v>elfa, s.r.o.</v>
      </c>
    </row>
    <row r="697" spans="1:40" x14ac:dyDescent="0.3">
      <c r="A697" s="2" t="s">
        <v>866</v>
      </c>
      <c r="B697" s="2">
        <v>6432554</v>
      </c>
      <c r="C697" s="3" t="str">
        <f t="shared" si="711"/>
        <v>Áno</v>
      </c>
      <c r="D697" s="3" t="str">
        <f t="shared" si="712"/>
        <v>Nie</v>
      </c>
      <c r="E697" s="3" t="s">
        <v>49</v>
      </c>
      <c r="F697" s="3" t="s">
        <v>48</v>
      </c>
      <c r="G697" s="2" t="str">
        <f t="shared" si="713"/>
        <v>Malé zmluvy</v>
      </c>
      <c r="H697" s="5" t="s">
        <v>867</v>
      </c>
      <c r="I697" s="2" t="s">
        <v>868</v>
      </c>
      <c r="J697" s="2" t="s">
        <v>869</v>
      </c>
      <c r="K697" s="5">
        <v>31648410</v>
      </c>
      <c r="L697" s="2" t="s">
        <v>870</v>
      </c>
      <c r="M697" s="2" t="s">
        <v>871</v>
      </c>
      <c r="N697" s="6">
        <v>44691.674131944441</v>
      </c>
      <c r="O697" s="4">
        <v>664296</v>
      </c>
      <c r="P697" s="2">
        <v>117199</v>
      </c>
      <c r="Q697" s="2" t="s">
        <v>872</v>
      </c>
      <c r="R697" s="2" t="s">
        <v>873</v>
      </c>
      <c r="S697" s="2" t="s">
        <v>73</v>
      </c>
      <c r="W697" s="4">
        <v>520</v>
      </c>
      <c r="X697" s="4">
        <v>624</v>
      </c>
      <c r="Y697" s="4">
        <f t="shared" ref="Y697" si="773">INDEX(InternalRates,MATCH($S697,InternalRates01,FALSE),2)</f>
        <v>278.98333333333335</v>
      </c>
      <c r="Z697" s="3" t="str">
        <f t="shared" si="747"/>
        <v>Nie</v>
      </c>
      <c r="AA697" s="3" t="str">
        <f t="shared" si="748"/>
        <v>ZoD</v>
      </c>
      <c r="AB697" s="4">
        <v>86.625</v>
      </c>
      <c r="AC697" s="4">
        <v>69.3</v>
      </c>
      <c r="AD697" s="3" t="s">
        <v>48</v>
      </c>
      <c r="AE697" s="6">
        <v>44987</v>
      </c>
      <c r="AF697" s="3" t="s">
        <v>59</v>
      </c>
      <c r="AG697" s="3" t="s">
        <v>48</v>
      </c>
      <c r="AH697" s="3">
        <f>YEAR(SrcDB[[#This Row],[Datum_zverejnenia]])</f>
        <v>2022</v>
      </c>
      <c r="AI697" s="3" cm="1">
        <f t="array" ref="AI697">COUNT(_xlfn.UNIQUE(_xlfn._xlws.FILTER(SrcDB[ID],SrcDB[Objednavatel_ICO]=$H697)))</f>
        <v>4</v>
      </c>
      <c r="AJ697" s="3" cm="1">
        <f t="array" ref="AJ697">COUNT(_xlfn.UNIQUE(_xlfn._xlws.FILTER(SrcDB[ID],SrcDB[Dodavatel_ICO]=$K697)))</f>
        <v>4</v>
      </c>
      <c r="AK697" s="3">
        <f t="shared" si="717"/>
        <v>0</v>
      </c>
      <c r="AL697" s="3">
        <f t="shared" si="718"/>
        <v>0</v>
      </c>
      <c r="AM697" s="17" t="str">
        <f>IF(SrcDB[[#This Row],[Pocet zmluv objednavatela]]&gt;3,SrcDB[[#This Row],[Objednavatel]],"Ostatné")</f>
        <v>Technická univerzita v Košiciach</v>
      </c>
      <c r="AN697" s="17" t="str">
        <f>IF(SrcDB[[#This Row],[Pocet zmluv dodavatela]]&gt;3,SrcDB[[#This Row],[Dodavatel]],"Ostatné")</f>
        <v>elfa, s.r.o.</v>
      </c>
    </row>
    <row r="698" spans="1:40" x14ac:dyDescent="0.3">
      <c r="A698" s="2" t="s">
        <v>866</v>
      </c>
      <c r="B698" s="2">
        <v>6432554</v>
      </c>
      <c r="C698" s="3" t="str">
        <f t="shared" si="711"/>
        <v>Áno</v>
      </c>
      <c r="D698" s="3" t="str">
        <f t="shared" si="712"/>
        <v>Nie</v>
      </c>
      <c r="E698" s="3" t="s">
        <v>49</v>
      </c>
      <c r="F698" s="3" t="s">
        <v>48</v>
      </c>
      <c r="G698" s="2" t="str">
        <f t="shared" si="713"/>
        <v>Malé zmluvy</v>
      </c>
      <c r="H698" s="5" t="s">
        <v>867</v>
      </c>
      <c r="I698" s="2" t="s">
        <v>868</v>
      </c>
      <c r="J698" s="2" t="s">
        <v>869</v>
      </c>
      <c r="K698" s="5">
        <v>31648410</v>
      </c>
      <c r="L698" s="2" t="s">
        <v>870</v>
      </c>
      <c r="M698" s="2" t="s">
        <v>871</v>
      </c>
      <c r="N698" s="6">
        <v>44691.674131944441</v>
      </c>
      <c r="O698" s="4">
        <v>664296</v>
      </c>
      <c r="P698" s="2">
        <v>117199</v>
      </c>
      <c r="Q698" s="2" t="s">
        <v>872</v>
      </c>
      <c r="R698" s="2" t="s">
        <v>873</v>
      </c>
      <c r="S698" s="2" t="s">
        <v>77</v>
      </c>
      <c r="W698" s="4">
        <v>520</v>
      </c>
      <c r="X698" s="4">
        <v>624</v>
      </c>
      <c r="Y698" s="4">
        <f t="shared" ref="Y698" si="774">INDEX(InternalRates,MATCH($S698,InternalRates01,FALSE),2)</f>
        <v>278.98333333333335</v>
      </c>
      <c r="Z698" s="3" t="str">
        <f t="shared" si="747"/>
        <v>Nie</v>
      </c>
      <c r="AA698" s="3" t="str">
        <f t="shared" si="748"/>
        <v>ZoD</v>
      </c>
      <c r="AB698" s="4">
        <v>160.125</v>
      </c>
      <c r="AC698" s="4">
        <v>128.1</v>
      </c>
      <c r="AD698" s="3" t="s">
        <v>48</v>
      </c>
      <c r="AE698" s="6">
        <v>44987</v>
      </c>
      <c r="AF698" s="3" t="s">
        <v>59</v>
      </c>
      <c r="AG698" s="3" t="s">
        <v>48</v>
      </c>
      <c r="AH698" s="3">
        <f>YEAR(SrcDB[[#This Row],[Datum_zverejnenia]])</f>
        <v>2022</v>
      </c>
      <c r="AI698" s="3" cm="1">
        <f t="array" ref="AI698">COUNT(_xlfn.UNIQUE(_xlfn._xlws.FILTER(SrcDB[ID],SrcDB[Objednavatel_ICO]=$H698)))</f>
        <v>4</v>
      </c>
      <c r="AJ698" s="3" cm="1">
        <f t="array" ref="AJ698">COUNT(_xlfn.UNIQUE(_xlfn._xlws.FILTER(SrcDB[ID],SrcDB[Dodavatel_ICO]=$K698)))</f>
        <v>4</v>
      </c>
      <c r="AK698" s="3">
        <f t="shared" si="717"/>
        <v>0</v>
      </c>
      <c r="AL698" s="3">
        <f t="shared" si="718"/>
        <v>0</v>
      </c>
      <c r="AM698" s="17" t="str">
        <f>IF(SrcDB[[#This Row],[Pocet zmluv objednavatela]]&gt;3,SrcDB[[#This Row],[Objednavatel]],"Ostatné")</f>
        <v>Technická univerzita v Košiciach</v>
      </c>
      <c r="AN698" s="17" t="str">
        <f>IF(SrcDB[[#This Row],[Pocet zmluv dodavatela]]&gt;3,SrcDB[[#This Row],[Dodavatel]],"Ostatné")</f>
        <v>elfa, s.r.o.</v>
      </c>
    </row>
    <row r="699" spans="1:40" x14ac:dyDescent="0.3">
      <c r="A699" s="2" t="s">
        <v>866</v>
      </c>
      <c r="B699" s="2">
        <v>6432554</v>
      </c>
      <c r="C699" s="3" t="str">
        <f t="shared" si="711"/>
        <v>Áno</v>
      </c>
      <c r="D699" s="3" t="str">
        <f t="shared" si="712"/>
        <v>Nie</v>
      </c>
      <c r="E699" s="3" t="s">
        <v>49</v>
      </c>
      <c r="F699" s="3" t="s">
        <v>48</v>
      </c>
      <c r="G699" s="2" t="str">
        <f t="shared" si="713"/>
        <v>Malé zmluvy</v>
      </c>
      <c r="H699" s="5" t="s">
        <v>867</v>
      </c>
      <c r="I699" s="2" t="s">
        <v>868</v>
      </c>
      <c r="J699" s="2" t="s">
        <v>869</v>
      </c>
      <c r="K699" s="5">
        <v>31648410</v>
      </c>
      <c r="L699" s="2" t="s">
        <v>870</v>
      </c>
      <c r="M699" s="2" t="s">
        <v>871</v>
      </c>
      <c r="N699" s="6">
        <v>44691.674131944441</v>
      </c>
      <c r="O699" s="4">
        <v>664296</v>
      </c>
      <c r="P699" s="2">
        <v>117199</v>
      </c>
      <c r="Q699" s="2" t="s">
        <v>872</v>
      </c>
      <c r="R699" s="2" t="s">
        <v>873</v>
      </c>
      <c r="S699" s="2" t="s">
        <v>56</v>
      </c>
      <c r="T699" s="2" t="s">
        <v>96</v>
      </c>
      <c r="U699" s="2" t="s">
        <v>97</v>
      </c>
      <c r="W699" s="4">
        <v>600</v>
      </c>
      <c r="X699" s="4">
        <v>720</v>
      </c>
      <c r="Y699" s="4">
        <f t="shared" ref="Y699" si="775">INDEX(InternalRates,MATCH($S699,InternalRates01,FALSE),2)</f>
        <v>278.98333333333335</v>
      </c>
      <c r="Z699" s="3" t="str">
        <f t="shared" si="747"/>
        <v>Nie</v>
      </c>
      <c r="AA699" s="3" t="str">
        <f t="shared" si="748"/>
        <v>ZoD</v>
      </c>
      <c r="AB699" s="4">
        <v>113</v>
      </c>
      <c r="AC699" s="4">
        <v>90.4</v>
      </c>
      <c r="AD699" s="3" t="s">
        <v>48</v>
      </c>
      <c r="AE699" s="6">
        <v>44987</v>
      </c>
      <c r="AF699" s="3" t="s">
        <v>59</v>
      </c>
      <c r="AG699" s="3" t="s">
        <v>48</v>
      </c>
      <c r="AH699" s="3">
        <f>YEAR(SrcDB[[#This Row],[Datum_zverejnenia]])</f>
        <v>2022</v>
      </c>
      <c r="AI699" s="3" cm="1">
        <f t="array" ref="AI699">COUNT(_xlfn.UNIQUE(_xlfn._xlws.FILTER(SrcDB[ID],SrcDB[Objednavatel_ICO]=$H699)))</f>
        <v>4</v>
      </c>
      <c r="AJ699" s="3" cm="1">
        <f t="array" ref="AJ699">COUNT(_xlfn.UNIQUE(_xlfn._xlws.FILTER(SrcDB[ID],SrcDB[Dodavatel_ICO]=$K699)))</f>
        <v>4</v>
      </c>
      <c r="AK699" s="3">
        <f t="shared" si="717"/>
        <v>0</v>
      </c>
      <c r="AL699" s="3">
        <f t="shared" si="718"/>
        <v>0</v>
      </c>
      <c r="AM699" s="17" t="str">
        <f>IF(SrcDB[[#This Row],[Pocet zmluv objednavatela]]&gt;3,SrcDB[[#This Row],[Objednavatel]],"Ostatné")</f>
        <v>Technická univerzita v Košiciach</v>
      </c>
      <c r="AN699" s="17" t="str">
        <f>IF(SrcDB[[#This Row],[Pocet zmluv dodavatela]]&gt;3,SrcDB[[#This Row],[Dodavatel]],"Ostatné")</f>
        <v>elfa, s.r.o.</v>
      </c>
    </row>
    <row r="700" spans="1:40" x14ac:dyDescent="0.3">
      <c r="A700" s="2" t="s">
        <v>866</v>
      </c>
      <c r="B700" s="2">
        <v>6432554</v>
      </c>
      <c r="C700" s="3" t="str">
        <f t="shared" si="711"/>
        <v>Áno</v>
      </c>
      <c r="D700" s="3" t="str">
        <f t="shared" si="712"/>
        <v>Nie</v>
      </c>
      <c r="E700" s="3" t="s">
        <v>49</v>
      </c>
      <c r="F700" s="3" t="s">
        <v>48</v>
      </c>
      <c r="G700" s="2" t="str">
        <f t="shared" si="713"/>
        <v>Malé zmluvy</v>
      </c>
      <c r="H700" s="5" t="s">
        <v>867</v>
      </c>
      <c r="I700" s="2" t="s">
        <v>868</v>
      </c>
      <c r="J700" s="2" t="s">
        <v>869</v>
      </c>
      <c r="K700" s="5">
        <v>31648410</v>
      </c>
      <c r="L700" s="2" t="s">
        <v>870</v>
      </c>
      <c r="M700" s="2" t="s">
        <v>871</v>
      </c>
      <c r="N700" s="6">
        <v>44691.674131944441</v>
      </c>
      <c r="O700" s="4">
        <v>664296</v>
      </c>
      <c r="P700" s="2">
        <v>117199</v>
      </c>
      <c r="Q700" s="2" t="s">
        <v>872</v>
      </c>
      <c r="R700" s="2" t="s">
        <v>873</v>
      </c>
      <c r="S700" s="2" t="s">
        <v>69</v>
      </c>
      <c r="T700" s="2" t="s">
        <v>70</v>
      </c>
      <c r="W700" s="4">
        <v>690</v>
      </c>
      <c r="X700" s="4">
        <v>828</v>
      </c>
      <c r="Y700" s="4">
        <f t="shared" ref="Y700" si="776">INDEX(InternalRates,MATCH($S700,InternalRates01,FALSE),2)</f>
        <v>278.98333333333335</v>
      </c>
      <c r="Z700" s="3" t="str">
        <f t="shared" si="747"/>
        <v>Nie</v>
      </c>
      <c r="AA700" s="3" t="str">
        <f t="shared" si="748"/>
        <v>ZoD</v>
      </c>
      <c r="AB700" s="4">
        <v>16</v>
      </c>
      <c r="AC700" s="4">
        <v>12.8</v>
      </c>
      <c r="AD700" s="3" t="s">
        <v>48</v>
      </c>
      <c r="AE700" s="6">
        <v>44987</v>
      </c>
      <c r="AF700" s="3" t="s">
        <v>59</v>
      </c>
      <c r="AG700" s="3" t="s">
        <v>48</v>
      </c>
      <c r="AH700" s="3">
        <f>YEAR(SrcDB[[#This Row],[Datum_zverejnenia]])</f>
        <v>2022</v>
      </c>
      <c r="AI700" s="3" cm="1">
        <f t="array" ref="AI700">COUNT(_xlfn.UNIQUE(_xlfn._xlws.FILTER(SrcDB[ID],SrcDB[Objednavatel_ICO]=$H700)))</f>
        <v>4</v>
      </c>
      <c r="AJ700" s="3" cm="1">
        <f t="array" ref="AJ700">COUNT(_xlfn.UNIQUE(_xlfn._xlws.FILTER(SrcDB[ID],SrcDB[Dodavatel_ICO]=$K700)))</f>
        <v>4</v>
      </c>
      <c r="AK700" s="3">
        <f t="shared" si="717"/>
        <v>0</v>
      </c>
      <c r="AL700" s="3">
        <f t="shared" si="718"/>
        <v>0</v>
      </c>
      <c r="AM700" s="17" t="str">
        <f>IF(SrcDB[[#This Row],[Pocet zmluv objednavatela]]&gt;3,SrcDB[[#This Row],[Objednavatel]],"Ostatné")</f>
        <v>Technická univerzita v Košiciach</v>
      </c>
      <c r="AN700" s="17" t="str">
        <f>IF(SrcDB[[#This Row],[Pocet zmluv dodavatela]]&gt;3,SrcDB[[#This Row],[Dodavatel]],"Ostatné")</f>
        <v>elfa, s.r.o.</v>
      </c>
    </row>
    <row r="701" spans="1:40" x14ac:dyDescent="0.3">
      <c r="A701" s="2" t="s">
        <v>866</v>
      </c>
      <c r="B701" s="2">
        <v>6432554</v>
      </c>
      <c r="C701" s="3" t="str">
        <f t="shared" si="711"/>
        <v>Áno</v>
      </c>
      <c r="D701" s="3" t="str">
        <f t="shared" si="712"/>
        <v>Nie</v>
      </c>
      <c r="E701" s="3" t="s">
        <v>49</v>
      </c>
      <c r="F701" s="3" t="s">
        <v>48</v>
      </c>
      <c r="G701" s="2" t="str">
        <f t="shared" si="713"/>
        <v>Malé zmluvy</v>
      </c>
      <c r="H701" s="5" t="s">
        <v>867</v>
      </c>
      <c r="I701" s="2" t="s">
        <v>868</v>
      </c>
      <c r="J701" s="2" t="s">
        <v>869</v>
      </c>
      <c r="K701" s="5">
        <v>31648410</v>
      </c>
      <c r="L701" s="2" t="s">
        <v>870</v>
      </c>
      <c r="M701" s="2" t="s">
        <v>871</v>
      </c>
      <c r="N701" s="6">
        <v>44691.674131944441</v>
      </c>
      <c r="O701" s="4">
        <v>664296</v>
      </c>
      <c r="P701" s="2">
        <v>117199</v>
      </c>
      <c r="Q701" s="2" t="s">
        <v>872</v>
      </c>
      <c r="R701" s="2" t="s">
        <v>873</v>
      </c>
      <c r="S701" s="2" t="s">
        <v>79</v>
      </c>
      <c r="W701" s="4">
        <v>282.5</v>
      </c>
      <c r="X701" s="4">
        <v>339</v>
      </c>
      <c r="Y701" s="4">
        <f t="shared" ref="Y701" si="777">INDEX(InternalRates,MATCH($S701,InternalRates01,FALSE),2)</f>
        <v>278.98333333333335</v>
      </c>
      <c r="Z701" s="3" t="str">
        <f t="shared" si="747"/>
        <v>Nie</v>
      </c>
      <c r="AA701" s="3" t="str">
        <f t="shared" si="748"/>
        <v>ZoD</v>
      </c>
      <c r="AB701" s="4">
        <v>231</v>
      </c>
      <c r="AC701" s="4">
        <v>184.8</v>
      </c>
      <c r="AD701" s="3" t="s">
        <v>48</v>
      </c>
      <c r="AE701" s="6">
        <v>44987</v>
      </c>
      <c r="AF701" s="3" t="s">
        <v>59</v>
      </c>
      <c r="AG701" s="3" t="s">
        <v>48</v>
      </c>
      <c r="AH701" s="3">
        <f>YEAR(SrcDB[[#This Row],[Datum_zverejnenia]])</f>
        <v>2022</v>
      </c>
      <c r="AI701" s="3" cm="1">
        <f t="array" ref="AI701">COUNT(_xlfn.UNIQUE(_xlfn._xlws.FILTER(SrcDB[ID],SrcDB[Objednavatel_ICO]=$H701)))</f>
        <v>4</v>
      </c>
      <c r="AJ701" s="3" cm="1">
        <f t="array" ref="AJ701">COUNT(_xlfn.UNIQUE(_xlfn._xlws.FILTER(SrcDB[ID],SrcDB[Dodavatel_ICO]=$K701)))</f>
        <v>4</v>
      </c>
      <c r="AK701" s="3">
        <f t="shared" si="717"/>
        <v>0</v>
      </c>
      <c r="AL701" s="3">
        <f t="shared" si="718"/>
        <v>0</v>
      </c>
      <c r="AM701" s="17" t="str">
        <f>IF(SrcDB[[#This Row],[Pocet zmluv objednavatela]]&gt;3,SrcDB[[#This Row],[Objednavatel]],"Ostatné")</f>
        <v>Technická univerzita v Košiciach</v>
      </c>
      <c r="AN701" s="17" t="str">
        <f>IF(SrcDB[[#This Row],[Pocet zmluv dodavatela]]&gt;3,SrcDB[[#This Row],[Dodavatel]],"Ostatné")</f>
        <v>elfa, s.r.o.</v>
      </c>
    </row>
    <row r="702" spans="1:40" x14ac:dyDescent="0.3">
      <c r="A702" s="2" t="s">
        <v>866</v>
      </c>
      <c r="B702" s="2">
        <v>6432554</v>
      </c>
      <c r="C702" s="3" t="str">
        <f t="shared" si="711"/>
        <v>Áno</v>
      </c>
      <c r="D702" s="3" t="str">
        <f t="shared" si="712"/>
        <v>Nie</v>
      </c>
      <c r="E702" s="3" t="s">
        <v>49</v>
      </c>
      <c r="F702" s="3" t="s">
        <v>48</v>
      </c>
      <c r="G702" s="2" t="str">
        <f t="shared" si="713"/>
        <v>Malé zmluvy</v>
      </c>
      <c r="H702" s="5" t="s">
        <v>867</v>
      </c>
      <c r="I702" s="2" t="s">
        <v>868</v>
      </c>
      <c r="J702" s="2" t="s">
        <v>869</v>
      </c>
      <c r="K702" s="5">
        <v>31648410</v>
      </c>
      <c r="L702" s="2" t="s">
        <v>870</v>
      </c>
      <c r="M702" s="2" t="s">
        <v>871</v>
      </c>
      <c r="N702" s="6">
        <v>44691.674131944441</v>
      </c>
      <c r="O702" s="4">
        <v>664296</v>
      </c>
      <c r="P702" s="2">
        <v>117199</v>
      </c>
      <c r="Q702" s="2" t="s">
        <v>872</v>
      </c>
      <c r="R702" s="2" t="s">
        <v>873</v>
      </c>
      <c r="S702" s="2" t="s">
        <v>98</v>
      </c>
      <c r="W702" s="4">
        <v>475</v>
      </c>
      <c r="X702" s="4">
        <v>570</v>
      </c>
      <c r="Y702" s="4">
        <f t="shared" ref="Y702" si="778">INDEX(InternalRates,MATCH($S702,InternalRates01,FALSE),2)</f>
        <v>278.98333333333335</v>
      </c>
      <c r="Z702" s="3" t="str">
        <f t="shared" si="747"/>
        <v>Nie</v>
      </c>
      <c r="AA702" s="3" t="str">
        <f t="shared" si="748"/>
        <v>ZoD</v>
      </c>
      <c r="AB702" s="4">
        <v>20</v>
      </c>
      <c r="AC702" s="4">
        <v>16</v>
      </c>
      <c r="AD702" s="3" t="s">
        <v>48</v>
      </c>
      <c r="AE702" s="6">
        <v>44987</v>
      </c>
      <c r="AF702" s="3" t="s">
        <v>59</v>
      </c>
      <c r="AG702" s="3" t="s">
        <v>48</v>
      </c>
      <c r="AH702" s="3">
        <f>YEAR(SrcDB[[#This Row],[Datum_zverejnenia]])</f>
        <v>2022</v>
      </c>
      <c r="AI702" s="3" cm="1">
        <f t="array" ref="AI702">COUNT(_xlfn.UNIQUE(_xlfn._xlws.FILTER(SrcDB[ID],SrcDB[Objednavatel_ICO]=$H702)))</f>
        <v>4</v>
      </c>
      <c r="AJ702" s="3" cm="1">
        <f t="array" ref="AJ702">COUNT(_xlfn.UNIQUE(_xlfn._xlws.FILTER(SrcDB[ID],SrcDB[Dodavatel_ICO]=$K702)))</f>
        <v>4</v>
      </c>
      <c r="AK702" s="3">
        <f t="shared" si="717"/>
        <v>0</v>
      </c>
      <c r="AL702" s="3">
        <f t="shared" si="718"/>
        <v>0</v>
      </c>
      <c r="AM702" s="17" t="str">
        <f>IF(SrcDB[[#This Row],[Pocet zmluv objednavatela]]&gt;3,SrcDB[[#This Row],[Objednavatel]],"Ostatné")</f>
        <v>Technická univerzita v Košiciach</v>
      </c>
      <c r="AN702" s="17" t="str">
        <f>IF(SrcDB[[#This Row],[Pocet zmluv dodavatela]]&gt;3,SrcDB[[#This Row],[Dodavatel]],"Ostatné")</f>
        <v>elfa, s.r.o.</v>
      </c>
    </row>
    <row r="703" spans="1:40" x14ac:dyDescent="0.3">
      <c r="A703" s="2" t="s">
        <v>874</v>
      </c>
      <c r="B703" s="2">
        <v>6483526</v>
      </c>
      <c r="C703" s="3" t="str">
        <f t="shared" si="711"/>
        <v>Nejasné</v>
      </c>
      <c r="D703" s="3" t="str">
        <f t="shared" si="712"/>
        <v>Nejasné</v>
      </c>
      <c r="E703" s="3" t="s">
        <v>48</v>
      </c>
      <c r="F703" s="3" t="s">
        <v>49</v>
      </c>
      <c r="G703" s="2" t="str">
        <f t="shared" si="713"/>
        <v>Stredné zmluvy</v>
      </c>
      <c r="H703" s="5">
        <v>45736359</v>
      </c>
      <c r="I703" s="2" t="s">
        <v>875</v>
      </c>
      <c r="J703" s="2" t="s">
        <v>876</v>
      </c>
      <c r="K703" s="5">
        <v>31365078</v>
      </c>
      <c r="L703" s="2" t="s">
        <v>877</v>
      </c>
      <c r="M703" s="2" t="s">
        <v>878</v>
      </c>
      <c r="N703" s="6">
        <v>44705.456956018519</v>
      </c>
      <c r="O703" s="4">
        <v>2514103.2000000002</v>
      </c>
      <c r="P703" s="2">
        <v>114725</v>
      </c>
      <c r="Q703" s="2" t="s">
        <v>879</v>
      </c>
      <c r="R703" s="2" t="s">
        <v>880</v>
      </c>
      <c r="S703" s="2" t="s">
        <v>56</v>
      </c>
      <c r="T703" s="2" t="s">
        <v>286</v>
      </c>
      <c r="U703" s="2" t="s">
        <v>129</v>
      </c>
      <c r="W703" s="4">
        <v>720</v>
      </c>
      <c r="X703" s="4">
        <v>864</v>
      </c>
      <c r="Y703" s="4">
        <f t="shared" ref="Y703" si="779">INDEX(InternalRates,MATCH($S703,InternalRates01,FALSE),2)</f>
        <v>278.98333333333335</v>
      </c>
      <c r="Z703" s="3" t="str">
        <f t="shared" si="747"/>
        <v>Nie</v>
      </c>
      <c r="AA703" s="3" t="str">
        <f t="shared" si="748"/>
        <v>SLA</v>
      </c>
      <c r="AB703" s="4">
        <v>5</v>
      </c>
      <c r="AC703" s="4">
        <v>8.2758620689655178</v>
      </c>
      <c r="AD703" s="3" t="s">
        <v>48</v>
      </c>
      <c r="AE703" s="6">
        <v>44988</v>
      </c>
      <c r="AF703" s="3" t="s">
        <v>59</v>
      </c>
      <c r="AG703" s="3" t="s">
        <v>48</v>
      </c>
      <c r="AH703" s="3">
        <f>YEAR(SrcDB[[#This Row],[Datum_zverejnenia]])</f>
        <v>2022</v>
      </c>
      <c r="AI703" s="3" cm="1">
        <f t="array" ref="AI703">COUNT(_xlfn.UNIQUE(_xlfn._xlws.FILTER(SrcDB[ID],SrcDB[Objednavatel_ICO]=$H703)))</f>
        <v>1</v>
      </c>
      <c r="AJ703" s="3" cm="1">
        <f t="array" ref="AJ703">COUNT(_xlfn.UNIQUE(_xlfn._xlws.FILTER(SrcDB[ID],SrcDB[Dodavatel_ICO]=$K703)))</f>
        <v>2</v>
      </c>
      <c r="AK703" s="3">
        <f t="shared" si="717"/>
        <v>1</v>
      </c>
      <c r="AL703" s="3">
        <f t="shared" si="718"/>
        <v>1</v>
      </c>
      <c r="AM703" s="17" t="str">
        <f>IF(SrcDB[[#This Row],[Pocet zmluv objednavatela]]&gt;3,SrcDB[[#This Row],[Objednavatel]],"Ostatné")</f>
        <v>Ostatné</v>
      </c>
      <c r="AN703" s="17" t="str">
        <f>IF(SrcDB[[#This Row],[Pocet zmluv dodavatela]]&gt;3,SrcDB[[#This Row],[Dodavatel]],"Ostatné")</f>
        <v>Ostatné</v>
      </c>
    </row>
    <row r="704" spans="1:40" x14ac:dyDescent="0.3">
      <c r="A704" s="2" t="s">
        <v>874</v>
      </c>
      <c r="B704" s="2">
        <v>6483526</v>
      </c>
      <c r="C704" s="3" t="str">
        <f t="shared" si="711"/>
        <v>Nejasné</v>
      </c>
      <c r="D704" s="3" t="str">
        <f t="shared" si="712"/>
        <v>Nejasné</v>
      </c>
      <c r="E704" s="3" t="s">
        <v>48</v>
      </c>
      <c r="F704" s="3" t="s">
        <v>49</v>
      </c>
      <c r="G704" s="2" t="str">
        <f t="shared" si="713"/>
        <v>Stredné zmluvy</v>
      </c>
      <c r="H704" s="5">
        <v>45736359</v>
      </c>
      <c r="I704" s="2" t="s">
        <v>875</v>
      </c>
      <c r="J704" s="2" t="s">
        <v>876</v>
      </c>
      <c r="K704" s="5">
        <v>31365078</v>
      </c>
      <c r="L704" s="2" t="s">
        <v>877</v>
      </c>
      <c r="M704" s="2" t="s">
        <v>878</v>
      </c>
      <c r="N704" s="6">
        <v>44705.456956018519</v>
      </c>
      <c r="O704" s="4">
        <v>2514103.2000000002</v>
      </c>
      <c r="P704" s="2">
        <v>114725</v>
      </c>
      <c r="Q704" s="2" t="s">
        <v>879</v>
      </c>
      <c r="R704" s="2" t="s">
        <v>880</v>
      </c>
      <c r="S704" s="2" t="s">
        <v>73</v>
      </c>
      <c r="W704" s="4">
        <v>660</v>
      </c>
      <c r="X704" s="4">
        <v>792</v>
      </c>
      <c r="Y704" s="4">
        <f t="shared" ref="Y704" si="780">INDEX(InternalRates,MATCH($S704,InternalRates01,FALSE),2)</f>
        <v>278.98333333333335</v>
      </c>
      <c r="Z704" s="3" t="str">
        <f t="shared" si="747"/>
        <v>Nie</v>
      </c>
      <c r="AA704" s="3" t="str">
        <f t="shared" si="748"/>
        <v>SLA</v>
      </c>
      <c r="AB704" s="4">
        <v>9.75</v>
      </c>
      <c r="AC704" s="4">
        <v>16.137931034482758</v>
      </c>
      <c r="AD704" s="3" t="s">
        <v>48</v>
      </c>
      <c r="AE704" s="6">
        <v>44988</v>
      </c>
      <c r="AF704" s="3" t="s">
        <v>59</v>
      </c>
      <c r="AG704" s="3" t="s">
        <v>48</v>
      </c>
      <c r="AH704" s="3">
        <f>YEAR(SrcDB[[#This Row],[Datum_zverejnenia]])</f>
        <v>2022</v>
      </c>
      <c r="AI704" s="3" cm="1">
        <f t="array" ref="AI704">COUNT(_xlfn.UNIQUE(_xlfn._xlws.FILTER(SrcDB[ID],SrcDB[Objednavatel_ICO]=$H704)))</f>
        <v>1</v>
      </c>
      <c r="AJ704" s="3" cm="1">
        <f t="array" ref="AJ704">COUNT(_xlfn.UNIQUE(_xlfn._xlws.FILTER(SrcDB[ID],SrcDB[Dodavatel_ICO]=$K704)))</f>
        <v>2</v>
      </c>
      <c r="AK704" s="3">
        <f t="shared" si="717"/>
        <v>0</v>
      </c>
      <c r="AL704" s="3">
        <f t="shared" si="718"/>
        <v>0</v>
      </c>
      <c r="AM704" s="17" t="str">
        <f>IF(SrcDB[[#This Row],[Pocet zmluv objednavatela]]&gt;3,SrcDB[[#This Row],[Objednavatel]],"Ostatné")</f>
        <v>Ostatné</v>
      </c>
      <c r="AN704" s="17" t="str">
        <f>IF(SrcDB[[#This Row],[Pocet zmluv dodavatela]]&gt;3,SrcDB[[#This Row],[Dodavatel]],"Ostatné")</f>
        <v>Ostatné</v>
      </c>
    </row>
    <row r="705" spans="1:40" x14ac:dyDescent="0.3">
      <c r="A705" s="2" t="s">
        <v>874</v>
      </c>
      <c r="B705" s="2">
        <v>6483526</v>
      </c>
      <c r="C705" s="3" t="str">
        <f t="shared" si="711"/>
        <v>Nejasné</v>
      </c>
      <c r="D705" s="3" t="str">
        <f t="shared" si="712"/>
        <v>Nejasné</v>
      </c>
      <c r="E705" s="3" t="s">
        <v>48</v>
      </c>
      <c r="F705" s="3" t="s">
        <v>49</v>
      </c>
      <c r="G705" s="2" t="str">
        <f t="shared" si="713"/>
        <v>Stredné zmluvy</v>
      </c>
      <c r="H705" s="5">
        <v>45736359</v>
      </c>
      <c r="I705" s="2" t="s">
        <v>875</v>
      </c>
      <c r="J705" s="2" t="s">
        <v>876</v>
      </c>
      <c r="K705" s="5">
        <v>31365078</v>
      </c>
      <c r="L705" s="2" t="s">
        <v>877</v>
      </c>
      <c r="M705" s="2" t="s">
        <v>878</v>
      </c>
      <c r="N705" s="6">
        <v>44705.456956018519</v>
      </c>
      <c r="O705" s="4">
        <v>2514103.2000000002</v>
      </c>
      <c r="P705" s="2">
        <v>114725</v>
      </c>
      <c r="Q705" s="2" t="s">
        <v>879</v>
      </c>
      <c r="R705" s="2" t="s">
        <v>880</v>
      </c>
      <c r="S705" s="2" t="s">
        <v>71</v>
      </c>
      <c r="W705" s="4">
        <v>640</v>
      </c>
      <c r="X705" s="4">
        <v>768</v>
      </c>
      <c r="Y705" s="4">
        <f t="shared" ref="Y705" si="781">INDEX(InternalRates,MATCH($S705,InternalRates01,FALSE),2)</f>
        <v>354.0333333333333</v>
      </c>
      <c r="Z705" s="3" t="str">
        <f t="shared" si="747"/>
        <v>Nie</v>
      </c>
      <c r="AA705" s="3" t="str">
        <f t="shared" si="748"/>
        <v>SLA</v>
      </c>
      <c r="AB705" s="4">
        <v>10.5</v>
      </c>
      <c r="AC705" s="4">
        <v>17.379310344827587</v>
      </c>
      <c r="AD705" s="3" t="s">
        <v>48</v>
      </c>
      <c r="AE705" s="6">
        <v>44988</v>
      </c>
      <c r="AF705" s="3" t="s">
        <v>59</v>
      </c>
      <c r="AG705" s="3" t="s">
        <v>48</v>
      </c>
      <c r="AH705" s="3">
        <f>YEAR(SrcDB[[#This Row],[Datum_zverejnenia]])</f>
        <v>2022</v>
      </c>
      <c r="AI705" s="3" cm="1">
        <f t="array" ref="AI705">COUNT(_xlfn.UNIQUE(_xlfn._xlws.FILTER(SrcDB[ID],SrcDB[Objednavatel_ICO]=$H705)))</f>
        <v>1</v>
      </c>
      <c r="AJ705" s="3" cm="1">
        <f t="array" ref="AJ705">COUNT(_xlfn.UNIQUE(_xlfn._xlws.FILTER(SrcDB[ID],SrcDB[Dodavatel_ICO]=$K705)))</f>
        <v>2</v>
      </c>
      <c r="AK705" s="3">
        <f t="shared" si="717"/>
        <v>0</v>
      </c>
      <c r="AL705" s="3">
        <f t="shared" si="718"/>
        <v>0</v>
      </c>
      <c r="AM705" s="17" t="str">
        <f>IF(SrcDB[[#This Row],[Pocet zmluv objednavatela]]&gt;3,SrcDB[[#This Row],[Objednavatel]],"Ostatné")</f>
        <v>Ostatné</v>
      </c>
      <c r="AN705" s="17" t="str">
        <f>IF(SrcDB[[#This Row],[Pocet zmluv dodavatela]]&gt;3,SrcDB[[#This Row],[Dodavatel]],"Ostatné")</f>
        <v>Ostatné</v>
      </c>
    </row>
    <row r="706" spans="1:40" x14ac:dyDescent="0.3">
      <c r="A706" s="2" t="s">
        <v>874</v>
      </c>
      <c r="B706" s="2">
        <v>6483526</v>
      </c>
      <c r="C706" s="3" t="str">
        <f t="shared" ref="C706:C769" si="782">IF(OR(NOT(ISERROR(FIND("O DIEL",UPPER($A706)))),NOT(ISERROR(FIND("O IMPLEM",UPPER($A706)))))=TRUE,"Áno",IF(OR(NOT(ISERROR(FIND("PODPOR",UPPER($A706)))),NOT(ISERROR(FIND("SLA",UPPER($A706)))),NOT(ISERROR(FIND("SERVIS",UPPER($A706)))))=TRUE,"Nie","Nejasné"))</f>
        <v>Nejasné</v>
      </c>
      <c r="D706" s="3" t="str">
        <f t="shared" ref="D706:D769" si="783">IF(OR(NOT(ISERROR(FIND("PODPOR",UPPER($A706)))),NOT(ISERROR(FIND("SLA",UPPER($A706)))),NOT(ISERROR(FIND("SERVIS",UPPER($A706)))))=TRUE,"Áno",IF(OR(NOT(ISERROR(FIND("O DIEL",UPPER($A706)))),NOT(ISERROR(FIND("O IMPLEM",UPPER($A706)))))=TRUE,"Nie","Nejasné"))</f>
        <v>Nejasné</v>
      </c>
      <c r="E706" s="3" t="s">
        <v>48</v>
      </c>
      <c r="F706" s="3" t="s">
        <v>49</v>
      </c>
      <c r="G706" s="2" t="str">
        <f t="shared" ref="G706:G769" si="784">IF($O706&gt;=8000000,"Veľké zmluvy",IF($O706&gt;=1000000,"Stredné zmluvy","Malé zmluvy"))</f>
        <v>Stredné zmluvy</v>
      </c>
      <c r="H706" s="5">
        <v>45736359</v>
      </c>
      <c r="I706" s="2" t="s">
        <v>875</v>
      </c>
      <c r="J706" s="2" t="s">
        <v>876</v>
      </c>
      <c r="K706" s="5">
        <v>31365078</v>
      </c>
      <c r="L706" s="2" t="s">
        <v>877</v>
      </c>
      <c r="M706" s="2" t="s">
        <v>878</v>
      </c>
      <c r="N706" s="6">
        <v>44705.456956018519</v>
      </c>
      <c r="O706" s="4">
        <v>2514103.2000000002</v>
      </c>
      <c r="P706" s="2">
        <v>114725</v>
      </c>
      <c r="Q706" s="2" t="s">
        <v>879</v>
      </c>
      <c r="R706" s="2" t="s">
        <v>880</v>
      </c>
      <c r="S706" s="2" t="s">
        <v>56</v>
      </c>
      <c r="T706" s="2" t="s">
        <v>94</v>
      </c>
      <c r="U706" s="2" t="s">
        <v>95</v>
      </c>
      <c r="W706" s="4">
        <v>640</v>
      </c>
      <c r="X706" s="4">
        <v>768</v>
      </c>
      <c r="Y706" s="4">
        <f t="shared" ref="Y706" si="785">INDEX(InternalRates,MATCH($S706,InternalRates01,FALSE),2)</f>
        <v>278.98333333333335</v>
      </c>
      <c r="Z706" s="3" t="str">
        <f t="shared" si="747"/>
        <v>Nie</v>
      </c>
      <c r="AA706" s="3" t="str">
        <f t="shared" si="748"/>
        <v>SLA</v>
      </c>
      <c r="AB706" s="4">
        <v>1.5</v>
      </c>
      <c r="AC706" s="4">
        <v>2.4827586206896552</v>
      </c>
      <c r="AD706" s="3" t="s">
        <v>48</v>
      </c>
      <c r="AE706" s="6">
        <v>44988</v>
      </c>
      <c r="AF706" s="3" t="s">
        <v>59</v>
      </c>
      <c r="AG706" s="3" t="s">
        <v>48</v>
      </c>
      <c r="AH706" s="3">
        <f>YEAR(SrcDB[[#This Row],[Datum_zverejnenia]])</f>
        <v>2022</v>
      </c>
      <c r="AI706" s="3" cm="1">
        <f t="array" ref="AI706">COUNT(_xlfn.UNIQUE(_xlfn._xlws.FILTER(SrcDB[ID],SrcDB[Objednavatel_ICO]=$H706)))</f>
        <v>1</v>
      </c>
      <c r="AJ706" s="3" cm="1">
        <f t="array" ref="AJ706">COUNT(_xlfn.UNIQUE(_xlfn._xlws.FILTER(SrcDB[ID],SrcDB[Dodavatel_ICO]=$K706)))</f>
        <v>2</v>
      </c>
      <c r="AK706" s="3">
        <f t="shared" si="717"/>
        <v>0</v>
      </c>
      <c r="AL706" s="3">
        <f t="shared" si="718"/>
        <v>0</v>
      </c>
      <c r="AM706" s="17" t="str">
        <f>IF(SrcDB[[#This Row],[Pocet zmluv objednavatela]]&gt;3,SrcDB[[#This Row],[Objednavatel]],"Ostatné")</f>
        <v>Ostatné</v>
      </c>
      <c r="AN706" s="17" t="str">
        <f>IF(SrcDB[[#This Row],[Pocet zmluv dodavatela]]&gt;3,SrcDB[[#This Row],[Dodavatel]],"Ostatné")</f>
        <v>Ostatné</v>
      </c>
    </row>
    <row r="707" spans="1:40" x14ac:dyDescent="0.3">
      <c r="A707" s="2" t="s">
        <v>874</v>
      </c>
      <c r="B707" s="2">
        <v>6483526</v>
      </c>
      <c r="C707" s="3" t="str">
        <f t="shared" si="782"/>
        <v>Nejasné</v>
      </c>
      <c r="D707" s="3" t="str">
        <f t="shared" si="783"/>
        <v>Nejasné</v>
      </c>
      <c r="E707" s="3" t="s">
        <v>48</v>
      </c>
      <c r="F707" s="3" t="s">
        <v>49</v>
      </c>
      <c r="G707" s="2" t="str">
        <f t="shared" si="784"/>
        <v>Stredné zmluvy</v>
      </c>
      <c r="H707" s="5">
        <v>45736359</v>
      </c>
      <c r="I707" s="2" t="s">
        <v>875</v>
      </c>
      <c r="J707" s="2" t="s">
        <v>876</v>
      </c>
      <c r="K707" s="5">
        <v>31365078</v>
      </c>
      <c r="L707" s="2" t="s">
        <v>877</v>
      </c>
      <c r="M707" s="2" t="s">
        <v>878</v>
      </c>
      <c r="N707" s="6">
        <v>44705.456956018519</v>
      </c>
      <c r="O707" s="4">
        <v>2514103.2000000002</v>
      </c>
      <c r="P707" s="2">
        <v>114725</v>
      </c>
      <c r="Q707" s="2" t="s">
        <v>879</v>
      </c>
      <c r="R707" s="2" t="s">
        <v>880</v>
      </c>
      <c r="S707" s="2" t="s">
        <v>56</v>
      </c>
      <c r="T707" s="2" t="s">
        <v>96</v>
      </c>
      <c r="U707" s="2" t="s">
        <v>97</v>
      </c>
      <c r="W707" s="4">
        <v>640</v>
      </c>
      <c r="X707" s="4">
        <v>768</v>
      </c>
      <c r="Y707" s="4">
        <f t="shared" ref="Y707" si="786">INDEX(InternalRates,MATCH($S707,InternalRates01,FALSE),2)</f>
        <v>278.98333333333335</v>
      </c>
      <c r="Z707" s="3" t="str">
        <f t="shared" si="747"/>
        <v>Nie</v>
      </c>
      <c r="AA707" s="3" t="str">
        <f t="shared" si="748"/>
        <v>SLA</v>
      </c>
      <c r="AB707" s="4">
        <v>7.25</v>
      </c>
      <c r="AC707" s="4">
        <v>12</v>
      </c>
      <c r="AD707" s="3" t="s">
        <v>48</v>
      </c>
      <c r="AE707" s="6">
        <v>44988</v>
      </c>
      <c r="AF707" s="3" t="s">
        <v>59</v>
      </c>
      <c r="AG707" s="3" t="s">
        <v>48</v>
      </c>
      <c r="AH707" s="3">
        <f>YEAR(SrcDB[[#This Row],[Datum_zverejnenia]])</f>
        <v>2022</v>
      </c>
      <c r="AI707" s="3" cm="1">
        <f t="array" ref="AI707">COUNT(_xlfn.UNIQUE(_xlfn._xlws.FILTER(SrcDB[ID],SrcDB[Objednavatel_ICO]=$H707)))</f>
        <v>1</v>
      </c>
      <c r="AJ707" s="3" cm="1">
        <f t="array" ref="AJ707">COUNT(_xlfn.UNIQUE(_xlfn._xlws.FILTER(SrcDB[ID],SrcDB[Dodavatel_ICO]=$K707)))</f>
        <v>2</v>
      </c>
      <c r="AK707" s="3">
        <f t="shared" si="717"/>
        <v>0</v>
      </c>
      <c r="AL707" s="3">
        <f t="shared" si="718"/>
        <v>0</v>
      </c>
      <c r="AM707" s="17" t="str">
        <f>IF(SrcDB[[#This Row],[Pocet zmluv objednavatela]]&gt;3,SrcDB[[#This Row],[Objednavatel]],"Ostatné")</f>
        <v>Ostatné</v>
      </c>
      <c r="AN707" s="17" t="str">
        <f>IF(SrcDB[[#This Row],[Pocet zmluv dodavatela]]&gt;3,SrcDB[[#This Row],[Dodavatel]],"Ostatné")</f>
        <v>Ostatné</v>
      </c>
    </row>
    <row r="708" spans="1:40" x14ac:dyDescent="0.3">
      <c r="A708" s="2" t="s">
        <v>874</v>
      </c>
      <c r="B708" s="2">
        <v>6483526</v>
      </c>
      <c r="C708" s="3" t="str">
        <f t="shared" si="782"/>
        <v>Nejasné</v>
      </c>
      <c r="D708" s="3" t="str">
        <f t="shared" si="783"/>
        <v>Nejasné</v>
      </c>
      <c r="E708" s="3" t="s">
        <v>48</v>
      </c>
      <c r="F708" s="3" t="s">
        <v>49</v>
      </c>
      <c r="G708" s="2" t="str">
        <f t="shared" si="784"/>
        <v>Stredné zmluvy</v>
      </c>
      <c r="H708" s="5">
        <v>45736359</v>
      </c>
      <c r="I708" s="2" t="s">
        <v>875</v>
      </c>
      <c r="J708" s="2" t="s">
        <v>876</v>
      </c>
      <c r="K708" s="5">
        <v>31365078</v>
      </c>
      <c r="L708" s="2" t="s">
        <v>877</v>
      </c>
      <c r="M708" s="2" t="s">
        <v>878</v>
      </c>
      <c r="N708" s="6">
        <v>44705.456956018519</v>
      </c>
      <c r="O708" s="4">
        <v>2514103.2000000002</v>
      </c>
      <c r="P708" s="2">
        <v>114725</v>
      </c>
      <c r="Q708" s="2" t="s">
        <v>879</v>
      </c>
      <c r="R708" s="2" t="s">
        <v>880</v>
      </c>
      <c r="S708" s="2" t="s">
        <v>77</v>
      </c>
      <c r="W708" s="4">
        <v>576</v>
      </c>
      <c r="X708" s="4">
        <v>691.19999999999993</v>
      </c>
      <c r="Y708" s="4">
        <f t="shared" ref="Y708" si="787">INDEX(InternalRates,MATCH($S708,InternalRates01,FALSE),2)</f>
        <v>278.98333333333335</v>
      </c>
      <c r="Z708" s="3" t="str">
        <f t="shared" si="747"/>
        <v>Nie</v>
      </c>
      <c r="AA708" s="3" t="str">
        <f t="shared" si="748"/>
        <v>SLA</v>
      </c>
      <c r="AB708" s="4">
        <v>16.25</v>
      </c>
      <c r="AC708" s="4">
        <v>26.896551724137929</v>
      </c>
      <c r="AD708" s="3" t="s">
        <v>48</v>
      </c>
      <c r="AE708" s="6">
        <v>44988</v>
      </c>
      <c r="AF708" s="3" t="s">
        <v>59</v>
      </c>
      <c r="AG708" s="3" t="s">
        <v>48</v>
      </c>
      <c r="AH708" s="3">
        <f>YEAR(SrcDB[[#This Row],[Datum_zverejnenia]])</f>
        <v>2022</v>
      </c>
      <c r="AI708" s="3" cm="1">
        <f t="array" ref="AI708">COUNT(_xlfn.UNIQUE(_xlfn._xlws.FILTER(SrcDB[ID],SrcDB[Objednavatel_ICO]=$H708)))</f>
        <v>1</v>
      </c>
      <c r="AJ708" s="3" cm="1">
        <f t="array" ref="AJ708">COUNT(_xlfn.UNIQUE(_xlfn._xlws.FILTER(SrcDB[ID],SrcDB[Dodavatel_ICO]=$K708)))</f>
        <v>2</v>
      </c>
      <c r="AK708" s="3">
        <f t="shared" ref="AK708:AK771" si="788">IF($H707&lt;&gt;$H708,1,IF($B707&lt;&gt;$B708,1,0))</f>
        <v>0</v>
      </c>
      <c r="AL708" s="3">
        <f t="shared" ref="AL708:AL771" si="789">IF($K707&lt;&gt;$K708,1,IF($B707&lt;&gt;$B708,1,0))</f>
        <v>0</v>
      </c>
      <c r="AM708" s="17" t="str">
        <f>IF(SrcDB[[#This Row],[Pocet zmluv objednavatela]]&gt;3,SrcDB[[#This Row],[Objednavatel]],"Ostatné")</f>
        <v>Ostatné</v>
      </c>
      <c r="AN708" s="17" t="str">
        <f>IF(SrcDB[[#This Row],[Pocet zmluv dodavatela]]&gt;3,SrcDB[[#This Row],[Dodavatel]],"Ostatné")</f>
        <v>Ostatné</v>
      </c>
    </row>
    <row r="709" spans="1:40" x14ac:dyDescent="0.3">
      <c r="A709" s="2" t="s">
        <v>874</v>
      </c>
      <c r="B709" s="2">
        <v>6483526</v>
      </c>
      <c r="C709" s="3" t="str">
        <f t="shared" si="782"/>
        <v>Nejasné</v>
      </c>
      <c r="D709" s="3" t="str">
        <f t="shared" si="783"/>
        <v>Nejasné</v>
      </c>
      <c r="E709" s="3" t="s">
        <v>48</v>
      </c>
      <c r="F709" s="3" t="s">
        <v>49</v>
      </c>
      <c r="G709" s="2" t="str">
        <f t="shared" si="784"/>
        <v>Stredné zmluvy</v>
      </c>
      <c r="H709" s="5">
        <v>45736359</v>
      </c>
      <c r="I709" s="2" t="s">
        <v>875</v>
      </c>
      <c r="J709" s="2" t="s">
        <v>876</v>
      </c>
      <c r="K709" s="5">
        <v>31365078</v>
      </c>
      <c r="L709" s="2" t="s">
        <v>877</v>
      </c>
      <c r="M709" s="2" t="s">
        <v>878</v>
      </c>
      <c r="N709" s="6">
        <v>44705.456956018519</v>
      </c>
      <c r="O709" s="4">
        <v>2514103.2000000002</v>
      </c>
      <c r="P709" s="2">
        <v>114725</v>
      </c>
      <c r="Q709" s="2" t="s">
        <v>879</v>
      </c>
      <c r="R709" s="2" t="s">
        <v>880</v>
      </c>
      <c r="S709" s="2" t="s">
        <v>69</v>
      </c>
      <c r="T709" s="2" t="s">
        <v>70</v>
      </c>
      <c r="W709" s="4">
        <v>720</v>
      </c>
      <c r="X709" s="4">
        <v>864</v>
      </c>
      <c r="Y709" s="4">
        <f t="shared" ref="Y709" si="790">INDEX(InternalRates,MATCH($S709,InternalRates01,FALSE),2)</f>
        <v>278.98333333333335</v>
      </c>
      <c r="Z709" s="3" t="str">
        <f t="shared" si="747"/>
        <v>Nie</v>
      </c>
      <c r="AA709" s="3" t="str">
        <f t="shared" si="748"/>
        <v>SLA</v>
      </c>
      <c r="AD709" s="3" t="s">
        <v>48</v>
      </c>
      <c r="AE709" s="6">
        <v>44988</v>
      </c>
      <c r="AF709" s="3" t="s">
        <v>59</v>
      </c>
      <c r="AG709" s="3" t="s">
        <v>48</v>
      </c>
      <c r="AH709" s="3">
        <f>YEAR(SrcDB[[#This Row],[Datum_zverejnenia]])</f>
        <v>2022</v>
      </c>
      <c r="AI709" s="3" cm="1">
        <f t="array" ref="AI709">COUNT(_xlfn.UNIQUE(_xlfn._xlws.FILTER(SrcDB[ID],SrcDB[Objednavatel_ICO]=$H709)))</f>
        <v>1</v>
      </c>
      <c r="AJ709" s="3" cm="1">
        <f t="array" ref="AJ709">COUNT(_xlfn.UNIQUE(_xlfn._xlws.FILTER(SrcDB[ID],SrcDB[Dodavatel_ICO]=$K709)))</f>
        <v>2</v>
      </c>
      <c r="AK709" s="3">
        <f t="shared" si="788"/>
        <v>0</v>
      </c>
      <c r="AL709" s="3">
        <f t="shared" si="789"/>
        <v>0</v>
      </c>
      <c r="AM709" s="17" t="str">
        <f>IF(SrcDB[[#This Row],[Pocet zmluv objednavatela]]&gt;3,SrcDB[[#This Row],[Objednavatel]],"Ostatné")</f>
        <v>Ostatné</v>
      </c>
      <c r="AN709" s="17" t="str">
        <f>IF(SrcDB[[#This Row],[Pocet zmluv dodavatela]]&gt;3,SrcDB[[#This Row],[Dodavatel]],"Ostatné")</f>
        <v>Ostatné</v>
      </c>
    </row>
    <row r="710" spans="1:40" x14ac:dyDescent="0.3">
      <c r="A710" s="2" t="s">
        <v>874</v>
      </c>
      <c r="B710" s="2">
        <v>6483526</v>
      </c>
      <c r="C710" s="3" t="str">
        <f t="shared" si="782"/>
        <v>Nejasné</v>
      </c>
      <c r="D710" s="3" t="str">
        <f t="shared" si="783"/>
        <v>Nejasné</v>
      </c>
      <c r="E710" s="3" t="s">
        <v>48</v>
      </c>
      <c r="F710" s="3" t="s">
        <v>49</v>
      </c>
      <c r="G710" s="2" t="str">
        <f t="shared" si="784"/>
        <v>Stredné zmluvy</v>
      </c>
      <c r="H710" s="5">
        <v>45736359</v>
      </c>
      <c r="I710" s="2" t="s">
        <v>875</v>
      </c>
      <c r="J710" s="2" t="s">
        <v>876</v>
      </c>
      <c r="K710" s="5">
        <v>31365078</v>
      </c>
      <c r="L710" s="2" t="s">
        <v>877</v>
      </c>
      <c r="M710" s="2" t="s">
        <v>878</v>
      </c>
      <c r="N710" s="6">
        <v>44705.456956018519</v>
      </c>
      <c r="O710" s="4">
        <v>2514103.2000000002</v>
      </c>
      <c r="P710" s="2">
        <v>114725</v>
      </c>
      <c r="Q710" s="2" t="s">
        <v>879</v>
      </c>
      <c r="R710" s="2" t="s">
        <v>880</v>
      </c>
      <c r="S710" s="2" t="s">
        <v>56</v>
      </c>
      <c r="T710" s="2" t="s">
        <v>522</v>
      </c>
      <c r="U710" s="2" t="s">
        <v>289</v>
      </c>
      <c r="W710" s="4">
        <v>640</v>
      </c>
      <c r="X710" s="4">
        <v>768</v>
      </c>
      <c r="Y710" s="4">
        <f t="shared" ref="Y710" si="791">INDEX(InternalRates,MATCH($S710,InternalRates01,FALSE),2)</f>
        <v>278.98333333333335</v>
      </c>
      <c r="Z710" s="3" t="str">
        <f t="shared" si="747"/>
        <v>Nie</v>
      </c>
      <c r="AA710" s="3" t="str">
        <f t="shared" si="748"/>
        <v>SLA</v>
      </c>
      <c r="AB710" s="4">
        <v>2.5</v>
      </c>
      <c r="AC710" s="4">
        <v>4.1379310344827589</v>
      </c>
      <c r="AD710" s="3" t="s">
        <v>48</v>
      </c>
      <c r="AE710" s="6">
        <v>44988</v>
      </c>
      <c r="AF710" s="3" t="s">
        <v>59</v>
      </c>
      <c r="AG710" s="3" t="s">
        <v>48</v>
      </c>
      <c r="AH710" s="3">
        <f>YEAR(SrcDB[[#This Row],[Datum_zverejnenia]])</f>
        <v>2022</v>
      </c>
      <c r="AI710" s="3" cm="1">
        <f t="array" ref="AI710">COUNT(_xlfn.UNIQUE(_xlfn._xlws.FILTER(SrcDB[ID],SrcDB[Objednavatel_ICO]=$H710)))</f>
        <v>1</v>
      </c>
      <c r="AJ710" s="3" cm="1">
        <f t="array" ref="AJ710">COUNT(_xlfn.UNIQUE(_xlfn._xlws.FILTER(SrcDB[ID],SrcDB[Dodavatel_ICO]=$K710)))</f>
        <v>2</v>
      </c>
      <c r="AK710" s="3">
        <f t="shared" si="788"/>
        <v>0</v>
      </c>
      <c r="AL710" s="3">
        <f t="shared" si="789"/>
        <v>0</v>
      </c>
      <c r="AM710" s="17" t="str">
        <f>IF(SrcDB[[#This Row],[Pocet zmluv objednavatela]]&gt;3,SrcDB[[#This Row],[Objednavatel]],"Ostatné")</f>
        <v>Ostatné</v>
      </c>
      <c r="AN710" s="17" t="str">
        <f>IF(SrcDB[[#This Row],[Pocet zmluv dodavatela]]&gt;3,SrcDB[[#This Row],[Dodavatel]],"Ostatné")</f>
        <v>Ostatné</v>
      </c>
    </row>
    <row r="711" spans="1:40" x14ac:dyDescent="0.3">
      <c r="A711" s="2" t="s">
        <v>874</v>
      </c>
      <c r="B711" s="2">
        <v>6483526</v>
      </c>
      <c r="C711" s="3" t="str">
        <f t="shared" si="782"/>
        <v>Nejasné</v>
      </c>
      <c r="D711" s="3" t="str">
        <f t="shared" si="783"/>
        <v>Nejasné</v>
      </c>
      <c r="E711" s="3" t="s">
        <v>48</v>
      </c>
      <c r="F711" s="3" t="s">
        <v>49</v>
      </c>
      <c r="G711" s="2" t="str">
        <f t="shared" si="784"/>
        <v>Stredné zmluvy</v>
      </c>
      <c r="H711" s="5">
        <v>45736359</v>
      </c>
      <c r="I711" s="2" t="s">
        <v>875</v>
      </c>
      <c r="J711" s="2" t="s">
        <v>876</v>
      </c>
      <c r="K711" s="5">
        <v>31365078</v>
      </c>
      <c r="L711" s="2" t="s">
        <v>877</v>
      </c>
      <c r="M711" s="2" t="s">
        <v>878</v>
      </c>
      <c r="N711" s="6">
        <v>44705.456956018519</v>
      </c>
      <c r="O711" s="4">
        <v>2514103.2000000002</v>
      </c>
      <c r="P711" s="2">
        <v>114725</v>
      </c>
      <c r="Q711" s="2" t="s">
        <v>879</v>
      </c>
      <c r="R711" s="2" t="s">
        <v>880</v>
      </c>
      <c r="S711" s="2" t="s">
        <v>79</v>
      </c>
      <c r="W711" s="4">
        <v>528</v>
      </c>
      <c r="X711" s="4">
        <v>633.6</v>
      </c>
      <c r="Y711" s="4">
        <f t="shared" ref="Y711" si="792">INDEX(InternalRates,MATCH($S711,InternalRates01,FALSE),2)</f>
        <v>278.98333333333335</v>
      </c>
      <c r="Z711" s="3" t="str">
        <f t="shared" si="747"/>
        <v>Nie</v>
      </c>
      <c r="AA711" s="3" t="str">
        <f t="shared" si="748"/>
        <v>SLA</v>
      </c>
      <c r="AB711" s="4">
        <v>6</v>
      </c>
      <c r="AC711" s="4">
        <v>9.931034482758621</v>
      </c>
      <c r="AD711" s="3" t="s">
        <v>48</v>
      </c>
      <c r="AE711" s="6">
        <v>44988</v>
      </c>
      <c r="AF711" s="3" t="s">
        <v>59</v>
      </c>
      <c r="AG711" s="3" t="s">
        <v>48</v>
      </c>
      <c r="AH711" s="3">
        <f>YEAR(SrcDB[[#This Row],[Datum_zverejnenia]])</f>
        <v>2022</v>
      </c>
      <c r="AI711" s="3" cm="1">
        <f t="array" ref="AI711">COUNT(_xlfn.UNIQUE(_xlfn._xlws.FILTER(SrcDB[ID],SrcDB[Objednavatel_ICO]=$H711)))</f>
        <v>1</v>
      </c>
      <c r="AJ711" s="3" cm="1">
        <f t="array" ref="AJ711">COUNT(_xlfn.UNIQUE(_xlfn._xlws.FILTER(SrcDB[ID],SrcDB[Dodavatel_ICO]=$K711)))</f>
        <v>2</v>
      </c>
      <c r="AK711" s="3">
        <f t="shared" si="788"/>
        <v>0</v>
      </c>
      <c r="AL711" s="3">
        <f t="shared" si="789"/>
        <v>0</v>
      </c>
      <c r="AM711" s="17" t="str">
        <f>IF(SrcDB[[#This Row],[Pocet zmluv objednavatela]]&gt;3,SrcDB[[#This Row],[Objednavatel]],"Ostatné")</f>
        <v>Ostatné</v>
      </c>
      <c r="AN711" s="17" t="str">
        <f>IF(SrcDB[[#This Row],[Pocet zmluv dodavatela]]&gt;3,SrcDB[[#This Row],[Dodavatel]],"Ostatné")</f>
        <v>Ostatné</v>
      </c>
    </row>
    <row r="712" spans="1:40" x14ac:dyDescent="0.3">
      <c r="A712" s="2" t="s">
        <v>874</v>
      </c>
      <c r="B712" s="2">
        <v>6483526</v>
      </c>
      <c r="C712" s="3" t="str">
        <f t="shared" si="782"/>
        <v>Nejasné</v>
      </c>
      <c r="D712" s="3" t="str">
        <f t="shared" si="783"/>
        <v>Nejasné</v>
      </c>
      <c r="E712" s="3" t="s">
        <v>48</v>
      </c>
      <c r="F712" s="3" t="s">
        <v>49</v>
      </c>
      <c r="G712" s="2" t="str">
        <f t="shared" si="784"/>
        <v>Stredné zmluvy</v>
      </c>
      <c r="H712" s="5">
        <v>45736359</v>
      </c>
      <c r="I712" s="2" t="s">
        <v>875</v>
      </c>
      <c r="J712" s="2" t="s">
        <v>876</v>
      </c>
      <c r="K712" s="5">
        <v>31365078</v>
      </c>
      <c r="L712" s="2" t="s">
        <v>877</v>
      </c>
      <c r="M712" s="2" t="s">
        <v>878</v>
      </c>
      <c r="N712" s="6">
        <v>44705.456956018519</v>
      </c>
      <c r="O712" s="4">
        <v>2514103.2000000002</v>
      </c>
      <c r="P712" s="2">
        <v>114725</v>
      </c>
      <c r="Q712" s="2" t="s">
        <v>879</v>
      </c>
      <c r="R712" s="2" t="s">
        <v>880</v>
      </c>
      <c r="S712" s="2" t="s">
        <v>98</v>
      </c>
      <c r="W712" s="4">
        <v>640</v>
      </c>
      <c r="X712" s="4">
        <v>768</v>
      </c>
      <c r="Y712" s="4">
        <f t="shared" ref="Y712" si="793">INDEX(InternalRates,MATCH($S712,InternalRates01,FALSE),2)</f>
        <v>278.98333333333335</v>
      </c>
      <c r="Z712" s="3" t="str">
        <f t="shared" si="747"/>
        <v>Nie</v>
      </c>
      <c r="AA712" s="3" t="str">
        <f t="shared" si="748"/>
        <v>SLA</v>
      </c>
      <c r="AB712" s="4">
        <v>1</v>
      </c>
      <c r="AC712" s="4">
        <v>1.6551724137931034</v>
      </c>
      <c r="AD712" s="3" t="s">
        <v>48</v>
      </c>
      <c r="AE712" s="6">
        <v>44988</v>
      </c>
      <c r="AF712" s="3" t="s">
        <v>59</v>
      </c>
      <c r="AG712" s="3" t="s">
        <v>48</v>
      </c>
      <c r="AH712" s="3">
        <f>YEAR(SrcDB[[#This Row],[Datum_zverejnenia]])</f>
        <v>2022</v>
      </c>
      <c r="AI712" s="3" cm="1">
        <f t="array" ref="AI712">COUNT(_xlfn.UNIQUE(_xlfn._xlws.FILTER(SrcDB[ID],SrcDB[Objednavatel_ICO]=$H712)))</f>
        <v>1</v>
      </c>
      <c r="AJ712" s="3" cm="1">
        <f t="array" ref="AJ712">COUNT(_xlfn.UNIQUE(_xlfn._xlws.FILTER(SrcDB[ID],SrcDB[Dodavatel_ICO]=$K712)))</f>
        <v>2</v>
      </c>
      <c r="AK712" s="3">
        <f t="shared" si="788"/>
        <v>0</v>
      </c>
      <c r="AL712" s="3">
        <f t="shared" si="789"/>
        <v>0</v>
      </c>
      <c r="AM712" s="17" t="str">
        <f>IF(SrcDB[[#This Row],[Pocet zmluv objednavatela]]&gt;3,SrcDB[[#This Row],[Objednavatel]],"Ostatné")</f>
        <v>Ostatné</v>
      </c>
      <c r="AN712" s="17" t="str">
        <f>IF(SrcDB[[#This Row],[Pocet zmluv dodavatela]]&gt;3,SrcDB[[#This Row],[Dodavatel]],"Ostatné")</f>
        <v>Ostatné</v>
      </c>
    </row>
    <row r="713" spans="1:40" x14ac:dyDescent="0.3">
      <c r="A713" s="2" t="s">
        <v>863</v>
      </c>
      <c r="B713" s="2">
        <v>6502691</v>
      </c>
      <c r="C713" s="3" t="str">
        <f t="shared" si="782"/>
        <v>Nie</v>
      </c>
      <c r="D713" s="3" t="str">
        <f t="shared" si="783"/>
        <v>Áno</v>
      </c>
      <c r="E713" s="3" t="s">
        <v>48</v>
      </c>
      <c r="F713" s="3" t="s">
        <v>49</v>
      </c>
      <c r="G713" s="2" t="str">
        <f t="shared" si="784"/>
        <v>Malé zmluvy</v>
      </c>
      <c r="H713" s="5">
        <v>30844185</v>
      </c>
      <c r="I713" s="2" t="s">
        <v>881</v>
      </c>
      <c r="J713" s="2" t="s">
        <v>882</v>
      </c>
      <c r="K713" s="5">
        <v>35849428</v>
      </c>
      <c r="L713" s="2" t="s">
        <v>883</v>
      </c>
      <c r="M713" s="2" t="s">
        <v>884</v>
      </c>
      <c r="N713" s="6">
        <v>44708.543275462966</v>
      </c>
      <c r="O713" s="4">
        <v>196200</v>
      </c>
      <c r="P713" s="2">
        <v>114501</v>
      </c>
      <c r="Q713" s="2" t="s">
        <v>885</v>
      </c>
      <c r="R713" s="2" t="s">
        <v>886</v>
      </c>
      <c r="S713" s="2" t="s">
        <v>183</v>
      </c>
      <c r="T713" s="2" t="s">
        <v>183</v>
      </c>
      <c r="W713" s="4">
        <v>285</v>
      </c>
      <c r="X713" s="4">
        <v>342</v>
      </c>
      <c r="Y713" s="4">
        <f t="shared" ref="Y713" si="794">INDEX(InternalRates,MATCH($S713,InternalRates01,FALSE),2)</f>
        <v>278.98333333333335</v>
      </c>
      <c r="Z713" s="3" t="str">
        <f t="shared" si="747"/>
        <v>Nie</v>
      </c>
      <c r="AA713" s="3" t="str">
        <f t="shared" si="748"/>
        <v>SLA</v>
      </c>
      <c r="AB713" s="4">
        <v>240</v>
      </c>
      <c r="AC713" s="4">
        <v>80</v>
      </c>
      <c r="AD713" s="3" t="s">
        <v>48</v>
      </c>
      <c r="AE713" s="6">
        <v>44990</v>
      </c>
      <c r="AF713" s="3" t="s">
        <v>59</v>
      </c>
      <c r="AG713" s="3" t="s">
        <v>48</v>
      </c>
      <c r="AH713" s="3">
        <f>YEAR(SrcDB[[#This Row],[Datum_zverejnenia]])</f>
        <v>2022</v>
      </c>
      <c r="AI713" s="3" cm="1">
        <f t="array" ref="AI713">COUNT(_xlfn.UNIQUE(_xlfn._xlws.FILTER(SrcDB[ID],SrcDB[Objednavatel_ICO]=$H713)))</f>
        <v>2</v>
      </c>
      <c r="AJ713" s="3" cm="1">
        <f t="array" ref="AJ713">COUNT(_xlfn.UNIQUE(_xlfn._xlws.FILTER(SrcDB[ID],SrcDB[Dodavatel_ICO]=$K713)))</f>
        <v>1</v>
      </c>
      <c r="AK713" s="3">
        <f t="shared" si="788"/>
        <v>1</v>
      </c>
      <c r="AL713" s="3">
        <f t="shared" si="789"/>
        <v>1</v>
      </c>
      <c r="AM713" s="17" t="str">
        <f>IF(SrcDB[[#This Row],[Pocet zmluv objednavatela]]&gt;3,SrcDB[[#This Row],[Objednavatel]],"Ostatné")</f>
        <v>Ostatné</v>
      </c>
      <c r="AN713" s="17" t="str">
        <f>IF(SrcDB[[#This Row],[Pocet zmluv dodavatela]]&gt;3,SrcDB[[#This Row],[Dodavatel]],"Ostatné")</f>
        <v>Ostatné</v>
      </c>
    </row>
    <row r="714" spans="1:40" x14ac:dyDescent="0.3">
      <c r="A714" s="2" t="s">
        <v>887</v>
      </c>
      <c r="B714" s="2">
        <v>6515273</v>
      </c>
      <c r="C714" s="3" t="str">
        <f t="shared" si="782"/>
        <v>Nejasné</v>
      </c>
      <c r="D714" s="3" t="str">
        <f t="shared" si="783"/>
        <v>Nejasné</v>
      </c>
      <c r="E714" s="3" t="s">
        <v>48</v>
      </c>
      <c r="F714" s="3" t="s">
        <v>49</v>
      </c>
      <c r="G714" s="2" t="str">
        <f t="shared" si="784"/>
        <v>Malé zmluvy</v>
      </c>
      <c r="H714" s="5">
        <v>42499500</v>
      </c>
      <c r="I714" s="2" t="s">
        <v>464</v>
      </c>
      <c r="J714" s="2" t="s">
        <v>465</v>
      </c>
      <c r="K714" s="5">
        <v>35760419</v>
      </c>
      <c r="L714" s="2" t="s">
        <v>85</v>
      </c>
      <c r="M714" s="2" t="s">
        <v>696</v>
      </c>
      <c r="N714" s="6">
        <v>44712.567245370374</v>
      </c>
      <c r="O714" s="4">
        <v>131432.88</v>
      </c>
      <c r="P714" s="2">
        <v>114725</v>
      </c>
      <c r="Q714" s="2" t="s">
        <v>888</v>
      </c>
      <c r="R714" s="2" t="s">
        <v>889</v>
      </c>
      <c r="S714" s="2" t="s">
        <v>183</v>
      </c>
      <c r="T714" s="2" t="s">
        <v>183</v>
      </c>
      <c r="W714" s="4">
        <v>606.79999999999995</v>
      </c>
      <c r="X714" s="4">
        <v>728.16</v>
      </c>
      <c r="Y714" s="4">
        <f t="shared" ref="Y714" si="795">INDEX(InternalRates,MATCH($S714,InternalRates01,FALSE),2)</f>
        <v>278.98333333333335</v>
      </c>
      <c r="Z714" s="3" t="str">
        <f t="shared" si="747"/>
        <v>Nie</v>
      </c>
      <c r="AA714" s="3" t="str">
        <f t="shared" si="748"/>
        <v>SLA</v>
      </c>
      <c r="AB714" s="4">
        <v>180.5</v>
      </c>
      <c r="AC714" s="4">
        <v>55.386301372897876</v>
      </c>
      <c r="AD714" s="3" t="s">
        <v>48</v>
      </c>
      <c r="AE714" s="6">
        <v>44990</v>
      </c>
      <c r="AF714" s="3" t="s">
        <v>59</v>
      </c>
      <c r="AG714" s="3" t="s">
        <v>60</v>
      </c>
      <c r="AH714" s="3">
        <f>YEAR(SrcDB[[#This Row],[Datum_zverejnenia]])</f>
        <v>2022</v>
      </c>
      <c r="AI714" s="3" cm="1">
        <f t="array" ref="AI714">COUNT(_xlfn.UNIQUE(_xlfn._xlws.FILTER(SrcDB[ID],SrcDB[Objednavatel_ICO]=$H714)))</f>
        <v>25</v>
      </c>
      <c r="AJ714" s="3" cm="1">
        <f t="array" ref="AJ714">COUNT(_xlfn.UNIQUE(_xlfn._xlws.FILTER(SrcDB[ID],SrcDB[Dodavatel_ICO]=$K714)))</f>
        <v>34</v>
      </c>
      <c r="AK714" s="3">
        <f t="shared" si="788"/>
        <v>1</v>
      </c>
      <c r="AL714" s="3">
        <f t="shared" si="789"/>
        <v>1</v>
      </c>
      <c r="AM714" s="17" t="str">
        <f>IF(SrcDB[[#This Row],[Pocet zmluv objednavatela]]&gt;3,SrcDB[[#This Row],[Objednavatel]],"Ostatné")</f>
        <v>Finančné riaditeľstvo SR</v>
      </c>
      <c r="AN714" s="17" t="str">
        <f>IF(SrcDB[[#This Row],[Pocet zmluv dodavatela]]&gt;3,SrcDB[[#This Row],[Dodavatel]],"Ostatné")</f>
        <v>Asseco Central Europe, a.s.</v>
      </c>
    </row>
    <row r="715" spans="1:40" x14ac:dyDescent="0.3">
      <c r="A715" s="2" t="s">
        <v>890</v>
      </c>
      <c r="B715" s="2">
        <v>6606596</v>
      </c>
      <c r="C715" s="3" t="str">
        <f t="shared" si="782"/>
        <v>Nie</v>
      </c>
      <c r="D715" s="3" t="str">
        <f t="shared" si="783"/>
        <v>Áno</v>
      </c>
      <c r="E715" s="3" t="s">
        <v>48</v>
      </c>
      <c r="F715" s="3" t="s">
        <v>49</v>
      </c>
      <c r="G715" s="2" t="str">
        <f t="shared" si="784"/>
        <v>Malé zmluvy</v>
      </c>
      <c r="H715" s="5" t="s">
        <v>452</v>
      </c>
      <c r="I715" s="2" t="s">
        <v>891</v>
      </c>
      <c r="J715" s="2" t="s">
        <v>892</v>
      </c>
      <c r="K715" s="5">
        <v>35810734</v>
      </c>
      <c r="L715" s="2" t="s">
        <v>257</v>
      </c>
      <c r="M715" s="2" t="s">
        <v>893</v>
      </c>
      <c r="N715" s="6">
        <v>44735.324699074074</v>
      </c>
      <c r="O715" s="4">
        <v>618936</v>
      </c>
      <c r="P715" s="2">
        <v>356772</v>
      </c>
      <c r="Q715" s="2" t="s">
        <v>894</v>
      </c>
      <c r="R715" s="2" t="s">
        <v>895</v>
      </c>
      <c r="S715" s="2" t="s">
        <v>69</v>
      </c>
      <c r="T715" s="2" t="s">
        <v>70</v>
      </c>
      <c r="W715" s="4">
        <v>736</v>
      </c>
      <c r="X715" s="4">
        <v>883.19999999999993</v>
      </c>
      <c r="Y715" s="4">
        <f t="shared" ref="Y715" si="796">INDEX(InternalRates,MATCH($S715,InternalRates01,FALSE),2)</f>
        <v>278.98333333333335</v>
      </c>
      <c r="Z715" s="3" t="str">
        <f t="shared" si="747"/>
        <v>Nie</v>
      </c>
      <c r="AA715" s="3" t="str">
        <f t="shared" si="748"/>
        <v>SLA</v>
      </c>
      <c r="AB715" s="4">
        <v>785</v>
      </c>
      <c r="AC715" s="4">
        <v>379.00132273055556</v>
      </c>
      <c r="AD715" s="3" t="s">
        <v>48</v>
      </c>
      <c r="AE715" s="6">
        <v>44991</v>
      </c>
      <c r="AF715" s="3" t="s">
        <v>59</v>
      </c>
      <c r="AG715" s="3" t="s">
        <v>60</v>
      </c>
      <c r="AH715" s="3">
        <f>YEAR(SrcDB[[#This Row],[Datum_zverejnenia]])</f>
        <v>2022</v>
      </c>
      <c r="AI715" s="3" cm="1">
        <f t="array" ref="AI715">COUNT(_xlfn.UNIQUE(_xlfn._xlws.FILTER(SrcDB[ID],SrcDB[Objednavatel_ICO]=$H715)))</f>
        <v>2</v>
      </c>
      <c r="AJ715" s="3" cm="1">
        <f t="array" ref="AJ715">COUNT(_xlfn.UNIQUE(_xlfn._xlws.FILTER(SrcDB[ID],SrcDB[Dodavatel_ICO]=$K715)))</f>
        <v>10</v>
      </c>
      <c r="AK715" s="3">
        <f t="shared" si="788"/>
        <v>1</v>
      </c>
      <c r="AL715" s="3">
        <f t="shared" si="789"/>
        <v>1</v>
      </c>
      <c r="AM715" s="17" t="str">
        <f>IF(SrcDB[[#This Row],[Pocet zmluv objednavatela]]&gt;3,SrcDB[[#This Row],[Objednavatel]],"Ostatné")</f>
        <v>Ostatné</v>
      </c>
      <c r="AN715" s="17" t="str">
        <f>IF(SrcDB[[#This Row],[Pocet zmluv dodavatela]]&gt;3,SrcDB[[#This Row],[Dodavatel]],"Ostatné")</f>
        <v>DATALAN, a.s.</v>
      </c>
    </row>
    <row r="716" spans="1:40" x14ac:dyDescent="0.3">
      <c r="A716" s="2" t="s">
        <v>890</v>
      </c>
      <c r="B716" s="2">
        <v>6606596</v>
      </c>
      <c r="C716" s="3" t="str">
        <f t="shared" si="782"/>
        <v>Nie</v>
      </c>
      <c r="D716" s="3" t="str">
        <f t="shared" si="783"/>
        <v>Áno</v>
      </c>
      <c r="E716" s="3" t="s">
        <v>48</v>
      </c>
      <c r="F716" s="3" t="s">
        <v>49</v>
      </c>
      <c r="G716" s="2" t="str">
        <f t="shared" si="784"/>
        <v>Malé zmluvy</v>
      </c>
      <c r="H716" s="5" t="s">
        <v>452</v>
      </c>
      <c r="I716" s="2" t="s">
        <v>891</v>
      </c>
      <c r="J716" s="2" t="s">
        <v>892</v>
      </c>
      <c r="K716" s="5">
        <v>35810734</v>
      </c>
      <c r="L716" s="2" t="s">
        <v>257</v>
      </c>
      <c r="M716" s="2" t="s">
        <v>893</v>
      </c>
      <c r="N716" s="6">
        <v>44735.324699074074</v>
      </c>
      <c r="O716" s="4">
        <v>618936</v>
      </c>
      <c r="P716" s="2">
        <v>356772</v>
      </c>
      <c r="Q716" s="2" t="s">
        <v>894</v>
      </c>
      <c r="R716" s="2" t="s">
        <v>895</v>
      </c>
      <c r="S716" s="2" t="s">
        <v>56</v>
      </c>
      <c r="T716" s="2" t="s">
        <v>286</v>
      </c>
      <c r="U716" s="2" t="s">
        <v>129</v>
      </c>
      <c r="W716" s="4">
        <v>704</v>
      </c>
      <c r="X716" s="4">
        <v>844.8</v>
      </c>
      <c r="Y716" s="4">
        <f t="shared" ref="Y716" si="797">INDEX(InternalRates,MATCH($S716,InternalRates01,FALSE),2)</f>
        <v>278.98333333333335</v>
      </c>
      <c r="Z716" s="3" t="str">
        <f t="shared" si="747"/>
        <v>Nie</v>
      </c>
      <c r="AA716" s="3" t="str">
        <f t="shared" si="748"/>
        <v>SLA</v>
      </c>
      <c r="AB716" s="4">
        <v>596</v>
      </c>
      <c r="AC716" s="4">
        <v>287.75132273555556</v>
      </c>
      <c r="AD716" s="3" t="s">
        <v>48</v>
      </c>
      <c r="AE716" s="6">
        <v>44991</v>
      </c>
      <c r="AF716" s="3" t="s">
        <v>59</v>
      </c>
      <c r="AG716" s="3" t="s">
        <v>60</v>
      </c>
      <c r="AH716" s="3">
        <f>YEAR(SrcDB[[#This Row],[Datum_zverejnenia]])</f>
        <v>2022</v>
      </c>
      <c r="AI716" s="3" cm="1">
        <f t="array" ref="AI716">COUNT(_xlfn.UNIQUE(_xlfn._xlws.FILTER(SrcDB[ID],SrcDB[Objednavatel_ICO]=$H716)))</f>
        <v>2</v>
      </c>
      <c r="AJ716" s="3" cm="1">
        <f t="array" ref="AJ716">COUNT(_xlfn.UNIQUE(_xlfn._xlws.FILTER(SrcDB[ID],SrcDB[Dodavatel_ICO]=$K716)))</f>
        <v>10</v>
      </c>
      <c r="AK716" s="3">
        <f t="shared" si="788"/>
        <v>0</v>
      </c>
      <c r="AL716" s="3">
        <f t="shared" si="789"/>
        <v>0</v>
      </c>
      <c r="AM716" s="17" t="str">
        <f>IF(SrcDB[[#This Row],[Pocet zmluv objednavatela]]&gt;3,SrcDB[[#This Row],[Objednavatel]],"Ostatné")</f>
        <v>Ostatné</v>
      </c>
      <c r="AN716" s="17" t="str">
        <f>IF(SrcDB[[#This Row],[Pocet zmluv dodavatela]]&gt;3,SrcDB[[#This Row],[Dodavatel]],"Ostatné")</f>
        <v>DATALAN, a.s.</v>
      </c>
    </row>
    <row r="717" spans="1:40" x14ac:dyDescent="0.3">
      <c r="A717" s="2" t="s">
        <v>890</v>
      </c>
      <c r="B717" s="2">
        <v>6606596</v>
      </c>
      <c r="C717" s="3" t="str">
        <f t="shared" si="782"/>
        <v>Nie</v>
      </c>
      <c r="D717" s="3" t="str">
        <f t="shared" si="783"/>
        <v>Áno</v>
      </c>
      <c r="E717" s="3" t="s">
        <v>48</v>
      </c>
      <c r="F717" s="3" t="s">
        <v>49</v>
      </c>
      <c r="G717" s="2" t="str">
        <f t="shared" si="784"/>
        <v>Malé zmluvy</v>
      </c>
      <c r="H717" s="5" t="s">
        <v>452</v>
      </c>
      <c r="I717" s="2" t="s">
        <v>891</v>
      </c>
      <c r="J717" s="2" t="s">
        <v>892</v>
      </c>
      <c r="K717" s="5">
        <v>35810734</v>
      </c>
      <c r="L717" s="2" t="s">
        <v>257</v>
      </c>
      <c r="M717" s="2" t="s">
        <v>893</v>
      </c>
      <c r="N717" s="6">
        <v>44735.324699074074</v>
      </c>
      <c r="O717" s="4">
        <v>618936</v>
      </c>
      <c r="P717" s="2">
        <v>356772</v>
      </c>
      <c r="Q717" s="2" t="s">
        <v>894</v>
      </c>
      <c r="R717" s="2" t="s">
        <v>895</v>
      </c>
      <c r="S717" s="2" t="s">
        <v>73</v>
      </c>
      <c r="W717" s="4">
        <v>576</v>
      </c>
      <c r="X717" s="4">
        <v>691.19999999999993</v>
      </c>
      <c r="Y717" s="4">
        <f t="shared" ref="Y717" si="798">INDEX(InternalRates,MATCH($S717,InternalRates01,FALSE),2)</f>
        <v>278.98333333333335</v>
      </c>
      <c r="Z717" s="3" t="str">
        <f t="shared" si="747"/>
        <v>Nie</v>
      </c>
      <c r="AA717" s="3" t="str">
        <f t="shared" si="748"/>
        <v>SLA</v>
      </c>
      <c r="AB717" s="4">
        <v>80</v>
      </c>
      <c r="AC717" s="4">
        <v>38.624338622222218</v>
      </c>
      <c r="AD717" s="3" t="s">
        <v>48</v>
      </c>
      <c r="AE717" s="6">
        <v>44991</v>
      </c>
      <c r="AF717" s="3" t="s">
        <v>59</v>
      </c>
      <c r="AG717" s="3" t="s">
        <v>60</v>
      </c>
      <c r="AH717" s="3">
        <f>YEAR(SrcDB[[#This Row],[Datum_zverejnenia]])</f>
        <v>2022</v>
      </c>
      <c r="AI717" s="3" cm="1">
        <f t="array" ref="AI717">COUNT(_xlfn.UNIQUE(_xlfn._xlws.FILTER(SrcDB[ID],SrcDB[Objednavatel_ICO]=$H717)))</f>
        <v>2</v>
      </c>
      <c r="AJ717" s="3" cm="1">
        <f t="array" ref="AJ717">COUNT(_xlfn.UNIQUE(_xlfn._xlws.FILTER(SrcDB[ID],SrcDB[Dodavatel_ICO]=$K717)))</f>
        <v>10</v>
      </c>
      <c r="AK717" s="3">
        <f t="shared" si="788"/>
        <v>0</v>
      </c>
      <c r="AL717" s="3">
        <f t="shared" si="789"/>
        <v>0</v>
      </c>
      <c r="AM717" s="17" t="str">
        <f>IF(SrcDB[[#This Row],[Pocet zmluv objednavatela]]&gt;3,SrcDB[[#This Row],[Objednavatel]],"Ostatné")</f>
        <v>Ostatné</v>
      </c>
      <c r="AN717" s="17" t="str">
        <f>IF(SrcDB[[#This Row],[Pocet zmluv dodavatela]]&gt;3,SrcDB[[#This Row],[Dodavatel]],"Ostatné")</f>
        <v>DATALAN, a.s.</v>
      </c>
    </row>
    <row r="718" spans="1:40" x14ac:dyDescent="0.3">
      <c r="A718" s="2" t="s">
        <v>890</v>
      </c>
      <c r="B718" s="2">
        <v>6606596</v>
      </c>
      <c r="C718" s="3" t="str">
        <f t="shared" si="782"/>
        <v>Nie</v>
      </c>
      <c r="D718" s="3" t="str">
        <f t="shared" si="783"/>
        <v>Áno</v>
      </c>
      <c r="E718" s="3" t="s">
        <v>48</v>
      </c>
      <c r="F718" s="3" t="s">
        <v>49</v>
      </c>
      <c r="G718" s="2" t="str">
        <f t="shared" si="784"/>
        <v>Malé zmluvy</v>
      </c>
      <c r="H718" s="5" t="s">
        <v>452</v>
      </c>
      <c r="I718" s="2" t="s">
        <v>891</v>
      </c>
      <c r="J718" s="2" t="s">
        <v>892</v>
      </c>
      <c r="K718" s="5">
        <v>35810734</v>
      </c>
      <c r="L718" s="2" t="s">
        <v>257</v>
      </c>
      <c r="M718" s="2" t="s">
        <v>893</v>
      </c>
      <c r="N718" s="6">
        <v>44735.324699074074</v>
      </c>
      <c r="O718" s="4">
        <v>618936</v>
      </c>
      <c r="P718" s="2">
        <v>356772</v>
      </c>
      <c r="Q718" s="2" t="s">
        <v>894</v>
      </c>
      <c r="R718" s="2" t="s">
        <v>895</v>
      </c>
      <c r="S718" s="2" t="s">
        <v>77</v>
      </c>
      <c r="W718" s="4">
        <v>528</v>
      </c>
      <c r="X718" s="4">
        <v>633.6</v>
      </c>
      <c r="Y718" s="4">
        <f t="shared" ref="Y718" si="799">INDEX(InternalRates,MATCH($S718,InternalRates01,FALSE),2)</f>
        <v>278.98333333333335</v>
      </c>
      <c r="Z718" s="3" t="str">
        <f t="shared" si="747"/>
        <v>Nie</v>
      </c>
      <c r="AA718" s="3" t="str">
        <f t="shared" si="748"/>
        <v>SLA</v>
      </c>
      <c r="AB718" s="4">
        <v>2188</v>
      </c>
      <c r="AC718" s="4">
        <v>1056.3756613177779</v>
      </c>
      <c r="AD718" s="3" t="s">
        <v>48</v>
      </c>
      <c r="AE718" s="6">
        <v>44991</v>
      </c>
      <c r="AF718" s="3" t="s">
        <v>59</v>
      </c>
      <c r="AG718" s="3" t="s">
        <v>60</v>
      </c>
      <c r="AH718" s="3">
        <f>YEAR(SrcDB[[#This Row],[Datum_zverejnenia]])</f>
        <v>2022</v>
      </c>
      <c r="AI718" s="3" cm="1">
        <f t="array" ref="AI718">COUNT(_xlfn.UNIQUE(_xlfn._xlws.FILTER(SrcDB[ID],SrcDB[Objednavatel_ICO]=$H718)))</f>
        <v>2</v>
      </c>
      <c r="AJ718" s="3" cm="1">
        <f t="array" ref="AJ718">COUNT(_xlfn.UNIQUE(_xlfn._xlws.FILTER(SrcDB[ID],SrcDB[Dodavatel_ICO]=$K718)))</f>
        <v>10</v>
      </c>
      <c r="AK718" s="3">
        <f t="shared" si="788"/>
        <v>0</v>
      </c>
      <c r="AL718" s="3">
        <f t="shared" si="789"/>
        <v>0</v>
      </c>
      <c r="AM718" s="17" t="str">
        <f>IF(SrcDB[[#This Row],[Pocet zmluv objednavatela]]&gt;3,SrcDB[[#This Row],[Objednavatel]],"Ostatné")</f>
        <v>Ostatné</v>
      </c>
      <c r="AN718" s="17" t="str">
        <f>IF(SrcDB[[#This Row],[Pocet zmluv dodavatela]]&gt;3,SrcDB[[#This Row],[Dodavatel]],"Ostatné")</f>
        <v>DATALAN, a.s.</v>
      </c>
    </row>
    <row r="719" spans="1:40" x14ac:dyDescent="0.3">
      <c r="A719" s="2" t="s">
        <v>890</v>
      </c>
      <c r="B719" s="2">
        <v>6606596</v>
      </c>
      <c r="C719" s="3" t="str">
        <f t="shared" si="782"/>
        <v>Nie</v>
      </c>
      <c r="D719" s="3" t="str">
        <f t="shared" si="783"/>
        <v>Áno</v>
      </c>
      <c r="E719" s="3" t="s">
        <v>48</v>
      </c>
      <c r="F719" s="3" t="s">
        <v>49</v>
      </c>
      <c r="G719" s="2" t="str">
        <f t="shared" si="784"/>
        <v>Malé zmluvy</v>
      </c>
      <c r="H719" s="5" t="s">
        <v>452</v>
      </c>
      <c r="I719" s="2" t="s">
        <v>891</v>
      </c>
      <c r="J719" s="2" t="s">
        <v>892</v>
      </c>
      <c r="K719" s="5">
        <v>35810734</v>
      </c>
      <c r="L719" s="2" t="s">
        <v>257</v>
      </c>
      <c r="M719" s="2" t="s">
        <v>893</v>
      </c>
      <c r="N719" s="6">
        <v>44735.324699074074</v>
      </c>
      <c r="O719" s="4">
        <v>618936</v>
      </c>
      <c r="P719" s="2">
        <v>356772</v>
      </c>
      <c r="Q719" s="2" t="s">
        <v>894</v>
      </c>
      <c r="R719" s="2" t="s">
        <v>895</v>
      </c>
      <c r="S719" s="2" t="s">
        <v>71</v>
      </c>
      <c r="W719" s="4">
        <v>664</v>
      </c>
      <c r="X719" s="4">
        <v>796.8</v>
      </c>
      <c r="Y719" s="4">
        <f t="shared" ref="Y719" si="800">INDEX(InternalRates,MATCH($S719,InternalRates01,FALSE),2)</f>
        <v>354.0333333333333</v>
      </c>
      <c r="Z719" s="3" t="str">
        <f t="shared" si="747"/>
        <v>Nie</v>
      </c>
      <c r="AA719" s="3" t="str">
        <f t="shared" si="748"/>
        <v>SLA</v>
      </c>
      <c r="AB719" s="4">
        <v>1232</v>
      </c>
      <c r="AC719" s="4">
        <v>594.81481478222224</v>
      </c>
      <c r="AD719" s="3" t="s">
        <v>48</v>
      </c>
      <c r="AE719" s="6">
        <v>44991</v>
      </c>
      <c r="AF719" s="3" t="s">
        <v>59</v>
      </c>
      <c r="AG719" s="3" t="s">
        <v>60</v>
      </c>
      <c r="AH719" s="3">
        <f>YEAR(SrcDB[[#This Row],[Datum_zverejnenia]])</f>
        <v>2022</v>
      </c>
      <c r="AI719" s="3" cm="1">
        <f t="array" ref="AI719">COUNT(_xlfn.UNIQUE(_xlfn._xlws.FILTER(SrcDB[ID],SrcDB[Objednavatel_ICO]=$H719)))</f>
        <v>2</v>
      </c>
      <c r="AJ719" s="3" cm="1">
        <f t="array" ref="AJ719">COUNT(_xlfn.UNIQUE(_xlfn._xlws.FILTER(SrcDB[ID],SrcDB[Dodavatel_ICO]=$K719)))</f>
        <v>10</v>
      </c>
      <c r="AK719" s="3">
        <f t="shared" si="788"/>
        <v>0</v>
      </c>
      <c r="AL719" s="3">
        <f t="shared" si="789"/>
        <v>0</v>
      </c>
      <c r="AM719" s="17" t="str">
        <f>IF(SrcDB[[#This Row],[Pocet zmluv objednavatela]]&gt;3,SrcDB[[#This Row],[Objednavatel]],"Ostatné")</f>
        <v>Ostatné</v>
      </c>
      <c r="AN719" s="17" t="str">
        <f>IF(SrcDB[[#This Row],[Pocet zmluv dodavatela]]&gt;3,SrcDB[[#This Row],[Dodavatel]],"Ostatné")</f>
        <v>DATALAN, a.s.</v>
      </c>
    </row>
    <row r="720" spans="1:40" x14ac:dyDescent="0.3">
      <c r="A720" s="2" t="s">
        <v>890</v>
      </c>
      <c r="B720" s="2">
        <v>6606596</v>
      </c>
      <c r="C720" s="3" t="str">
        <f t="shared" si="782"/>
        <v>Nie</v>
      </c>
      <c r="D720" s="3" t="str">
        <f t="shared" si="783"/>
        <v>Áno</v>
      </c>
      <c r="E720" s="3" t="s">
        <v>48</v>
      </c>
      <c r="F720" s="3" t="s">
        <v>49</v>
      </c>
      <c r="G720" s="2" t="str">
        <f t="shared" si="784"/>
        <v>Malé zmluvy</v>
      </c>
      <c r="H720" s="5" t="s">
        <v>452</v>
      </c>
      <c r="I720" s="2" t="s">
        <v>891</v>
      </c>
      <c r="J720" s="2" t="s">
        <v>892</v>
      </c>
      <c r="K720" s="5">
        <v>35810734</v>
      </c>
      <c r="L720" s="2" t="s">
        <v>257</v>
      </c>
      <c r="M720" s="2" t="s">
        <v>893</v>
      </c>
      <c r="N720" s="6">
        <v>44735.324699074074</v>
      </c>
      <c r="O720" s="4">
        <v>618936</v>
      </c>
      <c r="P720" s="2">
        <v>356772</v>
      </c>
      <c r="Q720" s="2" t="s">
        <v>894</v>
      </c>
      <c r="R720" s="2" t="s">
        <v>895</v>
      </c>
      <c r="S720" s="2" t="s">
        <v>79</v>
      </c>
      <c r="W720" s="4">
        <v>528</v>
      </c>
      <c r="X720" s="4">
        <v>633.6</v>
      </c>
      <c r="Y720" s="4">
        <f t="shared" ref="Y720" si="801">INDEX(InternalRates,MATCH($S720,InternalRates01,FALSE),2)</f>
        <v>278.98333333333335</v>
      </c>
      <c r="Z720" s="3" t="str">
        <f t="shared" si="747"/>
        <v>Nie</v>
      </c>
      <c r="AA720" s="3" t="str">
        <f t="shared" si="748"/>
        <v>SLA</v>
      </c>
      <c r="AB720" s="4">
        <v>688</v>
      </c>
      <c r="AC720" s="4">
        <v>332.16931215111111</v>
      </c>
      <c r="AD720" s="3" t="s">
        <v>48</v>
      </c>
      <c r="AE720" s="6">
        <v>44991</v>
      </c>
      <c r="AF720" s="3" t="s">
        <v>59</v>
      </c>
      <c r="AG720" s="3" t="s">
        <v>60</v>
      </c>
      <c r="AH720" s="3">
        <f>YEAR(SrcDB[[#This Row],[Datum_zverejnenia]])</f>
        <v>2022</v>
      </c>
      <c r="AI720" s="3" cm="1">
        <f t="array" ref="AI720">COUNT(_xlfn.UNIQUE(_xlfn._xlws.FILTER(SrcDB[ID],SrcDB[Objednavatel_ICO]=$H720)))</f>
        <v>2</v>
      </c>
      <c r="AJ720" s="3" cm="1">
        <f t="array" ref="AJ720">COUNT(_xlfn.UNIQUE(_xlfn._xlws.FILTER(SrcDB[ID],SrcDB[Dodavatel_ICO]=$K720)))</f>
        <v>10</v>
      </c>
      <c r="AK720" s="3">
        <f t="shared" si="788"/>
        <v>0</v>
      </c>
      <c r="AL720" s="3">
        <f t="shared" si="789"/>
        <v>0</v>
      </c>
      <c r="AM720" s="17" t="str">
        <f>IF(SrcDB[[#This Row],[Pocet zmluv objednavatela]]&gt;3,SrcDB[[#This Row],[Objednavatel]],"Ostatné")</f>
        <v>Ostatné</v>
      </c>
      <c r="AN720" s="17" t="str">
        <f>IF(SrcDB[[#This Row],[Pocet zmluv dodavatela]]&gt;3,SrcDB[[#This Row],[Dodavatel]],"Ostatné")</f>
        <v>DATALAN, a.s.</v>
      </c>
    </row>
    <row r="721" spans="1:40" x14ac:dyDescent="0.3">
      <c r="A721" s="2" t="s">
        <v>890</v>
      </c>
      <c r="B721" s="2">
        <v>6606596</v>
      </c>
      <c r="C721" s="3" t="str">
        <f t="shared" si="782"/>
        <v>Nie</v>
      </c>
      <c r="D721" s="3" t="str">
        <f t="shared" si="783"/>
        <v>Áno</v>
      </c>
      <c r="E721" s="3" t="s">
        <v>48</v>
      </c>
      <c r="F721" s="3" t="s">
        <v>49</v>
      </c>
      <c r="G721" s="2" t="str">
        <f t="shared" si="784"/>
        <v>Malé zmluvy</v>
      </c>
      <c r="H721" s="5" t="s">
        <v>452</v>
      </c>
      <c r="I721" s="2" t="s">
        <v>891</v>
      </c>
      <c r="J721" s="2" t="s">
        <v>892</v>
      </c>
      <c r="K721" s="5">
        <v>35810734</v>
      </c>
      <c r="L721" s="2" t="s">
        <v>257</v>
      </c>
      <c r="M721" s="2" t="s">
        <v>893</v>
      </c>
      <c r="N721" s="6">
        <v>44735.324699074074</v>
      </c>
      <c r="O721" s="4">
        <v>618936</v>
      </c>
      <c r="P721" s="2">
        <v>356772</v>
      </c>
      <c r="Q721" s="2" t="s">
        <v>894</v>
      </c>
      <c r="R721" s="2" t="s">
        <v>895</v>
      </c>
      <c r="S721" s="2" t="s">
        <v>162</v>
      </c>
      <c r="W721" s="4">
        <v>704</v>
      </c>
      <c r="X721" s="4">
        <v>844.8</v>
      </c>
      <c r="Y721" s="4">
        <f t="shared" ref="Y721" si="802">INDEX(InternalRates,MATCH($S721,InternalRates01,FALSE),2)</f>
        <v>231.85833333333335</v>
      </c>
      <c r="Z721" s="3" t="str">
        <f t="shared" si="747"/>
        <v>Nie</v>
      </c>
      <c r="AA721" s="3" t="str">
        <f t="shared" si="748"/>
        <v>SLA</v>
      </c>
      <c r="AB721" s="4">
        <v>1060</v>
      </c>
      <c r="AC721" s="4">
        <v>511.77248674444445</v>
      </c>
      <c r="AD721" s="3" t="s">
        <v>48</v>
      </c>
      <c r="AE721" s="6">
        <v>44991</v>
      </c>
      <c r="AF721" s="3" t="s">
        <v>59</v>
      </c>
      <c r="AG721" s="3" t="s">
        <v>60</v>
      </c>
      <c r="AH721" s="3">
        <f>YEAR(SrcDB[[#This Row],[Datum_zverejnenia]])</f>
        <v>2022</v>
      </c>
      <c r="AI721" s="3" cm="1">
        <f t="array" ref="AI721">COUNT(_xlfn.UNIQUE(_xlfn._xlws.FILTER(SrcDB[ID],SrcDB[Objednavatel_ICO]=$H721)))</f>
        <v>2</v>
      </c>
      <c r="AJ721" s="3" cm="1">
        <f t="array" ref="AJ721">COUNT(_xlfn.UNIQUE(_xlfn._xlws.FILTER(SrcDB[ID],SrcDB[Dodavatel_ICO]=$K721)))</f>
        <v>10</v>
      </c>
      <c r="AK721" s="3">
        <f t="shared" si="788"/>
        <v>0</v>
      </c>
      <c r="AL721" s="3">
        <f t="shared" si="789"/>
        <v>0</v>
      </c>
      <c r="AM721" s="17" t="str">
        <f>IF(SrcDB[[#This Row],[Pocet zmluv objednavatela]]&gt;3,SrcDB[[#This Row],[Objednavatel]],"Ostatné")</f>
        <v>Ostatné</v>
      </c>
      <c r="AN721" s="17" t="str">
        <f>IF(SrcDB[[#This Row],[Pocet zmluv dodavatela]]&gt;3,SrcDB[[#This Row],[Dodavatel]],"Ostatné")</f>
        <v>DATALAN, a.s.</v>
      </c>
    </row>
    <row r="722" spans="1:40" x14ac:dyDescent="0.3">
      <c r="A722" s="2" t="s">
        <v>890</v>
      </c>
      <c r="B722" s="2">
        <v>6606596</v>
      </c>
      <c r="C722" s="3" t="str">
        <f t="shared" si="782"/>
        <v>Nie</v>
      </c>
      <c r="D722" s="3" t="str">
        <f t="shared" si="783"/>
        <v>Áno</v>
      </c>
      <c r="E722" s="3" t="s">
        <v>48</v>
      </c>
      <c r="F722" s="3" t="s">
        <v>49</v>
      </c>
      <c r="G722" s="2" t="str">
        <f t="shared" si="784"/>
        <v>Malé zmluvy</v>
      </c>
      <c r="H722" s="5" t="s">
        <v>452</v>
      </c>
      <c r="I722" s="2" t="s">
        <v>891</v>
      </c>
      <c r="J722" s="2" t="s">
        <v>892</v>
      </c>
      <c r="K722" s="5">
        <v>35810734</v>
      </c>
      <c r="L722" s="2" t="s">
        <v>257</v>
      </c>
      <c r="M722" s="2" t="s">
        <v>893</v>
      </c>
      <c r="N722" s="6">
        <v>44735.324699074074</v>
      </c>
      <c r="O722" s="4">
        <v>618936</v>
      </c>
      <c r="P722" s="2">
        <v>356772</v>
      </c>
      <c r="Q722" s="2" t="s">
        <v>894</v>
      </c>
      <c r="R722" s="2" t="s">
        <v>895</v>
      </c>
      <c r="S722" s="2" t="s">
        <v>98</v>
      </c>
      <c r="W722" s="4">
        <v>640</v>
      </c>
      <c r="X722" s="4">
        <v>768</v>
      </c>
      <c r="Y722" s="4">
        <f t="shared" ref="Y722" si="803">INDEX(InternalRates,MATCH($S722,InternalRates01,FALSE),2)</f>
        <v>278.98333333333335</v>
      </c>
      <c r="Z722" s="3" t="str">
        <f t="shared" si="747"/>
        <v>Nie</v>
      </c>
      <c r="AA722" s="3" t="str">
        <f t="shared" si="748"/>
        <v>SLA</v>
      </c>
      <c r="AB722" s="4">
        <v>0</v>
      </c>
      <c r="AC722" s="4">
        <v>0</v>
      </c>
      <c r="AD722" s="3" t="s">
        <v>48</v>
      </c>
      <c r="AE722" s="6">
        <v>44991</v>
      </c>
      <c r="AF722" s="3" t="s">
        <v>59</v>
      </c>
      <c r="AG722" s="3" t="s">
        <v>60</v>
      </c>
      <c r="AH722" s="3">
        <f>YEAR(SrcDB[[#This Row],[Datum_zverejnenia]])</f>
        <v>2022</v>
      </c>
      <c r="AI722" s="3" cm="1">
        <f t="array" ref="AI722">COUNT(_xlfn.UNIQUE(_xlfn._xlws.FILTER(SrcDB[ID],SrcDB[Objednavatel_ICO]=$H722)))</f>
        <v>2</v>
      </c>
      <c r="AJ722" s="3" cm="1">
        <f t="array" ref="AJ722">COUNT(_xlfn.UNIQUE(_xlfn._xlws.FILTER(SrcDB[ID],SrcDB[Dodavatel_ICO]=$K722)))</f>
        <v>10</v>
      </c>
      <c r="AK722" s="3">
        <f t="shared" si="788"/>
        <v>0</v>
      </c>
      <c r="AL722" s="3">
        <f t="shared" si="789"/>
        <v>0</v>
      </c>
      <c r="AM722" s="17" t="str">
        <f>IF(SrcDB[[#This Row],[Pocet zmluv objednavatela]]&gt;3,SrcDB[[#This Row],[Objednavatel]],"Ostatné")</f>
        <v>Ostatné</v>
      </c>
      <c r="AN722" s="17" t="str">
        <f>IF(SrcDB[[#This Row],[Pocet zmluv dodavatela]]&gt;3,SrcDB[[#This Row],[Dodavatel]],"Ostatné")</f>
        <v>DATALAN, a.s.</v>
      </c>
    </row>
    <row r="723" spans="1:40" x14ac:dyDescent="0.3">
      <c r="A723" s="2" t="s">
        <v>890</v>
      </c>
      <c r="B723" s="2">
        <v>6606596</v>
      </c>
      <c r="C723" s="3" t="str">
        <f t="shared" si="782"/>
        <v>Nie</v>
      </c>
      <c r="D723" s="3" t="str">
        <f t="shared" si="783"/>
        <v>Áno</v>
      </c>
      <c r="E723" s="3" t="s">
        <v>48</v>
      </c>
      <c r="F723" s="3" t="s">
        <v>49</v>
      </c>
      <c r="G723" s="2" t="str">
        <f t="shared" si="784"/>
        <v>Malé zmluvy</v>
      </c>
      <c r="H723" s="5" t="s">
        <v>452</v>
      </c>
      <c r="I723" s="2" t="s">
        <v>891</v>
      </c>
      <c r="J723" s="2" t="s">
        <v>892</v>
      </c>
      <c r="K723" s="5">
        <v>35810734</v>
      </c>
      <c r="L723" s="2" t="s">
        <v>257</v>
      </c>
      <c r="M723" s="2" t="s">
        <v>893</v>
      </c>
      <c r="N723" s="6">
        <v>44735.324699074074</v>
      </c>
      <c r="O723" s="4">
        <v>618936</v>
      </c>
      <c r="P723" s="2">
        <v>356772</v>
      </c>
      <c r="Q723" s="2" t="s">
        <v>894</v>
      </c>
      <c r="R723" s="2" t="s">
        <v>895</v>
      </c>
      <c r="S723" s="2" t="s">
        <v>102</v>
      </c>
      <c r="T723" s="2" t="s">
        <v>462</v>
      </c>
      <c r="W723" s="4">
        <v>528</v>
      </c>
      <c r="X723" s="4">
        <v>633.6</v>
      </c>
      <c r="Y723" s="4">
        <f t="shared" ref="Y723" si="804">INDEX(InternalRates,MATCH($S723,InternalRates01,FALSE),2)</f>
        <v>278.98333333333335</v>
      </c>
      <c r="Z723" s="3" t="str">
        <f t="shared" si="747"/>
        <v>Nie</v>
      </c>
      <c r="AA723" s="3" t="str">
        <f t="shared" si="748"/>
        <v>SLA</v>
      </c>
      <c r="AB723" s="4">
        <v>0</v>
      </c>
      <c r="AC723" s="4">
        <v>0</v>
      </c>
      <c r="AD723" s="3" t="s">
        <v>48</v>
      </c>
      <c r="AE723" s="6">
        <v>44991</v>
      </c>
      <c r="AF723" s="3" t="s">
        <v>59</v>
      </c>
      <c r="AG723" s="3" t="s">
        <v>60</v>
      </c>
      <c r="AH723" s="3">
        <f>YEAR(SrcDB[[#This Row],[Datum_zverejnenia]])</f>
        <v>2022</v>
      </c>
      <c r="AI723" s="3" cm="1">
        <f t="array" ref="AI723">COUNT(_xlfn.UNIQUE(_xlfn._xlws.FILTER(SrcDB[ID],SrcDB[Objednavatel_ICO]=$H723)))</f>
        <v>2</v>
      </c>
      <c r="AJ723" s="3" cm="1">
        <f t="array" ref="AJ723">COUNT(_xlfn.UNIQUE(_xlfn._xlws.FILTER(SrcDB[ID],SrcDB[Dodavatel_ICO]=$K723)))</f>
        <v>10</v>
      </c>
      <c r="AK723" s="3">
        <f t="shared" si="788"/>
        <v>0</v>
      </c>
      <c r="AL723" s="3">
        <f t="shared" si="789"/>
        <v>0</v>
      </c>
      <c r="AM723" s="17" t="str">
        <f>IF(SrcDB[[#This Row],[Pocet zmluv objednavatela]]&gt;3,SrcDB[[#This Row],[Objednavatel]],"Ostatné")</f>
        <v>Ostatné</v>
      </c>
      <c r="AN723" s="17" t="str">
        <f>IF(SrcDB[[#This Row],[Pocet zmluv dodavatela]]&gt;3,SrcDB[[#This Row],[Dodavatel]],"Ostatné")</f>
        <v>DATALAN, a.s.</v>
      </c>
    </row>
    <row r="724" spans="1:40" x14ac:dyDescent="0.3">
      <c r="A724" s="2" t="s">
        <v>896</v>
      </c>
      <c r="B724" s="2">
        <v>6648496</v>
      </c>
      <c r="C724" s="3" t="str">
        <f t="shared" si="782"/>
        <v>Nie</v>
      </c>
      <c r="D724" s="3" t="str">
        <f t="shared" si="783"/>
        <v>Áno</v>
      </c>
      <c r="E724" s="3" t="s">
        <v>48</v>
      </c>
      <c r="F724" s="3" t="s">
        <v>49</v>
      </c>
      <c r="G724" s="2" t="str">
        <f t="shared" si="784"/>
        <v>Malé zmluvy</v>
      </c>
      <c r="H724" s="5" t="s">
        <v>897</v>
      </c>
      <c r="I724" s="2" t="s">
        <v>898</v>
      </c>
      <c r="J724" s="2" t="s">
        <v>899</v>
      </c>
      <c r="K724" s="5">
        <v>46928073</v>
      </c>
      <c r="L724" s="2" t="s">
        <v>900</v>
      </c>
      <c r="M724" s="2" t="s">
        <v>901</v>
      </c>
      <c r="N724" s="6">
        <v>44746.471261574072</v>
      </c>
      <c r="O724" s="4">
        <v>210480</v>
      </c>
      <c r="P724" s="2">
        <v>6215909</v>
      </c>
      <c r="Q724" s="2" t="s">
        <v>902</v>
      </c>
      <c r="R724" s="2" t="s">
        <v>903</v>
      </c>
      <c r="S724" s="2" t="s">
        <v>56</v>
      </c>
      <c r="T724" s="2" t="s">
        <v>904</v>
      </c>
      <c r="U724" s="2" t="s">
        <v>58</v>
      </c>
      <c r="W724" s="4">
        <v>320</v>
      </c>
      <c r="X724" s="4">
        <v>384</v>
      </c>
      <c r="Y724" s="4">
        <f t="shared" ref="Y724" si="805">INDEX(InternalRates,MATCH($S724,InternalRates01,FALSE),2)</f>
        <v>278.98333333333335</v>
      </c>
      <c r="Z724" s="3" t="str">
        <f t="shared" si="747"/>
        <v>Nie</v>
      </c>
      <c r="AA724" s="3" t="str">
        <f t="shared" si="748"/>
        <v>SLA</v>
      </c>
      <c r="AB724" s="4">
        <v>2</v>
      </c>
      <c r="AC724" s="4">
        <v>24</v>
      </c>
      <c r="AD724" s="3" t="s">
        <v>48</v>
      </c>
      <c r="AE724" s="6">
        <v>44987</v>
      </c>
      <c r="AF724" s="3" t="s">
        <v>59</v>
      </c>
      <c r="AG724" s="3" t="s">
        <v>48</v>
      </c>
      <c r="AH724" s="3">
        <f>YEAR(SrcDB[[#This Row],[Datum_zverejnenia]])</f>
        <v>2022</v>
      </c>
      <c r="AI724" s="3" cm="1">
        <f t="array" ref="AI724">COUNT(_xlfn.UNIQUE(_xlfn._xlws.FILTER(SrcDB[ID],SrcDB[Objednavatel_ICO]=$H724)))</f>
        <v>1</v>
      </c>
      <c r="AJ724" s="3" cm="1">
        <f t="array" ref="AJ724">COUNT(_xlfn.UNIQUE(_xlfn._xlws.FILTER(SrcDB[ID],SrcDB[Dodavatel_ICO]=$K724)))</f>
        <v>4</v>
      </c>
      <c r="AK724" s="3">
        <f t="shared" si="788"/>
        <v>1</v>
      </c>
      <c r="AL724" s="3">
        <f t="shared" si="789"/>
        <v>1</v>
      </c>
      <c r="AM724" s="17" t="str">
        <f>IF(SrcDB[[#This Row],[Pocet zmluv objednavatela]]&gt;3,SrcDB[[#This Row],[Objednavatel]],"Ostatné")</f>
        <v>Ostatné</v>
      </c>
      <c r="AN724" s="17" t="str">
        <f>IF(SrcDB[[#This Row],[Pocet zmluv dodavatela]]&gt;3,SrcDB[[#This Row],[Dodavatel]],"Ostatné")</f>
        <v>Synergon a.s.</v>
      </c>
    </row>
    <row r="725" spans="1:40" x14ac:dyDescent="0.3">
      <c r="A725" s="2" t="s">
        <v>896</v>
      </c>
      <c r="B725" s="2">
        <v>6648496</v>
      </c>
      <c r="C725" s="3" t="str">
        <f t="shared" si="782"/>
        <v>Nie</v>
      </c>
      <c r="D725" s="3" t="str">
        <f t="shared" si="783"/>
        <v>Áno</v>
      </c>
      <c r="E725" s="3" t="s">
        <v>48</v>
      </c>
      <c r="F725" s="3" t="s">
        <v>49</v>
      </c>
      <c r="G725" s="2" t="str">
        <f t="shared" si="784"/>
        <v>Malé zmluvy</v>
      </c>
      <c r="H725" s="5" t="s">
        <v>897</v>
      </c>
      <c r="I725" s="2" t="s">
        <v>898</v>
      </c>
      <c r="J725" s="2" t="s">
        <v>899</v>
      </c>
      <c r="K725" s="5">
        <v>46928073</v>
      </c>
      <c r="L725" s="2" t="s">
        <v>900</v>
      </c>
      <c r="M725" s="2" t="s">
        <v>901</v>
      </c>
      <c r="N725" s="6">
        <v>44746.471261574072</v>
      </c>
      <c r="O725" s="4">
        <v>210480</v>
      </c>
      <c r="P725" s="2">
        <v>6215909</v>
      </c>
      <c r="Q725" s="2" t="s">
        <v>902</v>
      </c>
      <c r="R725" s="2" t="s">
        <v>903</v>
      </c>
      <c r="S725" s="2" t="s">
        <v>77</v>
      </c>
      <c r="W725" s="4">
        <v>320</v>
      </c>
      <c r="X725" s="4">
        <v>384</v>
      </c>
      <c r="Y725" s="4">
        <f t="shared" ref="Y725" si="806">INDEX(InternalRates,MATCH($S725,InternalRates01,FALSE),2)</f>
        <v>278.98333333333335</v>
      </c>
      <c r="Z725" s="3" t="str">
        <f t="shared" si="747"/>
        <v>Nie</v>
      </c>
      <c r="AA725" s="3" t="str">
        <f t="shared" si="748"/>
        <v>SLA</v>
      </c>
      <c r="AB725" s="4">
        <v>3</v>
      </c>
      <c r="AC725" s="4">
        <v>36</v>
      </c>
      <c r="AD725" s="3" t="s">
        <v>48</v>
      </c>
      <c r="AE725" s="6">
        <v>44987</v>
      </c>
      <c r="AF725" s="3" t="s">
        <v>59</v>
      </c>
      <c r="AG725" s="3" t="s">
        <v>48</v>
      </c>
      <c r="AH725" s="3">
        <f>YEAR(SrcDB[[#This Row],[Datum_zverejnenia]])</f>
        <v>2022</v>
      </c>
      <c r="AI725" s="3" cm="1">
        <f t="array" ref="AI725">COUNT(_xlfn.UNIQUE(_xlfn._xlws.FILTER(SrcDB[ID],SrcDB[Objednavatel_ICO]=$H725)))</f>
        <v>1</v>
      </c>
      <c r="AJ725" s="3" cm="1">
        <f t="array" ref="AJ725">COUNT(_xlfn.UNIQUE(_xlfn._xlws.FILTER(SrcDB[ID],SrcDB[Dodavatel_ICO]=$K725)))</f>
        <v>4</v>
      </c>
      <c r="AK725" s="3">
        <f t="shared" si="788"/>
        <v>0</v>
      </c>
      <c r="AL725" s="3">
        <f t="shared" si="789"/>
        <v>0</v>
      </c>
      <c r="AM725" s="17" t="str">
        <f>IF(SrcDB[[#This Row],[Pocet zmluv objednavatela]]&gt;3,SrcDB[[#This Row],[Objednavatel]],"Ostatné")</f>
        <v>Ostatné</v>
      </c>
      <c r="AN725" s="17" t="str">
        <f>IF(SrcDB[[#This Row],[Pocet zmluv dodavatela]]&gt;3,SrcDB[[#This Row],[Dodavatel]],"Ostatné")</f>
        <v>Synergon a.s.</v>
      </c>
    </row>
    <row r="726" spans="1:40" x14ac:dyDescent="0.3">
      <c r="A726" s="2" t="s">
        <v>896</v>
      </c>
      <c r="B726" s="2">
        <v>6648496</v>
      </c>
      <c r="C726" s="3" t="str">
        <f t="shared" si="782"/>
        <v>Nie</v>
      </c>
      <c r="D726" s="3" t="str">
        <f t="shared" si="783"/>
        <v>Áno</v>
      </c>
      <c r="E726" s="3" t="s">
        <v>48</v>
      </c>
      <c r="F726" s="3" t="s">
        <v>49</v>
      </c>
      <c r="G726" s="2" t="str">
        <f t="shared" si="784"/>
        <v>Malé zmluvy</v>
      </c>
      <c r="H726" s="5" t="s">
        <v>897</v>
      </c>
      <c r="I726" s="2" t="s">
        <v>898</v>
      </c>
      <c r="J726" s="2" t="s">
        <v>899</v>
      </c>
      <c r="K726" s="5">
        <v>46928073</v>
      </c>
      <c r="L726" s="2" t="s">
        <v>900</v>
      </c>
      <c r="M726" s="2" t="s">
        <v>901</v>
      </c>
      <c r="N726" s="6">
        <v>44746.471261574072</v>
      </c>
      <c r="O726" s="4">
        <v>210480</v>
      </c>
      <c r="P726" s="2">
        <v>6215909</v>
      </c>
      <c r="Q726" s="2" t="s">
        <v>902</v>
      </c>
      <c r="R726" s="2" t="s">
        <v>903</v>
      </c>
      <c r="S726" s="2" t="s">
        <v>56</v>
      </c>
      <c r="T726" s="2" t="s">
        <v>96</v>
      </c>
      <c r="U726" s="2" t="s">
        <v>97</v>
      </c>
      <c r="W726" s="4">
        <v>320</v>
      </c>
      <c r="X726" s="4">
        <v>384</v>
      </c>
      <c r="Y726" s="4">
        <f t="shared" ref="Y726" si="807">INDEX(InternalRates,MATCH($S726,InternalRates01,FALSE),2)</f>
        <v>278.98333333333335</v>
      </c>
      <c r="Z726" s="3" t="str">
        <f t="shared" si="747"/>
        <v>Nie</v>
      </c>
      <c r="AA726" s="3" t="str">
        <f t="shared" si="748"/>
        <v>SLA</v>
      </c>
      <c r="AB726" s="4">
        <v>7</v>
      </c>
      <c r="AC726" s="4">
        <v>84</v>
      </c>
      <c r="AD726" s="3" t="s">
        <v>48</v>
      </c>
      <c r="AE726" s="6">
        <v>44987</v>
      </c>
      <c r="AF726" s="3" t="s">
        <v>59</v>
      </c>
      <c r="AG726" s="3" t="s">
        <v>48</v>
      </c>
      <c r="AH726" s="3">
        <f>YEAR(SrcDB[[#This Row],[Datum_zverejnenia]])</f>
        <v>2022</v>
      </c>
      <c r="AI726" s="3" cm="1">
        <f t="array" ref="AI726">COUNT(_xlfn.UNIQUE(_xlfn._xlws.FILTER(SrcDB[ID],SrcDB[Objednavatel_ICO]=$H726)))</f>
        <v>1</v>
      </c>
      <c r="AJ726" s="3" cm="1">
        <f t="array" ref="AJ726">COUNT(_xlfn.UNIQUE(_xlfn._xlws.FILTER(SrcDB[ID],SrcDB[Dodavatel_ICO]=$K726)))</f>
        <v>4</v>
      </c>
      <c r="AK726" s="3">
        <f t="shared" si="788"/>
        <v>0</v>
      </c>
      <c r="AL726" s="3">
        <f t="shared" si="789"/>
        <v>0</v>
      </c>
      <c r="AM726" s="17" t="str">
        <f>IF(SrcDB[[#This Row],[Pocet zmluv objednavatela]]&gt;3,SrcDB[[#This Row],[Objednavatel]],"Ostatné")</f>
        <v>Ostatné</v>
      </c>
      <c r="AN726" s="17" t="str">
        <f>IF(SrcDB[[#This Row],[Pocet zmluv dodavatela]]&gt;3,SrcDB[[#This Row],[Dodavatel]],"Ostatné")</f>
        <v>Synergon a.s.</v>
      </c>
    </row>
    <row r="727" spans="1:40" x14ac:dyDescent="0.3">
      <c r="A727" s="2" t="s">
        <v>896</v>
      </c>
      <c r="B727" s="2">
        <v>6648496</v>
      </c>
      <c r="C727" s="3" t="str">
        <f t="shared" si="782"/>
        <v>Nie</v>
      </c>
      <c r="D727" s="3" t="str">
        <f t="shared" si="783"/>
        <v>Áno</v>
      </c>
      <c r="E727" s="3" t="s">
        <v>48</v>
      </c>
      <c r="F727" s="3" t="s">
        <v>49</v>
      </c>
      <c r="G727" s="2" t="str">
        <f t="shared" si="784"/>
        <v>Malé zmluvy</v>
      </c>
      <c r="H727" s="5" t="s">
        <v>897</v>
      </c>
      <c r="I727" s="2" t="s">
        <v>898</v>
      </c>
      <c r="J727" s="2" t="s">
        <v>899</v>
      </c>
      <c r="K727" s="5">
        <v>46928073</v>
      </c>
      <c r="L727" s="2" t="s">
        <v>900</v>
      </c>
      <c r="M727" s="2" t="s">
        <v>901</v>
      </c>
      <c r="N727" s="6">
        <v>44746.471261574072</v>
      </c>
      <c r="O727" s="4">
        <v>210480</v>
      </c>
      <c r="P727" s="2">
        <v>6215909</v>
      </c>
      <c r="Q727" s="2" t="s">
        <v>902</v>
      </c>
      <c r="R727" s="2" t="s">
        <v>903</v>
      </c>
      <c r="S727" s="2" t="s">
        <v>162</v>
      </c>
      <c r="T727" s="2" t="s">
        <v>164</v>
      </c>
      <c r="W727" s="4">
        <v>320</v>
      </c>
      <c r="X727" s="4">
        <v>384</v>
      </c>
      <c r="Y727" s="4">
        <f t="shared" ref="Y727" si="808">INDEX(InternalRates,MATCH($S727,InternalRates01,FALSE),2)</f>
        <v>231.85833333333335</v>
      </c>
      <c r="Z727" s="3" t="str">
        <f t="shared" si="747"/>
        <v>Nie</v>
      </c>
      <c r="AA727" s="3" t="str">
        <f t="shared" si="748"/>
        <v>SLA</v>
      </c>
      <c r="AB727" s="4">
        <v>2</v>
      </c>
      <c r="AC727" s="4">
        <v>24</v>
      </c>
      <c r="AD727" s="3" t="s">
        <v>48</v>
      </c>
      <c r="AE727" s="6">
        <v>44987</v>
      </c>
      <c r="AF727" s="3" t="s">
        <v>59</v>
      </c>
      <c r="AG727" s="3" t="s">
        <v>48</v>
      </c>
      <c r="AH727" s="3">
        <f>YEAR(SrcDB[[#This Row],[Datum_zverejnenia]])</f>
        <v>2022</v>
      </c>
      <c r="AI727" s="3" cm="1">
        <f t="array" ref="AI727">COUNT(_xlfn.UNIQUE(_xlfn._xlws.FILTER(SrcDB[ID],SrcDB[Objednavatel_ICO]=$H727)))</f>
        <v>1</v>
      </c>
      <c r="AJ727" s="3" cm="1">
        <f t="array" ref="AJ727">COUNT(_xlfn.UNIQUE(_xlfn._xlws.FILTER(SrcDB[ID],SrcDB[Dodavatel_ICO]=$K727)))</f>
        <v>4</v>
      </c>
      <c r="AK727" s="3">
        <f t="shared" si="788"/>
        <v>0</v>
      </c>
      <c r="AL727" s="3">
        <f t="shared" si="789"/>
        <v>0</v>
      </c>
      <c r="AM727" s="17" t="str">
        <f>IF(SrcDB[[#This Row],[Pocet zmluv objednavatela]]&gt;3,SrcDB[[#This Row],[Objednavatel]],"Ostatné")</f>
        <v>Ostatné</v>
      </c>
      <c r="AN727" s="17" t="str">
        <f>IF(SrcDB[[#This Row],[Pocet zmluv dodavatela]]&gt;3,SrcDB[[#This Row],[Dodavatel]],"Ostatné")</f>
        <v>Synergon a.s.</v>
      </c>
    </row>
    <row r="728" spans="1:40" x14ac:dyDescent="0.3">
      <c r="A728" s="2" t="s">
        <v>896</v>
      </c>
      <c r="B728" s="2">
        <v>6648496</v>
      </c>
      <c r="C728" s="3" t="str">
        <f t="shared" si="782"/>
        <v>Nie</v>
      </c>
      <c r="D728" s="3" t="str">
        <f t="shared" si="783"/>
        <v>Áno</v>
      </c>
      <c r="E728" s="3" t="s">
        <v>48</v>
      </c>
      <c r="F728" s="3" t="s">
        <v>49</v>
      </c>
      <c r="G728" s="2" t="str">
        <f t="shared" si="784"/>
        <v>Malé zmluvy</v>
      </c>
      <c r="H728" s="5" t="s">
        <v>897</v>
      </c>
      <c r="I728" s="2" t="s">
        <v>898</v>
      </c>
      <c r="J728" s="2" t="s">
        <v>899</v>
      </c>
      <c r="K728" s="5">
        <v>46928073</v>
      </c>
      <c r="L728" s="2" t="s">
        <v>900</v>
      </c>
      <c r="M728" s="2" t="s">
        <v>901</v>
      </c>
      <c r="N728" s="6">
        <v>44746.471261574072</v>
      </c>
      <c r="O728" s="4">
        <v>210480</v>
      </c>
      <c r="P728" s="2">
        <v>6215909</v>
      </c>
      <c r="Q728" s="2" t="s">
        <v>902</v>
      </c>
      <c r="R728" s="2" t="s">
        <v>903</v>
      </c>
      <c r="S728" s="2" t="s">
        <v>56</v>
      </c>
      <c r="T728" s="2" t="s">
        <v>905</v>
      </c>
      <c r="U728" s="2" t="s">
        <v>113</v>
      </c>
      <c r="W728" s="4">
        <v>320</v>
      </c>
      <c r="X728" s="4">
        <v>384</v>
      </c>
      <c r="Y728" s="4">
        <f t="shared" ref="Y728" si="809">INDEX(InternalRates,MATCH($S728,InternalRates01,FALSE),2)</f>
        <v>278.98333333333335</v>
      </c>
      <c r="Z728" s="3" t="str">
        <f t="shared" si="747"/>
        <v>Nie</v>
      </c>
      <c r="AA728" s="3" t="str">
        <f t="shared" si="748"/>
        <v>SLA</v>
      </c>
      <c r="AB728" s="4">
        <v>1</v>
      </c>
      <c r="AC728" s="4">
        <v>12</v>
      </c>
      <c r="AD728" s="3" t="s">
        <v>48</v>
      </c>
      <c r="AE728" s="6">
        <v>44987</v>
      </c>
      <c r="AF728" s="3" t="s">
        <v>59</v>
      </c>
      <c r="AG728" s="3" t="s">
        <v>48</v>
      </c>
      <c r="AH728" s="3">
        <f>YEAR(SrcDB[[#This Row],[Datum_zverejnenia]])</f>
        <v>2022</v>
      </c>
      <c r="AI728" s="3" cm="1">
        <f t="array" ref="AI728">COUNT(_xlfn.UNIQUE(_xlfn._xlws.FILTER(SrcDB[ID],SrcDB[Objednavatel_ICO]=$H728)))</f>
        <v>1</v>
      </c>
      <c r="AJ728" s="3" cm="1">
        <f t="array" ref="AJ728">COUNT(_xlfn.UNIQUE(_xlfn._xlws.FILTER(SrcDB[ID],SrcDB[Dodavatel_ICO]=$K728)))</f>
        <v>4</v>
      </c>
      <c r="AK728" s="3">
        <f t="shared" si="788"/>
        <v>0</v>
      </c>
      <c r="AL728" s="3">
        <f t="shared" si="789"/>
        <v>0</v>
      </c>
      <c r="AM728" s="17" t="str">
        <f>IF(SrcDB[[#This Row],[Pocet zmluv objednavatela]]&gt;3,SrcDB[[#This Row],[Objednavatel]],"Ostatné")</f>
        <v>Ostatné</v>
      </c>
      <c r="AN728" s="17" t="str">
        <f>IF(SrcDB[[#This Row],[Pocet zmluv dodavatela]]&gt;3,SrcDB[[#This Row],[Dodavatel]],"Ostatné")</f>
        <v>Synergon a.s.</v>
      </c>
    </row>
    <row r="729" spans="1:40" x14ac:dyDescent="0.3">
      <c r="A729" s="2" t="s">
        <v>896</v>
      </c>
      <c r="B729" s="2">
        <v>6648496</v>
      </c>
      <c r="C729" s="3" t="str">
        <f t="shared" si="782"/>
        <v>Nie</v>
      </c>
      <c r="D729" s="3" t="str">
        <f t="shared" si="783"/>
        <v>Áno</v>
      </c>
      <c r="E729" s="3" t="s">
        <v>48</v>
      </c>
      <c r="F729" s="3" t="s">
        <v>49</v>
      </c>
      <c r="G729" s="2" t="str">
        <f t="shared" si="784"/>
        <v>Malé zmluvy</v>
      </c>
      <c r="H729" s="5" t="s">
        <v>897</v>
      </c>
      <c r="I729" s="2" t="s">
        <v>898</v>
      </c>
      <c r="J729" s="2" t="s">
        <v>899</v>
      </c>
      <c r="K729" s="5">
        <v>46928073</v>
      </c>
      <c r="L729" s="2" t="s">
        <v>900</v>
      </c>
      <c r="M729" s="2" t="s">
        <v>901</v>
      </c>
      <c r="N729" s="6">
        <v>44746.471261574072</v>
      </c>
      <c r="O729" s="4">
        <v>210480</v>
      </c>
      <c r="P729" s="2">
        <v>6215909</v>
      </c>
      <c r="Q729" s="2" t="s">
        <v>902</v>
      </c>
      <c r="R729" s="2" t="s">
        <v>903</v>
      </c>
      <c r="S729" s="2" t="s">
        <v>56</v>
      </c>
      <c r="T729" s="2" t="s">
        <v>94</v>
      </c>
      <c r="U729" s="2" t="s">
        <v>95</v>
      </c>
      <c r="W729" s="4">
        <v>320</v>
      </c>
      <c r="X729" s="4">
        <v>384</v>
      </c>
      <c r="Y729" s="4">
        <f t="shared" ref="Y729" si="810">INDEX(InternalRates,MATCH($S729,InternalRates01,FALSE),2)</f>
        <v>278.98333333333335</v>
      </c>
      <c r="Z729" s="3" t="str">
        <f t="shared" si="747"/>
        <v>Nie</v>
      </c>
      <c r="AA729" s="3" t="str">
        <f t="shared" si="748"/>
        <v>SLA</v>
      </c>
      <c r="AB729" s="4">
        <v>1</v>
      </c>
      <c r="AC729" s="4">
        <v>12</v>
      </c>
      <c r="AD729" s="3" t="s">
        <v>48</v>
      </c>
      <c r="AE729" s="6">
        <v>44987</v>
      </c>
      <c r="AF729" s="3" t="s">
        <v>59</v>
      </c>
      <c r="AG729" s="3" t="s">
        <v>48</v>
      </c>
      <c r="AH729" s="3">
        <f>YEAR(SrcDB[[#This Row],[Datum_zverejnenia]])</f>
        <v>2022</v>
      </c>
      <c r="AI729" s="3" cm="1">
        <f t="array" ref="AI729">COUNT(_xlfn.UNIQUE(_xlfn._xlws.FILTER(SrcDB[ID],SrcDB[Objednavatel_ICO]=$H729)))</f>
        <v>1</v>
      </c>
      <c r="AJ729" s="3" cm="1">
        <f t="array" ref="AJ729">COUNT(_xlfn.UNIQUE(_xlfn._xlws.FILTER(SrcDB[ID],SrcDB[Dodavatel_ICO]=$K729)))</f>
        <v>4</v>
      </c>
      <c r="AK729" s="3">
        <f t="shared" si="788"/>
        <v>0</v>
      </c>
      <c r="AL729" s="3">
        <f t="shared" si="789"/>
        <v>0</v>
      </c>
      <c r="AM729" s="17" t="str">
        <f>IF(SrcDB[[#This Row],[Pocet zmluv objednavatela]]&gt;3,SrcDB[[#This Row],[Objednavatel]],"Ostatné")</f>
        <v>Ostatné</v>
      </c>
      <c r="AN729" s="17" t="str">
        <f>IF(SrcDB[[#This Row],[Pocet zmluv dodavatela]]&gt;3,SrcDB[[#This Row],[Dodavatel]],"Ostatné")</f>
        <v>Synergon a.s.</v>
      </c>
    </row>
    <row r="730" spans="1:40" x14ac:dyDescent="0.3">
      <c r="A730" s="2" t="s">
        <v>896</v>
      </c>
      <c r="B730" s="2">
        <v>6648496</v>
      </c>
      <c r="C730" s="3" t="str">
        <f t="shared" si="782"/>
        <v>Nie</v>
      </c>
      <c r="D730" s="3" t="str">
        <f t="shared" si="783"/>
        <v>Áno</v>
      </c>
      <c r="E730" s="3" t="s">
        <v>48</v>
      </c>
      <c r="F730" s="3" t="s">
        <v>49</v>
      </c>
      <c r="G730" s="2" t="str">
        <f t="shared" si="784"/>
        <v>Malé zmluvy</v>
      </c>
      <c r="H730" s="5" t="s">
        <v>897</v>
      </c>
      <c r="I730" s="2" t="s">
        <v>898</v>
      </c>
      <c r="J730" s="2" t="s">
        <v>899</v>
      </c>
      <c r="K730" s="5">
        <v>46928073</v>
      </c>
      <c r="L730" s="2" t="s">
        <v>900</v>
      </c>
      <c r="M730" s="2" t="s">
        <v>901</v>
      </c>
      <c r="N730" s="6">
        <v>44746.471261574072</v>
      </c>
      <c r="O730" s="4">
        <v>210480</v>
      </c>
      <c r="P730" s="2">
        <v>6215909</v>
      </c>
      <c r="Q730" s="2" t="s">
        <v>902</v>
      </c>
      <c r="R730" s="2" t="s">
        <v>903</v>
      </c>
      <c r="S730" s="2" t="s">
        <v>56</v>
      </c>
      <c r="T730" s="2" t="s">
        <v>522</v>
      </c>
      <c r="U730" s="2" t="s">
        <v>289</v>
      </c>
      <c r="W730" s="4">
        <v>320</v>
      </c>
      <c r="X730" s="4">
        <v>384</v>
      </c>
      <c r="Y730" s="4">
        <f t="shared" ref="Y730" si="811">INDEX(InternalRates,MATCH($S730,InternalRates01,FALSE),2)</f>
        <v>278.98333333333335</v>
      </c>
      <c r="Z730" s="3" t="str">
        <f t="shared" si="747"/>
        <v>Nie</v>
      </c>
      <c r="AA730" s="3" t="str">
        <f t="shared" si="748"/>
        <v>SLA</v>
      </c>
      <c r="AB730" s="4">
        <v>2</v>
      </c>
      <c r="AC730" s="4">
        <v>24</v>
      </c>
      <c r="AD730" s="3" t="s">
        <v>48</v>
      </c>
      <c r="AE730" s="6">
        <v>44987</v>
      </c>
      <c r="AF730" s="3" t="s">
        <v>59</v>
      </c>
      <c r="AG730" s="3" t="s">
        <v>48</v>
      </c>
      <c r="AH730" s="3">
        <f>YEAR(SrcDB[[#This Row],[Datum_zverejnenia]])</f>
        <v>2022</v>
      </c>
      <c r="AI730" s="3" cm="1">
        <f t="array" ref="AI730">COUNT(_xlfn.UNIQUE(_xlfn._xlws.FILTER(SrcDB[ID],SrcDB[Objednavatel_ICO]=$H730)))</f>
        <v>1</v>
      </c>
      <c r="AJ730" s="3" cm="1">
        <f t="array" ref="AJ730">COUNT(_xlfn.UNIQUE(_xlfn._xlws.FILTER(SrcDB[ID],SrcDB[Dodavatel_ICO]=$K730)))</f>
        <v>4</v>
      </c>
      <c r="AK730" s="3">
        <f t="shared" si="788"/>
        <v>0</v>
      </c>
      <c r="AL730" s="3">
        <f t="shared" si="789"/>
        <v>0</v>
      </c>
      <c r="AM730" s="17" t="str">
        <f>IF(SrcDB[[#This Row],[Pocet zmluv objednavatela]]&gt;3,SrcDB[[#This Row],[Objednavatel]],"Ostatné")</f>
        <v>Ostatné</v>
      </c>
      <c r="AN730" s="17" t="str">
        <f>IF(SrcDB[[#This Row],[Pocet zmluv dodavatela]]&gt;3,SrcDB[[#This Row],[Dodavatel]],"Ostatné")</f>
        <v>Synergon a.s.</v>
      </c>
    </row>
    <row r="731" spans="1:40" x14ac:dyDescent="0.3">
      <c r="A731" s="2" t="s">
        <v>906</v>
      </c>
      <c r="B731" s="2">
        <v>6645112</v>
      </c>
      <c r="C731" s="3" t="str">
        <f t="shared" si="782"/>
        <v>Nie</v>
      </c>
      <c r="D731" s="3" t="str">
        <f t="shared" si="783"/>
        <v>Áno</v>
      </c>
      <c r="E731" s="3" t="s">
        <v>48</v>
      </c>
      <c r="F731" s="3" t="s">
        <v>49</v>
      </c>
      <c r="G731" s="2" t="str">
        <f t="shared" si="784"/>
        <v>Malé zmluvy</v>
      </c>
      <c r="H731" s="5">
        <v>36063606</v>
      </c>
      <c r="I731" s="2" t="s">
        <v>907</v>
      </c>
      <c r="J731" s="2" t="s">
        <v>908</v>
      </c>
      <c r="K731" s="5">
        <v>30775094</v>
      </c>
      <c r="L731" s="2" t="s">
        <v>909</v>
      </c>
      <c r="M731" s="2" t="s">
        <v>910</v>
      </c>
      <c r="N731" s="6">
        <v>44746.576481481483</v>
      </c>
      <c r="O731" s="4">
        <v>747288</v>
      </c>
      <c r="P731" s="2">
        <v>6215909</v>
      </c>
      <c r="Q731" s="2" t="s">
        <v>911</v>
      </c>
      <c r="R731" s="2" t="s">
        <v>912</v>
      </c>
      <c r="S731" s="2" t="s">
        <v>183</v>
      </c>
      <c r="T731" s="2" t="s">
        <v>183</v>
      </c>
      <c r="W731" s="4">
        <v>360</v>
      </c>
      <c r="X731" s="4">
        <v>432</v>
      </c>
      <c r="Y731" s="4">
        <f t="shared" ref="Y731" si="812">INDEX(InternalRates,MATCH($S731,InternalRates01,FALSE),2)</f>
        <v>278.98333333333335</v>
      </c>
      <c r="Z731" s="3" t="str">
        <f t="shared" si="747"/>
        <v>Nie</v>
      </c>
      <c r="AA731" s="3" t="str">
        <f t="shared" si="748"/>
        <v>SLA</v>
      </c>
      <c r="AB731" s="4">
        <v>1000</v>
      </c>
      <c r="AC731" s="4">
        <v>250</v>
      </c>
      <c r="AD731" s="3" t="s">
        <v>48</v>
      </c>
      <c r="AE731" s="6">
        <v>44987</v>
      </c>
      <c r="AF731" s="3" t="s">
        <v>59</v>
      </c>
      <c r="AG731" s="3" t="s">
        <v>48</v>
      </c>
      <c r="AH731" s="3">
        <f>YEAR(SrcDB[[#This Row],[Datum_zverejnenia]])</f>
        <v>2022</v>
      </c>
      <c r="AI731" s="3" cm="1">
        <f t="array" ref="AI731">COUNT(_xlfn.UNIQUE(_xlfn._xlws.FILTER(SrcDB[ID],SrcDB[Objednavatel_ICO]=$H731)))</f>
        <v>3</v>
      </c>
      <c r="AJ731" s="3" cm="1">
        <f t="array" ref="AJ731">COUNT(_xlfn.UNIQUE(_xlfn._xlws.FILTER(SrcDB[ID],SrcDB[Dodavatel_ICO]=$K731)))</f>
        <v>2</v>
      </c>
      <c r="AK731" s="3">
        <f t="shared" si="788"/>
        <v>1</v>
      </c>
      <c r="AL731" s="3">
        <f t="shared" si="789"/>
        <v>1</v>
      </c>
      <c r="AM731" s="17" t="str">
        <f>IF(SrcDB[[#This Row],[Pocet zmluv objednavatela]]&gt;3,SrcDB[[#This Row],[Objednavatel]],"Ostatné")</f>
        <v>Ostatné</v>
      </c>
      <c r="AN731" s="17" t="str">
        <f>IF(SrcDB[[#This Row],[Pocet zmluv dodavatela]]&gt;3,SrcDB[[#This Row],[Dodavatel]],"Ostatné")</f>
        <v>Ostatné</v>
      </c>
    </row>
    <row r="732" spans="1:40" x14ac:dyDescent="0.3">
      <c r="A732" s="2" t="s">
        <v>906</v>
      </c>
      <c r="B732" s="2">
        <v>6645112</v>
      </c>
      <c r="C732" s="3" t="str">
        <f t="shared" si="782"/>
        <v>Nie</v>
      </c>
      <c r="D732" s="3" t="str">
        <f t="shared" si="783"/>
        <v>Áno</v>
      </c>
      <c r="E732" s="3" t="s">
        <v>48</v>
      </c>
      <c r="F732" s="3" t="s">
        <v>49</v>
      </c>
      <c r="G732" s="2" t="str">
        <f t="shared" si="784"/>
        <v>Malé zmluvy</v>
      </c>
      <c r="H732" s="5">
        <v>36063606</v>
      </c>
      <c r="I732" s="2" t="s">
        <v>907</v>
      </c>
      <c r="J732" s="2" t="s">
        <v>908</v>
      </c>
      <c r="K732" s="5">
        <v>30775094</v>
      </c>
      <c r="L732" s="2" t="s">
        <v>909</v>
      </c>
      <c r="M732" s="2" t="s">
        <v>910</v>
      </c>
      <c r="N732" s="6">
        <v>44746.576481481483</v>
      </c>
      <c r="O732" s="4">
        <v>747288</v>
      </c>
      <c r="P732" s="2">
        <v>6215909</v>
      </c>
      <c r="Q732" s="2" t="s">
        <v>911</v>
      </c>
      <c r="R732" s="2" t="s">
        <v>912</v>
      </c>
      <c r="S732" s="2" t="s">
        <v>98</v>
      </c>
      <c r="W732" s="4">
        <v>320</v>
      </c>
      <c r="X732" s="4">
        <v>384</v>
      </c>
      <c r="Y732" s="4">
        <f t="shared" ref="Y732" si="813">INDEX(InternalRates,MATCH($S732,InternalRates01,FALSE),2)</f>
        <v>278.98333333333335</v>
      </c>
      <c r="Z732" s="3" t="str">
        <f t="shared" si="747"/>
        <v>Nie</v>
      </c>
      <c r="AA732" s="3" t="str">
        <f t="shared" si="748"/>
        <v>SLA</v>
      </c>
      <c r="AB732" s="4">
        <v>25</v>
      </c>
      <c r="AC732" s="4">
        <v>6.25</v>
      </c>
      <c r="AD732" s="3" t="s">
        <v>48</v>
      </c>
      <c r="AE732" s="6">
        <v>44987</v>
      </c>
      <c r="AF732" s="3" t="s">
        <v>59</v>
      </c>
      <c r="AG732" s="3" t="s">
        <v>48</v>
      </c>
      <c r="AH732" s="3">
        <f>YEAR(SrcDB[[#This Row],[Datum_zverejnenia]])</f>
        <v>2022</v>
      </c>
      <c r="AI732" s="3" cm="1">
        <f t="array" ref="AI732">COUNT(_xlfn.UNIQUE(_xlfn._xlws.FILTER(SrcDB[ID],SrcDB[Objednavatel_ICO]=$H732)))</f>
        <v>3</v>
      </c>
      <c r="AJ732" s="3" cm="1">
        <f t="array" ref="AJ732">COUNT(_xlfn.UNIQUE(_xlfn._xlws.FILTER(SrcDB[ID],SrcDB[Dodavatel_ICO]=$K732)))</f>
        <v>2</v>
      </c>
      <c r="AK732" s="3">
        <f t="shared" si="788"/>
        <v>0</v>
      </c>
      <c r="AL732" s="3">
        <f t="shared" si="789"/>
        <v>0</v>
      </c>
      <c r="AM732" s="17" t="str">
        <f>IF(SrcDB[[#This Row],[Pocet zmluv objednavatela]]&gt;3,SrcDB[[#This Row],[Objednavatel]],"Ostatné")</f>
        <v>Ostatné</v>
      </c>
      <c r="AN732" s="17" t="str">
        <f>IF(SrcDB[[#This Row],[Pocet zmluv dodavatela]]&gt;3,SrcDB[[#This Row],[Dodavatel]],"Ostatné")</f>
        <v>Ostatné</v>
      </c>
    </row>
    <row r="733" spans="1:40" x14ac:dyDescent="0.3">
      <c r="A733" s="2" t="s">
        <v>913</v>
      </c>
      <c r="B733" s="2">
        <v>6662726</v>
      </c>
      <c r="C733" s="3" t="str">
        <f t="shared" si="782"/>
        <v>Nie</v>
      </c>
      <c r="D733" s="3" t="str">
        <f t="shared" si="783"/>
        <v>Áno</v>
      </c>
      <c r="E733" s="3" t="s">
        <v>48</v>
      </c>
      <c r="F733" s="3" t="s">
        <v>49</v>
      </c>
      <c r="G733" s="2" t="str">
        <f t="shared" si="784"/>
        <v>Malé zmluvy</v>
      </c>
      <c r="H733" s="5">
        <v>17336112</v>
      </c>
      <c r="I733" s="2" t="s">
        <v>914</v>
      </c>
      <c r="J733" s="2" t="s">
        <v>915</v>
      </c>
      <c r="K733" s="5">
        <v>31710549</v>
      </c>
      <c r="L733" s="2" t="s">
        <v>916</v>
      </c>
      <c r="M733" s="2" t="s">
        <v>917</v>
      </c>
      <c r="N733" s="6">
        <v>44750.439988425926</v>
      </c>
      <c r="O733" s="4">
        <v>176206.18</v>
      </c>
      <c r="P733" s="2">
        <v>114571</v>
      </c>
      <c r="Q733" s="2" t="s">
        <v>918</v>
      </c>
      <c r="R733" s="2" t="s">
        <v>919</v>
      </c>
      <c r="S733" s="2" t="s">
        <v>183</v>
      </c>
      <c r="T733" s="2" t="s">
        <v>183</v>
      </c>
      <c r="W733" s="4">
        <v>400</v>
      </c>
      <c r="X733" s="4">
        <v>480</v>
      </c>
      <c r="Y733" s="4">
        <f t="shared" ref="Y733" si="814">INDEX(InternalRates,MATCH($S733,InternalRates01,FALSE),2)</f>
        <v>278.98333333333335</v>
      </c>
      <c r="Z733" s="3" t="str">
        <f t="shared" si="747"/>
        <v>Nie</v>
      </c>
      <c r="AA733" s="3" t="str">
        <f t="shared" si="748"/>
        <v>SLA</v>
      </c>
      <c r="AB733" s="4">
        <v>82</v>
      </c>
      <c r="AC733" s="4">
        <v>41</v>
      </c>
      <c r="AD733" s="3" t="s">
        <v>48</v>
      </c>
      <c r="AE733" s="6">
        <v>44990</v>
      </c>
      <c r="AF733" s="3" t="s">
        <v>59</v>
      </c>
      <c r="AG733" s="3" t="s">
        <v>49</v>
      </c>
      <c r="AH733" s="3">
        <f>YEAR(SrcDB[[#This Row],[Datum_zverejnenia]])</f>
        <v>2022</v>
      </c>
      <c r="AI733" s="3" cm="1">
        <f t="array" ref="AI733">COUNT(_xlfn.UNIQUE(_xlfn._xlws.FILTER(SrcDB[ID],SrcDB[Objednavatel_ICO]=$H733)))</f>
        <v>1</v>
      </c>
      <c r="AJ733" s="3" cm="1">
        <f t="array" ref="AJ733">COUNT(_xlfn.UNIQUE(_xlfn._xlws.FILTER(SrcDB[ID],SrcDB[Dodavatel_ICO]=$K733)))</f>
        <v>1</v>
      </c>
      <c r="AK733" s="3">
        <f t="shared" si="788"/>
        <v>1</v>
      </c>
      <c r="AL733" s="3">
        <f t="shared" si="789"/>
        <v>1</v>
      </c>
      <c r="AM733" s="17" t="str">
        <f>IF(SrcDB[[#This Row],[Pocet zmluv objednavatela]]&gt;3,SrcDB[[#This Row],[Objednavatel]],"Ostatné")</f>
        <v>Ostatné</v>
      </c>
      <c r="AN733" s="17" t="str">
        <f>IF(SrcDB[[#This Row],[Pocet zmluv dodavatela]]&gt;3,SrcDB[[#This Row],[Dodavatel]],"Ostatné")</f>
        <v>Ostatné</v>
      </c>
    </row>
    <row r="734" spans="1:40" x14ac:dyDescent="0.3">
      <c r="A734" s="2" t="s">
        <v>920</v>
      </c>
      <c r="B734" s="2">
        <v>6674983</v>
      </c>
      <c r="C734" s="3" t="str">
        <f t="shared" si="782"/>
        <v>Nejasné</v>
      </c>
      <c r="D734" s="3" t="str">
        <f t="shared" si="783"/>
        <v>Nejasné</v>
      </c>
      <c r="E734" s="3" t="s">
        <v>48</v>
      </c>
      <c r="F734" s="3" t="s">
        <v>49</v>
      </c>
      <c r="G734" s="2" t="str">
        <f t="shared" si="784"/>
        <v>Malé zmluvy</v>
      </c>
      <c r="H734" s="5">
        <v>42499500</v>
      </c>
      <c r="I734" s="2" t="s">
        <v>464</v>
      </c>
      <c r="J734" s="2" t="s">
        <v>465</v>
      </c>
      <c r="K734" s="5">
        <v>35760419</v>
      </c>
      <c r="L734" s="2" t="s">
        <v>85</v>
      </c>
      <c r="M734" s="2" t="s">
        <v>696</v>
      </c>
      <c r="N734" s="6">
        <v>44754.545798611114</v>
      </c>
      <c r="O734" s="4">
        <v>598662.86</v>
      </c>
      <c r="P734" s="2">
        <v>114725</v>
      </c>
      <c r="Q734" s="2" t="s">
        <v>921</v>
      </c>
      <c r="R734" s="2" t="s">
        <v>922</v>
      </c>
      <c r="S734" s="2" t="s">
        <v>183</v>
      </c>
      <c r="T734" s="2" t="s">
        <v>183</v>
      </c>
      <c r="W734" s="4">
        <v>642.48</v>
      </c>
      <c r="X734" s="4">
        <v>770.976</v>
      </c>
      <c r="Y734" s="4">
        <f t="shared" ref="Y734" si="815">INDEX(InternalRates,MATCH($S734,InternalRates01,FALSE),2)</f>
        <v>278.98333333333335</v>
      </c>
      <c r="Z734" s="3" t="str">
        <f t="shared" si="747"/>
        <v>Nie</v>
      </c>
      <c r="AA734" s="3" t="str">
        <f t="shared" si="748"/>
        <v>SLA</v>
      </c>
      <c r="AB734" s="4">
        <v>776.5</v>
      </c>
      <c r="AC734" s="4">
        <v>1414.7191781597105</v>
      </c>
      <c r="AD734" s="3" t="s">
        <v>48</v>
      </c>
      <c r="AE734" s="6">
        <v>44990</v>
      </c>
      <c r="AF734" s="3" t="s">
        <v>59</v>
      </c>
      <c r="AG734" s="3" t="s">
        <v>60</v>
      </c>
      <c r="AH734" s="3">
        <f>YEAR(SrcDB[[#This Row],[Datum_zverejnenia]])</f>
        <v>2022</v>
      </c>
      <c r="AI734" s="3" cm="1">
        <f t="array" ref="AI734">COUNT(_xlfn.UNIQUE(_xlfn._xlws.FILTER(SrcDB[ID],SrcDB[Objednavatel_ICO]=$H734)))</f>
        <v>25</v>
      </c>
      <c r="AJ734" s="3" cm="1">
        <f t="array" ref="AJ734">COUNT(_xlfn.UNIQUE(_xlfn._xlws.FILTER(SrcDB[ID],SrcDB[Dodavatel_ICO]=$K734)))</f>
        <v>34</v>
      </c>
      <c r="AK734" s="3">
        <f t="shared" si="788"/>
        <v>1</v>
      </c>
      <c r="AL734" s="3">
        <f t="shared" si="789"/>
        <v>1</v>
      </c>
      <c r="AM734" s="17" t="str">
        <f>IF(SrcDB[[#This Row],[Pocet zmluv objednavatela]]&gt;3,SrcDB[[#This Row],[Objednavatel]],"Ostatné")</f>
        <v>Finančné riaditeľstvo SR</v>
      </c>
      <c r="AN734" s="17" t="str">
        <f>IF(SrcDB[[#This Row],[Pocet zmluv dodavatela]]&gt;3,SrcDB[[#This Row],[Dodavatel]],"Ostatné")</f>
        <v>Asseco Central Europe, a.s.</v>
      </c>
    </row>
    <row r="735" spans="1:40" x14ac:dyDescent="0.3">
      <c r="A735" s="2" t="s">
        <v>81</v>
      </c>
      <c r="B735" s="2">
        <v>6684428</v>
      </c>
      <c r="C735" s="3" t="str">
        <f t="shared" si="782"/>
        <v>Áno</v>
      </c>
      <c r="D735" s="3" t="str">
        <f t="shared" si="783"/>
        <v>Nie</v>
      </c>
      <c r="E735" s="3" t="s">
        <v>49</v>
      </c>
      <c r="F735" s="3" t="s">
        <v>48</v>
      </c>
      <c r="G735" s="2" t="str">
        <f t="shared" si="784"/>
        <v>Stredné zmluvy</v>
      </c>
      <c r="H735" s="5">
        <v>30798841</v>
      </c>
      <c r="I735" s="2" t="s">
        <v>923</v>
      </c>
      <c r="J735" s="2" t="s">
        <v>924</v>
      </c>
      <c r="K735" s="5">
        <v>35785284</v>
      </c>
      <c r="L735" s="2" t="s">
        <v>291</v>
      </c>
      <c r="M735" s="2" t="s">
        <v>925</v>
      </c>
      <c r="N735" s="6">
        <v>44756.472905092596</v>
      </c>
      <c r="O735" s="4">
        <v>1314720</v>
      </c>
      <c r="P735" s="2">
        <v>114565</v>
      </c>
      <c r="Q735" s="2" t="s">
        <v>926</v>
      </c>
      <c r="R735" s="2" t="s">
        <v>927</v>
      </c>
      <c r="S735" s="2" t="s">
        <v>56</v>
      </c>
      <c r="T735" s="2" t="s">
        <v>94</v>
      </c>
      <c r="U735" s="2" t="s">
        <v>95</v>
      </c>
      <c r="W735" s="4">
        <v>498</v>
      </c>
      <c r="X735" s="4">
        <v>597.6</v>
      </c>
      <c r="Y735" s="4">
        <f t="shared" ref="Y735" si="816">INDEX(InternalRates,MATCH($S735,InternalRates01,FALSE),2)</f>
        <v>278.98333333333335</v>
      </c>
      <c r="Z735" s="3" t="str">
        <f t="shared" si="747"/>
        <v>Nie</v>
      </c>
      <c r="AA735" s="3" t="str">
        <f t="shared" si="748"/>
        <v>ZoD</v>
      </c>
      <c r="AB735" s="4">
        <v>35</v>
      </c>
      <c r="AC735" s="4">
        <v>23.333333333333332</v>
      </c>
      <c r="AD735" s="3" t="s">
        <v>48</v>
      </c>
      <c r="AE735" s="6">
        <v>44985</v>
      </c>
      <c r="AF735" s="3" t="s">
        <v>59</v>
      </c>
      <c r="AG735" s="3" t="s">
        <v>49</v>
      </c>
      <c r="AH735" s="3">
        <f>YEAR(SrcDB[[#This Row],[Datum_zverejnenia]])</f>
        <v>2022</v>
      </c>
      <c r="AI735" s="3" cm="1">
        <f t="array" ref="AI735">COUNT(_xlfn.UNIQUE(_xlfn._xlws.FILTER(SrcDB[ID],SrcDB[Objednavatel_ICO]=$H735)))</f>
        <v>2</v>
      </c>
      <c r="AJ735" s="3" cm="1">
        <f t="array" ref="AJ735">COUNT(_xlfn.UNIQUE(_xlfn._xlws.FILTER(SrcDB[ID],SrcDB[Dodavatel_ICO]=$K735)))</f>
        <v>7</v>
      </c>
      <c r="AK735" s="3">
        <f t="shared" si="788"/>
        <v>1</v>
      </c>
      <c r="AL735" s="3">
        <f t="shared" si="789"/>
        <v>1</v>
      </c>
      <c r="AM735" s="17" t="str">
        <f>IF(SrcDB[[#This Row],[Pocet zmluv objednavatela]]&gt;3,SrcDB[[#This Row],[Objednavatel]],"Ostatné")</f>
        <v>Ostatné</v>
      </c>
      <c r="AN735" s="17" t="str">
        <f>IF(SrcDB[[#This Row],[Pocet zmluv dodavatela]]&gt;3,SrcDB[[#This Row],[Dodavatel]],"Ostatné")</f>
        <v>Plaut Slovensko, s.r.o.</v>
      </c>
    </row>
    <row r="736" spans="1:40" x14ac:dyDescent="0.3">
      <c r="A736" s="2" t="s">
        <v>81</v>
      </c>
      <c r="B736" s="2">
        <v>6684428</v>
      </c>
      <c r="C736" s="3" t="str">
        <f t="shared" si="782"/>
        <v>Áno</v>
      </c>
      <c r="D736" s="3" t="str">
        <f t="shared" si="783"/>
        <v>Nie</v>
      </c>
      <c r="E736" s="3" t="s">
        <v>49</v>
      </c>
      <c r="F736" s="3" t="s">
        <v>48</v>
      </c>
      <c r="G736" s="2" t="str">
        <f t="shared" si="784"/>
        <v>Stredné zmluvy</v>
      </c>
      <c r="H736" s="5">
        <v>30798841</v>
      </c>
      <c r="I736" s="2" t="s">
        <v>923</v>
      </c>
      <c r="J736" s="2" t="s">
        <v>924</v>
      </c>
      <c r="K736" s="5">
        <v>35785284</v>
      </c>
      <c r="L736" s="2" t="s">
        <v>291</v>
      </c>
      <c r="M736" s="2" t="s">
        <v>925</v>
      </c>
      <c r="N736" s="6">
        <v>44756.472905092596</v>
      </c>
      <c r="O736" s="4">
        <v>1314720</v>
      </c>
      <c r="P736" s="2">
        <v>114565</v>
      </c>
      <c r="Q736" s="2" t="s">
        <v>926</v>
      </c>
      <c r="R736" s="2" t="s">
        <v>927</v>
      </c>
      <c r="S736" s="2" t="s">
        <v>73</v>
      </c>
      <c r="W736" s="4">
        <v>498</v>
      </c>
      <c r="X736" s="4">
        <v>597.6</v>
      </c>
      <c r="Y736" s="4">
        <f t="shared" ref="Y736" si="817">INDEX(InternalRates,MATCH($S736,InternalRates01,FALSE),2)</f>
        <v>278.98333333333335</v>
      </c>
      <c r="Z736" s="3" t="str">
        <f t="shared" ref="Z736:Z799" si="818">IF(W736&gt;0,IF(Y736&gt;W736,"Áno","Nie"),"Nie")</f>
        <v>Nie</v>
      </c>
      <c r="AA736" s="3" t="str">
        <f t="shared" ref="AA736:AA799" si="819">IF(E736="Nie","SLA",IF(F736="Nie","ZoD","SLA+ZoD"))</f>
        <v>ZoD</v>
      </c>
      <c r="AB736" s="4">
        <v>510</v>
      </c>
      <c r="AC736" s="4">
        <v>340</v>
      </c>
      <c r="AD736" s="3" t="s">
        <v>48</v>
      </c>
      <c r="AE736" s="6">
        <v>44985</v>
      </c>
      <c r="AF736" s="3" t="s">
        <v>59</v>
      </c>
      <c r="AG736" s="3" t="s">
        <v>49</v>
      </c>
      <c r="AH736" s="3">
        <f>YEAR(SrcDB[[#This Row],[Datum_zverejnenia]])</f>
        <v>2022</v>
      </c>
      <c r="AI736" s="3" cm="1">
        <f t="array" ref="AI736">COUNT(_xlfn.UNIQUE(_xlfn._xlws.FILTER(SrcDB[ID],SrcDB[Objednavatel_ICO]=$H736)))</f>
        <v>2</v>
      </c>
      <c r="AJ736" s="3" cm="1">
        <f t="array" ref="AJ736">COUNT(_xlfn.UNIQUE(_xlfn._xlws.FILTER(SrcDB[ID],SrcDB[Dodavatel_ICO]=$K736)))</f>
        <v>7</v>
      </c>
      <c r="AK736" s="3">
        <f t="shared" si="788"/>
        <v>0</v>
      </c>
      <c r="AL736" s="3">
        <f t="shared" si="789"/>
        <v>0</v>
      </c>
      <c r="AM736" s="17" t="str">
        <f>IF(SrcDB[[#This Row],[Pocet zmluv objednavatela]]&gt;3,SrcDB[[#This Row],[Objednavatel]],"Ostatné")</f>
        <v>Ostatné</v>
      </c>
      <c r="AN736" s="17" t="str">
        <f>IF(SrcDB[[#This Row],[Pocet zmluv dodavatela]]&gt;3,SrcDB[[#This Row],[Dodavatel]],"Ostatné")</f>
        <v>Plaut Slovensko, s.r.o.</v>
      </c>
    </row>
    <row r="737" spans="1:40" x14ac:dyDescent="0.3">
      <c r="A737" s="2" t="s">
        <v>81</v>
      </c>
      <c r="B737" s="2">
        <v>6684428</v>
      </c>
      <c r="C737" s="3" t="str">
        <f t="shared" si="782"/>
        <v>Áno</v>
      </c>
      <c r="D737" s="3" t="str">
        <f t="shared" si="783"/>
        <v>Nie</v>
      </c>
      <c r="E737" s="3" t="s">
        <v>49</v>
      </c>
      <c r="F737" s="3" t="s">
        <v>48</v>
      </c>
      <c r="G737" s="2" t="str">
        <f t="shared" si="784"/>
        <v>Stredné zmluvy</v>
      </c>
      <c r="H737" s="5">
        <v>30798841</v>
      </c>
      <c r="I737" s="2" t="s">
        <v>923</v>
      </c>
      <c r="J737" s="2" t="s">
        <v>924</v>
      </c>
      <c r="K737" s="5">
        <v>35785284</v>
      </c>
      <c r="L737" s="2" t="s">
        <v>291</v>
      </c>
      <c r="M737" s="2" t="s">
        <v>925</v>
      </c>
      <c r="N737" s="6">
        <v>44756.472905092596</v>
      </c>
      <c r="O737" s="4">
        <v>1314720</v>
      </c>
      <c r="P737" s="2">
        <v>114565</v>
      </c>
      <c r="Q737" s="2" t="s">
        <v>926</v>
      </c>
      <c r="R737" s="2" t="s">
        <v>927</v>
      </c>
      <c r="S737" s="2" t="s">
        <v>71</v>
      </c>
      <c r="W737" s="4">
        <v>498</v>
      </c>
      <c r="X737" s="4">
        <v>597.6</v>
      </c>
      <c r="Y737" s="4">
        <f t="shared" ref="Y737" si="820">INDEX(InternalRates,MATCH($S737,InternalRates01,FALSE),2)</f>
        <v>354.0333333333333</v>
      </c>
      <c r="Z737" s="3" t="str">
        <f t="shared" si="818"/>
        <v>Nie</v>
      </c>
      <c r="AA737" s="3" t="str">
        <f t="shared" si="819"/>
        <v>ZoD</v>
      </c>
      <c r="AB737" s="4">
        <v>219</v>
      </c>
      <c r="AC737" s="4">
        <v>146</v>
      </c>
      <c r="AD737" s="3" t="s">
        <v>48</v>
      </c>
      <c r="AE737" s="6">
        <v>44985</v>
      </c>
      <c r="AF737" s="3" t="s">
        <v>59</v>
      </c>
      <c r="AG737" s="3" t="s">
        <v>49</v>
      </c>
      <c r="AH737" s="3">
        <f>YEAR(SrcDB[[#This Row],[Datum_zverejnenia]])</f>
        <v>2022</v>
      </c>
      <c r="AI737" s="3" cm="1">
        <f t="array" ref="AI737">COUNT(_xlfn.UNIQUE(_xlfn._xlws.FILTER(SrcDB[ID],SrcDB[Objednavatel_ICO]=$H737)))</f>
        <v>2</v>
      </c>
      <c r="AJ737" s="3" cm="1">
        <f t="array" ref="AJ737">COUNT(_xlfn.UNIQUE(_xlfn._xlws.FILTER(SrcDB[ID],SrcDB[Dodavatel_ICO]=$K737)))</f>
        <v>7</v>
      </c>
      <c r="AK737" s="3">
        <f t="shared" si="788"/>
        <v>0</v>
      </c>
      <c r="AL737" s="3">
        <f t="shared" si="789"/>
        <v>0</v>
      </c>
      <c r="AM737" s="17" t="str">
        <f>IF(SrcDB[[#This Row],[Pocet zmluv objednavatela]]&gt;3,SrcDB[[#This Row],[Objednavatel]],"Ostatné")</f>
        <v>Ostatné</v>
      </c>
      <c r="AN737" s="17" t="str">
        <f>IF(SrcDB[[#This Row],[Pocet zmluv dodavatela]]&gt;3,SrcDB[[#This Row],[Dodavatel]],"Ostatné")</f>
        <v>Plaut Slovensko, s.r.o.</v>
      </c>
    </row>
    <row r="738" spans="1:40" x14ac:dyDescent="0.3">
      <c r="A738" s="2" t="s">
        <v>81</v>
      </c>
      <c r="B738" s="2">
        <v>6684428</v>
      </c>
      <c r="C738" s="3" t="str">
        <f t="shared" si="782"/>
        <v>Áno</v>
      </c>
      <c r="D738" s="3" t="str">
        <f t="shared" si="783"/>
        <v>Nie</v>
      </c>
      <c r="E738" s="3" t="s">
        <v>49</v>
      </c>
      <c r="F738" s="3" t="s">
        <v>48</v>
      </c>
      <c r="G738" s="2" t="str">
        <f t="shared" si="784"/>
        <v>Stredné zmluvy</v>
      </c>
      <c r="H738" s="5">
        <v>30798841</v>
      </c>
      <c r="I738" s="2" t="s">
        <v>923</v>
      </c>
      <c r="J738" s="2" t="s">
        <v>924</v>
      </c>
      <c r="K738" s="5">
        <v>35785284</v>
      </c>
      <c r="L738" s="2" t="s">
        <v>291</v>
      </c>
      <c r="M738" s="2" t="s">
        <v>925</v>
      </c>
      <c r="N738" s="6">
        <v>44756.472905092596</v>
      </c>
      <c r="O738" s="4">
        <v>1314720</v>
      </c>
      <c r="P738" s="2">
        <v>114565</v>
      </c>
      <c r="Q738" s="2" t="s">
        <v>926</v>
      </c>
      <c r="R738" s="2" t="s">
        <v>927</v>
      </c>
      <c r="S738" s="2" t="s">
        <v>69</v>
      </c>
      <c r="T738" s="2" t="s">
        <v>70</v>
      </c>
      <c r="W738" s="4">
        <v>498</v>
      </c>
      <c r="X738" s="4">
        <v>597.6</v>
      </c>
      <c r="Y738" s="4">
        <f t="shared" ref="Y738" si="821">INDEX(InternalRates,MATCH($S738,InternalRates01,FALSE),2)</f>
        <v>278.98333333333335</v>
      </c>
      <c r="Z738" s="3" t="str">
        <f t="shared" si="818"/>
        <v>Nie</v>
      </c>
      <c r="AA738" s="3" t="str">
        <f t="shared" si="819"/>
        <v>ZoD</v>
      </c>
      <c r="AB738" s="4">
        <v>87</v>
      </c>
      <c r="AC738" s="4">
        <v>58</v>
      </c>
      <c r="AD738" s="3" t="s">
        <v>48</v>
      </c>
      <c r="AE738" s="6">
        <v>44985</v>
      </c>
      <c r="AF738" s="3" t="s">
        <v>59</v>
      </c>
      <c r="AG738" s="3" t="s">
        <v>49</v>
      </c>
      <c r="AH738" s="3">
        <f>YEAR(SrcDB[[#This Row],[Datum_zverejnenia]])</f>
        <v>2022</v>
      </c>
      <c r="AI738" s="3" cm="1">
        <f t="array" ref="AI738">COUNT(_xlfn.UNIQUE(_xlfn._xlws.FILTER(SrcDB[ID],SrcDB[Objednavatel_ICO]=$H738)))</f>
        <v>2</v>
      </c>
      <c r="AJ738" s="3" cm="1">
        <f t="array" ref="AJ738">COUNT(_xlfn.UNIQUE(_xlfn._xlws.FILTER(SrcDB[ID],SrcDB[Dodavatel_ICO]=$K738)))</f>
        <v>7</v>
      </c>
      <c r="AK738" s="3">
        <f t="shared" si="788"/>
        <v>0</v>
      </c>
      <c r="AL738" s="3">
        <f t="shared" si="789"/>
        <v>0</v>
      </c>
      <c r="AM738" s="17" t="str">
        <f>IF(SrcDB[[#This Row],[Pocet zmluv objednavatela]]&gt;3,SrcDB[[#This Row],[Objednavatel]],"Ostatné")</f>
        <v>Ostatné</v>
      </c>
      <c r="AN738" s="17" t="str">
        <f>IF(SrcDB[[#This Row],[Pocet zmluv dodavatela]]&gt;3,SrcDB[[#This Row],[Dodavatel]],"Ostatné")</f>
        <v>Plaut Slovensko, s.r.o.</v>
      </c>
    </row>
    <row r="739" spans="1:40" x14ac:dyDescent="0.3">
      <c r="A739" s="2" t="s">
        <v>81</v>
      </c>
      <c r="B739" s="2">
        <v>6684428</v>
      </c>
      <c r="C739" s="3" t="str">
        <f t="shared" si="782"/>
        <v>Áno</v>
      </c>
      <c r="D739" s="3" t="str">
        <f t="shared" si="783"/>
        <v>Nie</v>
      </c>
      <c r="E739" s="3" t="s">
        <v>49</v>
      </c>
      <c r="F739" s="3" t="s">
        <v>48</v>
      </c>
      <c r="G739" s="2" t="str">
        <f t="shared" si="784"/>
        <v>Stredné zmluvy</v>
      </c>
      <c r="H739" s="5">
        <v>30798841</v>
      </c>
      <c r="I739" s="2" t="s">
        <v>923</v>
      </c>
      <c r="J739" s="2" t="s">
        <v>924</v>
      </c>
      <c r="K739" s="5">
        <v>35785284</v>
      </c>
      <c r="L739" s="2" t="s">
        <v>291</v>
      </c>
      <c r="M739" s="2" t="s">
        <v>925</v>
      </c>
      <c r="N739" s="6">
        <v>44756.472905092596</v>
      </c>
      <c r="O739" s="4">
        <v>1314720</v>
      </c>
      <c r="P739" s="2">
        <v>114565</v>
      </c>
      <c r="Q739" s="2" t="s">
        <v>926</v>
      </c>
      <c r="R739" s="2" t="s">
        <v>927</v>
      </c>
      <c r="S739" s="2" t="s">
        <v>56</v>
      </c>
      <c r="T739" s="2" t="s">
        <v>96</v>
      </c>
      <c r="U739" s="2" t="s">
        <v>97</v>
      </c>
      <c r="W739" s="4">
        <v>498</v>
      </c>
      <c r="X739" s="4">
        <v>597.6</v>
      </c>
      <c r="Y739" s="4">
        <f t="shared" ref="Y739" si="822">INDEX(InternalRates,MATCH($S739,InternalRates01,FALSE),2)</f>
        <v>278.98333333333335</v>
      </c>
      <c r="Z739" s="3" t="str">
        <f t="shared" si="818"/>
        <v>Nie</v>
      </c>
      <c r="AA739" s="3" t="str">
        <f t="shared" si="819"/>
        <v>ZoD</v>
      </c>
      <c r="AB739" s="4">
        <v>5</v>
      </c>
      <c r="AC739" s="4">
        <v>3.3333333333333335</v>
      </c>
      <c r="AD739" s="3" t="s">
        <v>48</v>
      </c>
      <c r="AE739" s="6">
        <v>44985</v>
      </c>
      <c r="AF739" s="3" t="s">
        <v>59</v>
      </c>
      <c r="AG739" s="3" t="s">
        <v>49</v>
      </c>
      <c r="AH739" s="3">
        <f>YEAR(SrcDB[[#This Row],[Datum_zverejnenia]])</f>
        <v>2022</v>
      </c>
      <c r="AI739" s="3" cm="1">
        <f t="array" ref="AI739">COUNT(_xlfn.UNIQUE(_xlfn._xlws.FILTER(SrcDB[ID],SrcDB[Objednavatel_ICO]=$H739)))</f>
        <v>2</v>
      </c>
      <c r="AJ739" s="3" cm="1">
        <f t="array" ref="AJ739">COUNT(_xlfn.UNIQUE(_xlfn._xlws.FILTER(SrcDB[ID],SrcDB[Dodavatel_ICO]=$K739)))</f>
        <v>7</v>
      </c>
      <c r="AK739" s="3">
        <f t="shared" si="788"/>
        <v>0</v>
      </c>
      <c r="AL739" s="3">
        <f t="shared" si="789"/>
        <v>0</v>
      </c>
      <c r="AM739" s="17" t="str">
        <f>IF(SrcDB[[#This Row],[Pocet zmluv objednavatela]]&gt;3,SrcDB[[#This Row],[Objednavatel]],"Ostatné")</f>
        <v>Ostatné</v>
      </c>
      <c r="AN739" s="17" t="str">
        <f>IF(SrcDB[[#This Row],[Pocet zmluv dodavatela]]&gt;3,SrcDB[[#This Row],[Dodavatel]],"Ostatné")</f>
        <v>Plaut Slovensko, s.r.o.</v>
      </c>
    </row>
    <row r="740" spans="1:40" x14ac:dyDescent="0.3">
      <c r="A740" s="2" t="s">
        <v>81</v>
      </c>
      <c r="B740" s="2">
        <v>6684428</v>
      </c>
      <c r="C740" s="3" t="str">
        <f t="shared" si="782"/>
        <v>Áno</v>
      </c>
      <c r="D740" s="3" t="str">
        <f t="shared" si="783"/>
        <v>Nie</v>
      </c>
      <c r="E740" s="3" t="s">
        <v>49</v>
      </c>
      <c r="F740" s="3" t="s">
        <v>48</v>
      </c>
      <c r="G740" s="2" t="str">
        <f t="shared" si="784"/>
        <v>Stredné zmluvy</v>
      </c>
      <c r="H740" s="5">
        <v>30798841</v>
      </c>
      <c r="I740" s="2" t="s">
        <v>923</v>
      </c>
      <c r="J740" s="2" t="s">
        <v>924</v>
      </c>
      <c r="K740" s="5">
        <v>35785284</v>
      </c>
      <c r="L740" s="2" t="s">
        <v>291</v>
      </c>
      <c r="M740" s="2" t="s">
        <v>925</v>
      </c>
      <c r="N740" s="6">
        <v>44756.472905092596</v>
      </c>
      <c r="O740" s="4">
        <v>1314720</v>
      </c>
      <c r="P740" s="2">
        <v>114565</v>
      </c>
      <c r="Q740" s="2" t="s">
        <v>926</v>
      </c>
      <c r="R740" s="2" t="s">
        <v>927</v>
      </c>
      <c r="S740" s="2" t="s">
        <v>77</v>
      </c>
      <c r="W740" s="4">
        <v>498</v>
      </c>
      <c r="X740" s="4">
        <v>597.6</v>
      </c>
      <c r="Y740" s="4">
        <f t="shared" ref="Y740" si="823">INDEX(InternalRates,MATCH($S740,InternalRates01,FALSE),2)</f>
        <v>278.98333333333335</v>
      </c>
      <c r="Z740" s="3" t="str">
        <f t="shared" si="818"/>
        <v>Nie</v>
      </c>
      <c r="AA740" s="3" t="str">
        <f t="shared" si="819"/>
        <v>ZoD</v>
      </c>
      <c r="AB740" s="4">
        <v>1047</v>
      </c>
      <c r="AC740" s="4">
        <v>698</v>
      </c>
      <c r="AD740" s="3" t="s">
        <v>48</v>
      </c>
      <c r="AE740" s="6">
        <v>44985</v>
      </c>
      <c r="AF740" s="3" t="s">
        <v>59</v>
      </c>
      <c r="AG740" s="3" t="s">
        <v>49</v>
      </c>
      <c r="AH740" s="3">
        <f>YEAR(SrcDB[[#This Row],[Datum_zverejnenia]])</f>
        <v>2022</v>
      </c>
      <c r="AI740" s="3" cm="1">
        <f t="array" ref="AI740">COUNT(_xlfn.UNIQUE(_xlfn._xlws.FILTER(SrcDB[ID],SrcDB[Objednavatel_ICO]=$H740)))</f>
        <v>2</v>
      </c>
      <c r="AJ740" s="3" cm="1">
        <f t="array" ref="AJ740">COUNT(_xlfn.UNIQUE(_xlfn._xlws.FILTER(SrcDB[ID],SrcDB[Dodavatel_ICO]=$K740)))</f>
        <v>7</v>
      </c>
      <c r="AK740" s="3">
        <f t="shared" si="788"/>
        <v>0</v>
      </c>
      <c r="AL740" s="3">
        <f t="shared" si="789"/>
        <v>0</v>
      </c>
      <c r="AM740" s="17" t="str">
        <f>IF(SrcDB[[#This Row],[Pocet zmluv objednavatela]]&gt;3,SrcDB[[#This Row],[Objednavatel]],"Ostatné")</f>
        <v>Ostatné</v>
      </c>
      <c r="AN740" s="17" t="str">
        <f>IF(SrcDB[[#This Row],[Pocet zmluv dodavatela]]&gt;3,SrcDB[[#This Row],[Dodavatel]],"Ostatné")</f>
        <v>Plaut Slovensko, s.r.o.</v>
      </c>
    </row>
    <row r="741" spans="1:40" x14ac:dyDescent="0.3">
      <c r="A741" s="2" t="s">
        <v>81</v>
      </c>
      <c r="B741" s="2">
        <v>6684428</v>
      </c>
      <c r="C741" s="3" t="str">
        <f t="shared" si="782"/>
        <v>Áno</v>
      </c>
      <c r="D741" s="3" t="str">
        <f t="shared" si="783"/>
        <v>Nie</v>
      </c>
      <c r="E741" s="3" t="s">
        <v>49</v>
      </c>
      <c r="F741" s="3" t="s">
        <v>48</v>
      </c>
      <c r="G741" s="2" t="str">
        <f t="shared" si="784"/>
        <v>Stredné zmluvy</v>
      </c>
      <c r="H741" s="5">
        <v>30798841</v>
      </c>
      <c r="I741" s="2" t="s">
        <v>923</v>
      </c>
      <c r="J741" s="2" t="s">
        <v>924</v>
      </c>
      <c r="K741" s="5">
        <v>35785284</v>
      </c>
      <c r="L741" s="2" t="s">
        <v>291</v>
      </c>
      <c r="M741" s="2" t="s">
        <v>925</v>
      </c>
      <c r="N741" s="6">
        <v>44756.472905092596</v>
      </c>
      <c r="O741" s="4">
        <v>1314720</v>
      </c>
      <c r="P741" s="2">
        <v>114565</v>
      </c>
      <c r="Q741" s="2" t="s">
        <v>926</v>
      </c>
      <c r="R741" s="2" t="s">
        <v>927</v>
      </c>
      <c r="S741" s="2" t="s">
        <v>56</v>
      </c>
      <c r="T741" s="2" t="s">
        <v>522</v>
      </c>
      <c r="U741" s="2" t="s">
        <v>289</v>
      </c>
      <c r="W741" s="4">
        <v>498</v>
      </c>
      <c r="X741" s="4">
        <v>597.6</v>
      </c>
      <c r="Y741" s="4">
        <f t="shared" ref="Y741" si="824">INDEX(InternalRates,MATCH($S741,InternalRates01,FALSE),2)</f>
        <v>278.98333333333335</v>
      </c>
      <c r="Z741" s="3" t="str">
        <f t="shared" si="818"/>
        <v>Nie</v>
      </c>
      <c r="AA741" s="3" t="str">
        <f t="shared" si="819"/>
        <v>ZoD</v>
      </c>
      <c r="AB741" s="4">
        <v>160</v>
      </c>
      <c r="AC741" s="4">
        <v>106.66666666666667</v>
      </c>
      <c r="AD741" s="3" t="s">
        <v>48</v>
      </c>
      <c r="AE741" s="6">
        <v>44985</v>
      </c>
      <c r="AF741" s="3" t="s">
        <v>59</v>
      </c>
      <c r="AG741" s="3" t="s">
        <v>49</v>
      </c>
      <c r="AH741" s="3">
        <f>YEAR(SrcDB[[#This Row],[Datum_zverejnenia]])</f>
        <v>2022</v>
      </c>
      <c r="AI741" s="3" cm="1">
        <f t="array" ref="AI741">COUNT(_xlfn.UNIQUE(_xlfn._xlws.FILTER(SrcDB[ID],SrcDB[Objednavatel_ICO]=$H741)))</f>
        <v>2</v>
      </c>
      <c r="AJ741" s="3" cm="1">
        <f t="array" ref="AJ741">COUNT(_xlfn.UNIQUE(_xlfn._xlws.FILTER(SrcDB[ID],SrcDB[Dodavatel_ICO]=$K741)))</f>
        <v>7</v>
      </c>
      <c r="AK741" s="3">
        <f t="shared" si="788"/>
        <v>0</v>
      </c>
      <c r="AL741" s="3">
        <f t="shared" si="789"/>
        <v>0</v>
      </c>
      <c r="AM741" s="17" t="str">
        <f>IF(SrcDB[[#This Row],[Pocet zmluv objednavatela]]&gt;3,SrcDB[[#This Row],[Objednavatel]],"Ostatné")</f>
        <v>Ostatné</v>
      </c>
      <c r="AN741" s="17" t="str">
        <f>IF(SrcDB[[#This Row],[Pocet zmluv dodavatela]]&gt;3,SrcDB[[#This Row],[Dodavatel]],"Ostatné")</f>
        <v>Plaut Slovensko, s.r.o.</v>
      </c>
    </row>
    <row r="742" spans="1:40" x14ac:dyDescent="0.3">
      <c r="A742" s="2" t="s">
        <v>81</v>
      </c>
      <c r="B742" s="2">
        <v>6684428</v>
      </c>
      <c r="C742" s="3" t="str">
        <f t="shared" si="782"/>
        <v>Áno</v>
      </c>
      <c r="D742" s="3" t="str">
        <f t="shared" si="783"/>
        <v>Nie</v>
      </c>
      <c r="E742" s="3" t="s">
        <v>49</v>
      </c>
      <c r="F742" s="3" t="s">
        <v>48</v>
      </c>
      <c r="G742" s="2" t="str">
        <f t="shared" si="784"/>
        <v>Stredné zmluvy</v>
      </c>
      <c r="H742" s="5">
        <v>30798841</v>
      </c>
      <c r="I742" s="2" t="s">
        <v>923</v>
      </c>
      <c r="J742" s="2" t="s">
        <v>924</v>
      </c>
      <c r="K742" s="5">
        <v>35785284</v>
      </c>
      <c r="L742" s="2" t="s">
        <v>291</v>
      </c>
      <c r="M742" s="2" t="s">
        <v>925</v>
      </c>
      <c r="N742" s="6">
        <v>44756.472905092596</v>
      </c>
      <c r="O742" s="4">
        <v>1314720</v>
      </c>
      <c r="P742" s="2">
        <v>114565</v>
      </c>
      <c r="Q742" s="2" t="s">
        <v>926</v>
      </c>
      <c r="R742" s="2" t="s">
        <v>927</v>
      </c>
      <c r="S742" s="2" t="s">
        <v>79</v>
      </c>
      <c r="W742" s="4">
        <v>498</v>
      </c>
      <c r="X742" s="4">
        <v>597.6</v>
      </c>
      <c r="Y742" s="4">
        <f t="shared" ref="Y742" si="825">INDEX(InternalRates,MATCH($S742,InternalRates01,FALSE),2)</f>
        <v>278.98333333333335</v>
      </c>
      <c r="Z742" s="3" t="str">
        <f t="shared" si="818"/>
        <v>Nie</v>
      </c>
      <c r="AA742" s="3" t="str">
        <f t="shared" si="819"/>
        <v>ZoD</v>
      </c>
      <c r="AB742" s="4">
        <v>137</v>
      </c>
      <c r="AC742" s="4">
        <v>91.333333333333329</v>
      </c>
      <c r="AD742" s="3" t="s">
        <v>48</v>
      </c>
      <c r="AE742" s="6">
        <v>44985</v>
      </c>
      <c r="AF742" s="3" t="s">
        <v>59</v>
      </c>
      <c r="AG742" s="3" t="s">
        <v>49</v>
      </c>
      <c r="AH742" s="3">
        <f>YEAR(SrcDB[[#This Row],[Datum_zverejnenia]])</f>
        <v>2022</v>
      </c>
      <c r="AI742" s="3" cm="1">
        <f t="array" ref="AI742">COUNT(_xlfn.UNIQUE(_xlfn._xlws.FILTER(SrcDB[ID],SrcDB[Objednavatel_ICO]=$H742)))</f>
        <v>2</v>
      </c>
      <c r="AJ742" s="3" cm="1">
        <f t="array" ref="AJ742">COUNT(_xlfn.UNIQUE(_xlfn._xlws.FILTER(SrcDB[ID],SrcDB[Dodavatel_ICO]=$K742)))</f>
        <v>7</v>
      </c>
      <c r="AK742" s="3">
        <f t="shared" si="788"/>
        <v>0</v>
      </c>
      <c r="AL742" s="3">
        <f t="shared" si="789"/>
        <v>0</v>
      </c>
      <c r="AM742" s="17" t="str">
        <f>IF(SrcDB[[#This Row],[Pocet zmluv objednavatela]]&gt;3,SrcDB[[#This Row],[Objednavatel]],"Ostatné")</f>
        <v>Ostatné</v>
      </c>
      <c r="AN742" s="17" t="str">
        <f>IF(SrcDB[[#This Row],[Pocet zmluv dodavatela]]&gt;3,SrcDB[[#This Row],[Dodavatel]],"Ostatné")</f>
        <v>Plaut Slovensko, s.r.o.</v>
      </c>
    </row>
    <row r="743" spans="1:40" x14ac:dyDescent="0.3">
      <c r="A743" s="2" t="s">
        <v>928</v>
      </c>
      <c r="B743" s="2">
        <v>6685559</v>
      </c>
      <c r="C743" s="3" t="str">
        <f t="shared" si="782"/>
        <v>Nie</v>
      </c>
      <c r="D743" s="3" t="str">
        <f t="shared" si="783"/>
        <v>Áno</v>
      </c>
      <c r="E743" s="3" t="s">
        <v>48</v>
      </c>
      <c r="F743" s="3" t="s">
        <v>49</v>
      </c>
      <c r="G743" s="2" t="str">
        <f t="shared" si="784"/>
        <v>Stredné zmluvy</v>
      </c>
      <c r="H743" s="5" t="s">
        <v>231</v>
      </c>
      <c r="I743" s="2" t="s">
        <v>232</v>
      </c>
      <c r="J743" s="2" t="s">
        <v>233</v>
      </c>
      <c r="K743" s="5">
        <v>36396222</v>
      </c>
      <c r="L743" s="2" t="s">
        <v>52</v>
      </c>
      <c r="M743" s="2" t="s">
        <v>53</v>
      </c>
      <c r="N743" s="6">
        <v>44756.565960648149</v>
      </c>
      <c r="O743" s="4">
        <v>4402695.5999999996</v>
      </c>
      <c r="P743" s="2">
        <v>114497</v>
      </c>
      <c r="Q743" s="2" t="s">
        <v>929</v>
      </c>
      <c r="R743" s="2" t="s">
        <v>930</v>
      </c>
      <c r="S743" s="2" t="s">
        <v>162</v>
      </c>
      <c r="W743" s="4">
        <v>536.75708501999998</v>
      </c>
      <c r="X743" s="4">
        <v>644.1085020239999</v>
      </c>
      <c r="Y743" s="4">
        <f t="shared" ref="Y743" si="826">INDEX(InternalRates,MATCH($S743,InternalRates01,FALSE),2)</f>
        <v>231.85833333333335</v>
      </c>
      <c r="Z743" s="3" t="str">
        <f t="shared" si="818"/>
        <v>Nie</v>
      </c>
      <c r="AA743" s="3" t="str">
        <f t="shared" si="819"/>
        <v>SLA</v>
      </c>
      <c r="AB743" s="4">
        <v>3952</v>
      </c>
      <c r="AC743" s="4">
        <v>988</v>
      </c>
      <c r="AD743" s="3" t="s">
        <v>48</v>
      </c>
      <c r="AE743" s="6">
        <v>44987</v>
      </c>
      <c r="AF743" s="3" t="s">
        <v>59</v>
      </c>
      <c r="AG743" s="3" t="s">
        <v>49</v>
      </c>
      <c r="AH743" s="3">
        <f>YEAR(SrcDB[[#This Row],[Datum_zverejnenia]])</f>
        <v>2022</v>
      </c>
      <c r="AI743" s="3" cm="1">
        <f t="array" ref="AI743">COUNT(_xlfn.UNIQUE(_xlfn._xlws.FILTER(SrcDB[ID],SrcDB[Objednavatel_ICO]=$H743)))</f>
        <v>9</v>
      </c>
      <c r="AJ743" s="3" cm="1">
        <f t="array" ref="AJ743">COUNT(_xlfn.UNIQUE(_xlfn._xlws.FILTER(SrcDB[ID],SrcDB[Dodavatel_ICO]=$K743)))</f>
        <v>11</v>
      </c>
      <c r="AK743" s="3">
        <f t="shared" si="788"/>
        <v>1</v>
      </c>
      <c r="AL743" s="3">
        <f t="shared" si="789"/>
        <v>1</v>
      </c>
      <c r="AM743" s="17" t="str">
        <f>IF(SrcDB[[#This Row],[Pocet zmluv objednavatela]]&gt;3,SrcDB[[#This Row],[Objednavatel]],"Ostatné")</f>
        <v>Ministerstvo školstva, výskumu, vývoja a mládeže SR</v>
      </c>
      <c r="AN743" s="17" t="str">
        <f>IF(SrcDB[[#This Row],[Pocet zmluv dodavatela]]&gt;3,SrcDB[[#This Row],[Dodavatel]],"Ostatné")</f>
        <v>AUTOCONT s.r.o. / ARICOMA Systems s.r.o.</v>
      </c>
    </row>
    <row r="744" spans="1:40" x14ac:dyDescent="0.3">
      <c r="A744" s="2" t="s">
        <v>928</v>
      </c>
      <c r="B744" s="2">
        <v>6685559</v>
      </c>
      <c r="C744" s="3" t="str">
        <f t="shared" si="782"/>
        <v>Nie</v>
      </c>
      <c r="D744" s="3" t="str">
        <f t="shared" si="783"/>
        <v>Áno</v>
      </c>
      <c r="E744" s="3" t="s">
        <v>48</v>
      </c>
      <c r="F744" s="3" t="s">
        <v>49</v>
      </c>
      <c r="G744" s="2" t="str">
        <f t="shared" si="784"/>
        <v>Stredné zmluvy</v>
      </c>
      <c r="H744" s="5" t="s">
        <v>231</v>
      </c>
      <c r="I744" s="2" t="s">
        <v>232</v>
      </c>
      <c r="J744" s="2" t="s">
        <v>233</v>
      </c>
      <c r="K744" s="5">
        <v>36396222</v>
      </c>
      <c r="L744" s="2" t="s">
        <v>52</v>
      </c>
      <c r="M744" s="2" t="s">
        <v>53</v>
      </c>
      <c r="N744" s="6">
        <v>44756.565960648149</v>
      </c>
      <c r="O744" s="4">
        <v>4402695.5999999996</v>
      </c>
      <c r="P744" s="2">
        <v>114497</v>
      </c>
      <c r="Q744" s="2" t="s">
        <v>929</v>
      </c>
      <c r="R744" s="2" t="s">
        <v>930</v>
      </c>
      <c r="S744" s="2" t="s">
        <v>56</v>
      </c>
      <c r="U744" s="2" t="s">
        <v>58</v>
      </c>
      <c r="W744" s="4">
        <v>606.47523879519997</v>
      </c>
      <c r="X744" s="4">
        <v>727.77028655423999</v>
      </c>
      <c r="Y744" s="4">
        <f t="shared" ref="Y744" si="827">INDEX(InternalRates,MATCH($S744,InternalRates01,FALSE),2)</f>
        <v>278.98333333333335</v>
      </c>
      <c r="Z744" s="3" t="str">
        <f t="shared" si="818"/>
        <v>Nie</v>
      </c>
      <c r="AA744" s="3" t="str">
        <f t="shared" si="819"/>
        <v>SLA</v>
      </c>
      <c r="AB744" s="4">
        <v>2551.875</v>
      </c>
      <c r="AC744" s="4">
        <v>637.96875</v>
      </c>
      <c r="AD744" s="3" t="s">
        <v>48</v>
      </c>
      <c r="AE744" s="6">
        <v>44987</v>
      </c>
      <c r="AF744" s="3" t="s">
        <v>59</v>
      </c>
      <c r="AG744" s="3" t="s">
        <v>49</v>
      </c>
      <c r="AH744" s="3">
        <f>YEAR(SrcDB[[#This Row],[Datum_zverejnenia]])</f>
        <v>2022</v>
      </c>
      <c r="AI744" s="3" cm="1">
        <f t="array" ref="AI744">COUNT(_xlfn.UNIQUE(_xlfn._xlws.FILTER(SrcDB[ID],SrcDB[Objednavatel_ICO]=$H744)))</f>
        <v>9</v>
      </c>
      <c r="AJ744" s="3" cm="1">
        <f t="array" ref="AJ744">COUNT(_xlfn.UNIQUE(_xlfn._xlws.FILTER(SrcDB[ID],SrcDB[Dodavatel_ICO]=$K744)))</f>
        <v>11</v>
      </c>
      <c r="AK744" s="3">
        <f t="shared" si="788"/>
        <v>0</v>
      </c>
      <c r="AL744" s="3">
        <f t="shared" si="789"/>
        <v>0</v>
      </c>
      <c r="AM744" s="17" t="str">
        <f>IF(SrcDB[[#This Row],[Pocet zmluv objednavatela]]&gt;3,SrcDB[[#This Row],[Objednavatel]],"Ostatné")</f>
        <v>Ministerstvo školstva, výskumu, vývoja a mládeže SR</v>
      </c>
      <c r="AN744" s="17" t="str">
        <f>IF(SrcDB[[#This Row],[Pocet zmluv dodavatela]]&gt;3,SrcDB[[#This Row],[Dodavatel]],"Ostatné")</f>
        <v>AUTOCONT s.r.o. / ARICOMA Systems s.r.o.</v>
      </c>
    </row>
    <row r="745" spans="1:40" x14ac:dyDescent="0.3">
      <c r="A745" s="2" t="s">
        <v>931</v>
      </c>
      <c r="B745" s="2">
        <v>6719683</v>
      </c>
      <c r="C745" s="3" t="str">
        <f t="shared" si="782"/>
        <v>Nie</v>
      </c>
      <c r="D745" s="3" t="str">
        <f t="shared" si="783"/>
        <v>Áno</v>
      </c>
      <c r="E745" s="3" t="s">
        <v>48</v>
      </c>
      <c r="F745" s="3" t="s">
        <v>49</v>
      </c>
      <c r="G745" s="2" t="str">
        <f t="shared" si="784"/>
        <v>Stredné zmluvy</v>
      </c>
      <c r="H745" s="5" t="s">
        <v>342</v>
      </c>
      <c r="I745" s="2" t="s">
        <v>343</v>
      </c>
      <c r="J745" s="2" t="s">
        <v>344</v>
      </c>
      <c r="K745" s="5">
        <v>44367465</v>
      </c>
      <c r="L745" s="2" t="s">
        <v>932</v>
      </c>
      <c r="M745" s="2" t="s">
        <v>933</v>
      </c>
      <c r="N745" s="6">
        <v>44768.448680555557</v>
      </c>
      <c r="O745" s="4">
        <v>5209254</v>
      </c>
      <c r="P745" s="2">
        <v>114723</v>
      </c>
      <c r="Q745" s="2" t="s">
        <v>934</v>
      </c>
      <c r="R745" s="2" t="s">
        <v>935</v>
      </c>
      <c r="S745" s="2" t="s">
        <v>183</v>
      </c>
      <c r="T745" s="2" t="s">
        <v>183</v>
      </c>
      <c r="W745" s="4">
        <v>610</v>
      </c>
      <c r="X745" s="4">
        <v>732</v>
      </c>
      <c r="Y745" s="4">
        <f t="shared" ref="Y745" si="828">INDEX(InternalRates,MATCH($S745,InternalRates01,FALSE),2)</f>
        <v>278.98333333333335</v>
      </c>
      <c r="Z745" s="3" t="str">
        <f t="shared" si="818"/>
        <v>Nie</v>
      </c>
      <c r="AA745" s="3" t="str">
        <f t="shared" si="819"/>
        <v>SLA</v>
      </c>
      <c r="AB745" s="4">
        <v>300</v>
      </c>
      <c r="AC745" s="4">
        <v>100</v>
      </c>
      <c r="AD745" s="3" t="s">
        <v>48</v>
      </c>
      <c r="AE745" s="6">
        <v>44987</v>
      </c>
      <c r="AF745" s="3" t="s">
        <v>59</v>
      </c>
      <c r="AG745" s="3" t="s">
        <v>49</v>
      </c>
      <c r="AH745" s="3">
        <f>YEAR(SrcDB[[#This Row],[Datum_zverejnenia]])</f>
        <v>2022</v>
      </c>
      <c r="AI745" s="3" cm="1">
        <f t="array" ref="AI745">COUNT(_xlfn.UNIQUE(_xlfn._xlws.FILTER(SrcDB[ID],SrcDB[Objednavatel_ICO]=$H745)))</f>
        <v>15</v>
      </c>
      <c r="AJ745" s="3" cm="1">
        <f t="array" ref="AJ745">COUNT(_xlfn.UNIQUE(_xlfn._xlws.FILTER(SrcDB[ID],SrcDB[Dodavatel_ICO]=$K745)))</f>
        <v>4</v>
      </c>
      <c r="AK745" s="3">
        <f t="shared" si="788"/>
        <v>1</v>
      </c>
      <c r="AL745" s="3">
        <f t="shared" si="789"/>
        <v>1</v>
      </c>
      <c r="AM745" s="17" t="str">
        <f>IF(SrcDB[[#This Row],[Pocet zmluv objednavatela]]&gt;3,SrcDB[[#This Row],[Objednavatel]],"Ostatné")</f>
        <v>Ministerstvo vnútra SR</v>
      </c>
      <c r="AN745" s="17" t="str">
        <f>IF(SrcDB[[#This Row],[Pocet zmluv dodavatela]]&gt;3,SrcDB[[#This Row],[Dodavatel]],"Ostatné")</f>
        <v>Soimco a. s.</v>
      </c>
    </row>
    <row r="746" spans="1:40" x14ac:dyDescent="0.3">
      <c r="A746" s="2" t="s">
        <v>176</v>
      </c>
      <c r="B746" s="2">
        <v>6768999</v>
      </c>
      <c r="C746" s="3" t="str">
        <f t="shared" si="782"/>
        <v>Áno</v>
      </c>
      <c r="D746" s="3" t="str">
        <f t="shared" si="783"/>
        <v>Nie</v>
      </c>
      <c r="E746" s="3" t="s">
        <v>49</v>
      </c>
      <c r="F746" s="3" t="s">
        <v>48</v>
      </c>
      <c r="G746" s="2" t="str">
        <f t="shared" si="784"/>
        <v>Malé zmluvy</v>
      </c>
      <c r="H746" s="5" t="s">
        <v>936</v>
      </c>
      <c r="I746" s="2" t="s">
        <v>937</v>
      </c>
      <c r="J746" s="2" t="s">
        <v>938</v>
      </c>
      <c r="K746" s="5">
        <v>48286621</v>
      </c>
      <c r="L746" s="2" t="s">
        <v>939</v>
      </c>
      <c r="M746" s="2" t="s">
        <v>940</v>
      </c>
      <c r="N746" s="6">
        <v>44783.443449074075</v>
      </c>
      <c r="O746" s="4">
        <v>148554.29</v>
      </c>
      <c r="P746" s="2">
        <v>6215909</v>
      </c>
      <c r="Q746" s="2" t="s">
        <v>941</v>
      </c>
      <c r="R746" s="2" t="s">
        <v>942</v>
      </c>
      <c r="S746" s="2" t="s">
        <v>56</v>
      </c>
      <c r="T746" s="2" t="s">
        <v>286</v>
      </c>
      <c r="U746" s="2" t="s">
        <v>129</v>
      </c>
      <c r="W746" s="4">
        <v>650</v>
      </c>
      <c r="X746" s="4">
        <v>780</v>
      </c>
      <c r="Y746" s="4">
        <f t="shared" ref="Y746" si="829">INDEX(InternalRates,MATCH($S746,InternalRates01,FALSE),2)</f>
        <v>278.98333333333335</v>
      </c>
      <c r="Z746" s="3" t="str">
        <f t="shared" si="818"/>
        <v>Nie</v>
      </c>
      <c r="AA746" s="3" t="str">
        <f t="shared" si="819"/>
        <v>ZoD</v>
      </c>
      <c r="AB746" s="4">
        <v>17</v>
      </c>
      <c r="AC746" s="4">
        <v>1.4166666666666667</v>
      </c>
      <c r="AD746" s="3" t="s">
        <v>48</v>
      </c>
      <c r="AE746" s="6">
        <v>44987</v>
      </c>
      <c r="AF746" s="3" t="s">
        <v>59</v>
      </c>
      <c r="AG746" s="3" t="s">
        <v>48</v>
      </c>
      <c r="AH746" s="3">
        <f>YEAR(SrcDB[[#This Row],[Datum_zverejnenia]])</f>
        <v>2022</v>
      </c>
      <c r="AI746" s="3" cm="1">
        <f t="array" ref="AI746">COUNT(_xlfn.UNIQUE(_xlfn._xlws.FILTER(SrcDB[ID],SrcDB[Objednavatel_ICO]=$H746)))</f>
        <v>1</v>
      </c>
      <c r="AJ746" s="3" cm="1">
        <f t="array" ref="AJ746">COUNT(_xlfn.UNIQUE(_xlfn._xlws.FILTER(SrcDB[ID],SrcDB[Dodavatel_ICO]=$K746)))</f>
        <v>1</v>
      </c>
      <c r="AK746" s="3">
        <f t="shared" si="788"/>
        <v>1</v>
      </c>
      <c r="AL746" s="3">
        <f t="shared" si="789"/>
        <v>1</v>
      </c>
      <c r="AM746" s="17" t="str">
        <f>IF(SrcDB[[#This Row],[Pocet zmluv objednavatela]]&gt;3,SrcDB[[#This Row],[Objednavatel]],"Ostatné")</f>
        <v>Ostatné</v>
      </c>
      <c r="AN746" s="17" t="str">
        <f>IF(SrcDB[[#This Row],[Pocet zmluv dodavatela]]&gt;3,SrcDB[[#This Row],[Dodavatel]],"Ostatné")</f>
        <v>Ostatné</v>
      </c>
    </row>
    <row r="747" spans="1:40" x14ac:dyDescent="0.3">
      <c r="A747" s="2" t="s">
        <v>176</v>
      </c>
      <c r="B747" s="2">
        <v>6768999</v>
      </c>
      <c r="C747" s="3" t="str">
        <f t="shared" si="782"/>
        <v>Áno</v>
      </c>
      <c r="D747" s="3" t="str">
        <f t="shared" si="783"/>
        <v>Nie</v>
      </c>
      <c r="E747" s="3" t="s">
        <v>49</v>
      </c>
      <c r="F747" s="3" t="s">
        <v>48</v>
      </c>
      <c r="G747" s="2" t="str">
        <f t="shared" si="784"/>
        <v>Malé zmluvy</v>
      </c>
      <c r="H747" s="5" t="s">
        <v>936</v>
      </c>
      <c r="I747" s="2" t="s">
        <v>937</v>
      </c>
      <c r="J747" s="2" t="s">
        <v>938</v>
      </c>
      <c r="K747" s="5">
        <v>48286621</v>
      </c>
      <c r="L747" s="2" t="s">
        <v>939</v>
      </c>
      <c r="M747" s="2" t="s">
        <v>940</v>
      </c>
      <c r="N747" s="6">
        <v>44783.443449074075</v>
      </c>
      <c r="O747" s="4">
        <v>148554.29</v>
      </c>
      <c r="P747" s="2">
        <v>6215909</v>
      </c>
      <c r="Q747" s="2" t="s">
        <v>941</v>
      </c>
      <c r="R747" s="2" t="s">
        <v>942</v>
      </c>
      <c r="S747" s="2" t="s">
        <v>98</v>
      </c>
      <c r="W747" s="4">
        <v>650</v>
      </c>
      <c r="X747" s="4">
        <v>780</v>
      </c>
      <c r="Y747" s="4">
        <f t="shared" ref="Y747" si="830">INDEX(InternalRates,MATCH($S747,InternalRates01,FALSE),2)</f>
        <v>278.98333333333335</v>
      </c>
      <c r="Z747" s="3" t="str">
        <f t="shared" si="818"/>
        <v>Nie</v>
      </c>
      <c r="AA747" s="3" t="str">
        <f t="shared" si="819"/>
        <v>ZoD</v>
      </c>
      <c r="AB747" s="4">
        <v>1</v>
      </c>
      <c r="AC747" s="4">
        <v>8.3333333333333329E-2</v>
      </c>
      <c r="AD747" s="3" t="s">
        <v>48</v>
      </c>
      <c r="AE747" s="6">
        <v>44987</v>
      </c>
      <c r="AF747" s="3" t="s">
        <v>59</v>
      </c>
      <c r="AG747" s="3" t="s">
        <v>48</v>
      </c>
      <c r="AH747" s="3">
        <f>YEAR(SrcDB[[#This Row],[Datum_zverejnenia]])</f>
        <v>2022</v>
      </c>
      <c r="AI747" s="3" cm="1">
        <f t="array" ref="AI747">COUNT(_xlfn.UNIQUE(_xlfn._xlws.FILTER(SrcDB[ID],SrcDB[Objednavatel_ICO]=$H747)))</f>
        <v>1</v>
      </c>
      <c r="AJ747" s="3" cm="1">
        <f t="array" ref="AJ747">COUNT(_xlfn.UNIQUE(_xlfn._xlws.FILTER(SrcDB[ID],SrcDB[Dodavatel_ICO]=$K747)))</f>
        <v>1</v>
      </c>
      <c r="AK747" s="3">
        <f t="shared" si="788"/>
        <v>0</v>
      </c>
      <c r="AL747" s="3">
        <f t="shared" si="789"/>
        <v>0</v>
      </c>
      <c r="AM747" s="17" t="str">
        <f>IF(SrcDB[[#This Row],[Pocet zmluv objednavatela]]&gt;3,SrcDB[[#This Row],[Objednavatel]],"Ostatné")</f>
        <v>Ostatné</v>
      </c>
      <c r="AN747" s="17" t="str">
        <f>IF(SrcDB[[#This Row],[Pocet zmluv dodavatela]]&gt;3,SrcDB[[#This Row],[Dodavatel]],"Ostatné")</f>
        <v>Ostatné</v>
      </c>
    </row>
    <row r="748" spans="1:40" x14ac:dyDescent="0.3">
      <c r="A748" s="2" t="s">
        <v>943</v>
      </c>
      <c r="B748" s="2">
        <v>6783776</v>
      </c>
      <c r="C748" s="3" t="str">
        <f t="shared" si="782"/>
        <v>Nie</v>
      </c>
      <c r="D748" s="3" t="str">
        <f t="shared" si="783"/>
        <v>Áno</v>
      </c>
      <c r="E748" s="3" t="s">
        <v>48</v>
      </c>
      <c r="F748" s="3" t="s">
        <v>49</v>
      </c>
      <c r="G748" s="2" t="str">
        <f t="shared" si="784"/>
        <v>Malé zmluvy</v>
      </c>
      <c r="H748" s="5" t="s">
        <v>231</v>
      </c>
      <c r="I748" s="2" t="s">
        <v>232</v>
      </c>
      <c r="J748" s="2" t="s">
        <v>233</v>
      </c>
      <c r="K748" s="5">
        <v>35743468</v>
      </c>
      <c r="L748" s="2" t="s">
        <v>356</v>
      </c>
      <c r="M748" s="2" t="s">
        <v>944</v>
      </c>
      <c r="N748" s="6">
        <v>44789.494976851849</v>
      </c>
      <c r="O748" s="4">
        <v>450000</v>
      </c>
      <c r="P748" s="2">
        <v>114497</v>
      </c>
      <c r="Q748" s="2" t="s">
        <v>945</v>
      </c>
      <c r="R748" s="2" t="s">
        <v>946</v>
      </c>
      <c r="S748" s="2" t="s">
        <v>69</v>
      </c>
      <c r="T748" s="2" t="s">
        <v>70</v>
      </c>
      <c r="W748" s="4">
        <v>300</v>
      </c>
      <c r="X748" s="4">
        <v>360</v>
      </c>
      <c r="Y748" s="4">
        <f t="shared" ref="Y748" si="831">INDEX(InternalRates,MATCH($S748,InternalRates01,FALSE),2)</f>
        <v>278.98333333333335</v>
      </c>
      <c r="Z748" s="3" t="str">
        <f t="shared" si="818"/>
        <v>Nie</v>
      </c>
      <c r="AA748" s="3" t="str">
        <f t="shared" si="819"/>
        <v>SLA</v>
      </c>
      <c r="AB748" s="4">
        <v>30</v>
      </c>
      <c r="AC748" s="4">
        <v>7.5</v>
      </c>
      <c r="AD748" s="3" t="s">
        <v>48</v>
      </c>
      <c r="AE748" s="6">
        <v>44987</v>
      </c>
      <c r="AF748" s="3" t="s">
        <v>59</v>
      </c>
      <c r="AG748" s="3" t="s">
        <v>48</v>
      </c>
      <c r="AH748" s="3">
        <f>YEAR(SrcDB[[#This Row],[Datum_zverejnenia]])</f>
        <v>2022</v>
      </c>
      <c r="AI748" s="3" cm="1">
        <f t="array" ref="AI748">COUNT(_xlfn.UNIQUE(_xlfn._xlws.FILTER(SrcDB[ID],SrcDB[Objednavatel_ICO]=$H748)))</f>
        <v>9</v>
      </c>
      <c r="AJ748" s="3" cm="1">
        <f t="array" ref="AJ748">COUNT(_xlfn.UNIQUE(_xlfn._xlws.FILTER(SrcDB[ID],SrcDB[Dodavatel_ICO]=$K748)))</f>
        <v>6</v>
      </c>
      <c r="AK748" s="3">
        <f t="shared" si="788"/>
        <v>1</v>
      </c>
      <c r="AL748" s="3">
        <f t="shared" si="789"/>
        <v>1</v>
      </c>
      <c r="AM748" s="17" t="str">
        <f>IF(SrcDB[[#This Row],[Pocet zmluv objednavatela]]&gt;3,SrcDB[[#This Row],[Objednavatel]],"Ostatné")</f>
        <v>Ministerstvo školstva, výskumu, vývoja a mládeže SR</v>
      </c>
      <c r="AN748" s="17" t="str">
        <f>IF(SrcDB[[#This Row],[Pocet zmluv dodavatela]]&gt;3,SrcDB[[#This Row],[Dodavatel]],"Ostatné")</f>
        <v>Gratex International, a.s.</v>
      </c>
    </row>
    <row r="749" spans="1:40" x14ac:dyDescent="0.3">
      <c r="A749" s="2" t="s">
        <v>943</v>
      </c>
      <c r="B749" s="2">
        <v>6783776</v>
      </c>
      <c r="C749" s="3" t="str">
        <f t="shared" si="782"/>
        <v>Nie</v>
      </c>
      <c r="D749" s="3" t="str">
        <f t="shared" si="783"/>
        <v>Áno</v>
      </c>
      <c r="E749" s="3" t="s">
        <v>48</v>
      </c>
      <c r="F749" s="3" t="s">
        <v>49</v>
      </c>
      <c r="G749" s="2" t="str">
        <f t="shared" si="784"/>
        <v>Malé zmluvy</v>
      </c>
      <c r="H749" s="5" t="s">
        <v>231</v>
      </c>
      <c r="I749" s="2" t="s">
        <v>232</v>
      </c>
      <c r="J749" s="2" t="s">
        <v>233</v>
      </c>
      <c r="K749" s="5">
        <v>35743468</v>
      </c>
      <c r="L749" s="2" t="s">
        <v>356</v>
      </c>
      <c r="M749" s="2" t="s">
        <v>944</v>
      </c>
      <c r="N749" s="6">
        <v>44789.494976851849</v>
      </c>
      <c r="O749" s="4">
        <v>450000</v>
      </c>
      <c r="P749" s="2">
        <v>114497</v>
      </c>
      <c r="Q749" s="2" t="s">
        <v>945</v>
      </c>
      <c r="R749" s="2" t="s">
        <v>946</v>
      </c>
      <c r="S749" s="2" t="s">
        <v>73</v>
      </c>
      <c r="W749" s="4">
        <v>350</v>
      </c>
      <c r="X749" s="4">
        <v>420</v>
      </c>
      <c r="Y749" s="4">
        <f t="shared" ref="Y749" si="832">INDEX(InternalRates,MATCH($S749,InternalRates01,FALSE),2)</f>
        <v>278.98333333333335</v>
      </c>
      <c r="Z749" s="3" t="str">
        <f t="shared" si="818"/>
        <v>Nie</v>
      </c>
      <c r="AA749" s="3" t="str">
        <f t="shared" si="819"/>
        <v>SLA</v>
      </c>
      <c r="AB749" s="4">
        <v>34</v>
      </c>
      <c r="AC749" s="4">
        <v>8.5</v>
      </c>
      <c r="AD749" s="3" t="s">
        <v>48</v>
      </c>
      <c r="AE749" s="6">
        <v>44987</v>
      </c>
      <c r="AF749" s="3" t="s">
        <v>59</v>
      </c>
      <c r="AG749" s="3" t="s">
        <v>48</v>
      </c>
      <c r="AH749" s="3">
        <f>YEAR(SrcDB[[#This Row],[Datum_zverejnenia]])</f>
        <v>2022</v>
      </c>
      <c r="AI749" s="3" cm="1">
        <f t="array" ref="AI749">COUNT(_xlfn.UNIQUE(_xlfn._xlws.FILTER(SrcDB[ID],SrcDB[Objednavatel_ICO]=$H749)))</f>
        <v>9</v>
      </c>
      <c r="AJ749" s="3" cm="1">
        <f t="array" ref="AJ749">COUNT(_xlfn.UNIQUE(_xlfn._xlws.FILTER(SrcDB[ID],SrcDB[Dodavatel_ICO]=$K749)))</f>
        <v>6</v>
      </c>
      <c r="AK749" s="3">
        <f t="shared" si="788"/>
        <v>0</v>
      </c>
      <c r="AL749" s="3">
        <f t="shared" si="789"/>
        <v>0</v>
      </c>
      <c r="AM749" s="17" t="str">
        <f>IF(SrcDB[[#This Row],[Pocet zmluv objednavatela]]&gt;3,SrcDB[[#This Row],[Objednavatel]],"Ostatné")</f>
        <v>Ministerstvo školstva, výskumu, vývoja a mládeže SR</v>
      </c>
      <c r="AN749" s="17" t="str">
        <f>IF(SrcDB[[#This Row],[Pocet zmluv dodavatela]]&gt;3,SrcDB[[#This Row],[Dodavatel]],"Ostatné")</f>
        <v>Gratex International, a.s.</v>
      </c>
    </row>
    <row r="750" spans="1:40" x14ac:dyDescent="0.3">
      <c r="A750" s="2" t="s">
        <v>943</v>
      </c>
      <c r="B750" s="2">
        <v>6783776</v>
      </c>
      <c r="C750" s="3" t="str">
        <f t="shared" si="782"/>
        <v>Nie</v>
      </c>
      <c r="D750" s="3" t="str">
        <f t="shared" si="783"/>
        <v>Áno</v>
      </c>
      <c r="E750" s="3" t="s">
        <v>48</v>
      </c>
      <c r="F750" s="3" t="s">
        <v>49</v>
      </c>
      <c r="G750" s="2" t="str">
        <f t="shared" si="784"/>
        <v>Malé zmluvy</v>
      </c>
      <c r="H750" s="5" t="s">
        <v>231</v>
      </c>
      <c r="I750" s="2" t="s">
        <v>232</v>
      </c>
      <c r="J750" s="2" t="s">
        <v>233</v>
      </c>
      <c r="K750" s="5">
        <v>35743468</v>
      </c>
      <c r="L750" s="2" t="s">
        <v>356</v>
      </c>
      <c r="M750" s="2" t="s">
        <v>944</v>
      </c>
      <c r="N750" s="6">
        <v>44789.494976851849</v>
      </c>
      <c r="O750" s="4">
        <v>450000</v>
      </c>
      <c r="P750" s="2">
        <v>114497</v>
      </c>
      <c r="Q750" s="2" t="s">
        <v>945</v>
      </c>
      <c r="R750" s="2" t="s">
        <v>946</v>
      </c>
      <c r="S750" s="2" t="s">
        <v>56</v>
      </c>
      <c r="T750" s="2" t="s">
        <v>241</v>
      </c>
      <c r="U750" s="2" t="s">
        <v>208</v>
      </c>
      <c r="W750" s="4">
        <v>350</v>
      </c>
      <c r="X750" s="4">
        <v>420</v>
      </c>
      <c r="Y750" s="4">
        <f t="shared" ref="Y750" si="833">INDEX(InternalRates,MATCH($S750,InternalRates01,FALSE),2)</f>
        <v>278.98333333333335</v>
      </c>
      <c r="Z750" s="3" t="str">
        <f t="shared" si="818"/>
        <v>Nie</v>
      </c>
      <c r="AA750" s="3" t="str">
        <f t="shared" si="819"/>
        <v>SLA</v>
      </c>
      <c r="AB750" s="4">
        <v>34</v>
      </c>
      <c r="AC750" s="4">
        <v>8.5</v>
      </c>
      <c r="AD750" s="3" t="s">
        <v>48</v>
      </c>
      <c r="AE750" s="6">
        <v>44987</v>
      </c>
      <c r="AF750" s="3" t="s">
        <v>59</v>
      </c>
      <c r="AG750" s="3" t="s">
        <v>48</v>
      </c>
      <c r="AH750" s="3">
        <f>YEAR(SrcDB[[#This Row],[Datum_zverejnenia]])</f>
        <v>2022</v>
      </c>
      <c r="AI750" s="3" cm="1">
        <f t="array" ref="AI750">COUNT(_xlfn.UNIQUE(_xlfn._xlws.FILTER(SrcDB[ID],SrcDB[Objednavatel_ICO]=$H750)))</f>
        <v>9</v>
      </c>
      <c r="AJ750" s="3" cm="1">
        <f t="array" ref="AJ750">COUNT(_xlfn.UNIQUE(_xlfn._xlws.FILTER(SrcDB[ID],SrcDB[Dodavatel_ICO]=$K750)))</f>
        <v>6</v>
      </c>
      <c r="AK750" s="3">
        <f t="shared" si="788"/>
        <v>0</v>
      </c>
      <c r="AL750" s="3">
        <f t="shared" si="789"/>
        <v>0</v>
      </c>
      <c r="AM750" s="17" t="str">
        <f>IF(SrcDB[[#This Row],[Pocet zmluv objednavatela]]&gt;3,SrcDB[[#This Row],[Objednavatel]],"Ostatné")</f>
        <v>Ministerstvo školstva, výskumu, vývoja a mládeže SR</v>
      </c>
      <c r="AN750" s="17" t="str">
        <f>IF(SrcDB[[#This Row],[Pocet zmluv dodavatela]]&gt;3,SrcDB[[#This Row],[Dodavatel]],"Ostatné")</f>
        <v>Gratex International, a.s.</v>
      </c>
    </row>
    <row r="751" spans="1:40" x14ac:dyDescent="0.3">
      <c r="A751" s="2" t="s">
        <v>943</v>
      </c>
      <c r="B751" s="2">
        <v>6783776</v>
      </c>
      <c r="C751" s="3" t="str">
        <f t="shared" si="782"/>
        <v>Nie</v>
      </c>
      <c r="D751" s="3" t="str">
        <f t="shared" si="783"/>
        <v>Áno</v>
      </c>
      <c r="E751" s="3" t="s">
        <v>48</v>
      </c>
      <c r="F751" s="3" t="s">
        <v>49</v>
      </c>
      <c r="G751" s="2" t="str">
        <f t="shared" si="784"/>
        <v>Malé zmluvy</v>
      </c>
      <c r="H751" s="5" t="s">
        <v>231</v>
      </c>
      <c r="I751" s="2" t="s">
        <v>232</v>
      </c>
      <c r="J751" s="2" t="s">
        <v>233</v>
      </c>
      <c r="K751" s="5">
        <v>35743468</v>
      </c>
      <c r="L751" s="2" t="s">
        <v>356</v>
      </c>
      <c r="M751" s="2" t="s">
        <v>944</v>
      </c>
      <c r="N751" s="6">
        <v>44789.494976851849</v>
      </c>
      <c r="O751" s="4">
        <v>450000</v>
      </c>
      <c r="P751" s="2">
        <v>114497</v>
      </c>
      <c r="Q751" s="2" t="s">
        <v>945</v>
      </c>
      <c r="R751" s="2" t="s">
        <v>946</v>
      </c>
      <c r="S751" s="2" t="s">
        <v>56</v>
      </c>
      <c r="T751" s="2" t="s">
        <v>947</v>
      </c>
      <c r="U751" s="2" t="s">
        <v>58</v>
      </c>
      <c r="W751" s="4">
        <v>350</v>
      </c>
      <c r="X751" s="4">
        <v>420</v>
      </c>
      <c r="Y751" s="4">
        <f t="shared" ref="Y751" si="834">INDEX(InternalRates,MATCH($S751,InternalRates01,FALSE),2)</f>
        <v>278.98333333333335</v>
      </c>
      <c r="Z751" s="3" t="str">
        <f t="shared" si="818"/>
        <v>Nie</v>
      </c>
      <c r="AA751" s="3" t="str">
        <f t="shared" si="819"/>
        <v>SLA</v>
      </c>
      <c r="AB751" s="4">
        <v>34</v>
      </c>
      <c r="AC751" s="4">
        <v>8.5</v>
      </c>
      <c r="AD751" s="3" t="s">
        <v>48</v>
      </c>
      <c r="AE751" s="6">
        <v>44987</v>
      </c>
      <c r="AF751" s="3" t="s">
        <v>59</v>
      </c>
      <c r="AG751" s="3" t="s">
        <v>48</v>
      </c>
      <c r="AH751" s="3">
        <f>YEAR(SrcDB[[#This Row],[Datum_zverejnenia]])</f>
        <v>2022</v>
      </c>
      <c r="AI751" s="3" cm="1">
        <f t="array" ref="AI751">COUNT(_xlfn.UNIQUE(_xlfn._xlws.FILTER(SrcDB[ID],SrcDB[Objednavatel_ICO]=$H751)))</f>
        <v>9</v>
      </c>
      <c r="AJ751" s="3" cm="1">
        <f t="array" ref="AJ751">COUNT(_xlfn.UNIQUE(_xlfn._xlws.FILTER(SrcDB[ID],SrcDB[Dodavatel_ICO]=$K751)))</f>
        <v>6</v>
      </c>
      <c r="AK751" s="3">
        <f t="shared" si="788"/>
        <v>0</v>
      </c>
      <c r="AL751" s="3">
        <f t="shared" si="789"/>
        <v>0</v>
      </c>
      <c r="AM751" s="17" t="str">
        <f>IF(SrcDB[[#This Row],[Pocet zmluv objednavatela]]&gt;3,SrcDB[[#This Row],[Objednavatel]],"Ostatné")</f>
        <v>Ministerstvo školstva, výskumu, vývoja a mládeže SR</v>
      </c>
      <c r="AN751" s="17" t="str">
        <f>IF(SrcDB[[#This Row],[Pocet zmluv dodavatela]]&gt;3,SrcDB[[#This Row],[Dodavatel]],"Ostatné")</f>
        <v>Gratex International, a.s.</v>
      </c>
    </row>
    <row r="752" spans="1:40" x14ac:dyDescent="0.3">
      <c r="A752" s="2" t="s">
        <v>943</v>
      </c>
      <c r="B752" s="2">
        <v>6783776</v>
      </c>
      <c r="C752" s="3" t="str">
        <f t="shared" si="782"/>
        <v>Nie</v>
      </c>
      <c r="D752" s="3" t="str">
        <f t="shared" si="783"/>
        <v>Áno</v>
      </c>
      <c r="E752" s="3" t="s">
        <v>48</v>
      </c>
      <c r="F752" s="3" t="s">
        <v>49</v>
      </c>
      <c r="G752" s="2" t="str">
        <f t="shared" si="784"/>
        <v>Malé zmluvy</v>
      </c>
      <c r="H752" s="5" t="s">
        <v>231</v>
      </c>
      <c r="I752" s="2" t="s">
        <v>232</v>
      </c>
      <c r="J752" s="2" t="s">
        <v>233</v>
      </c>
      <c r="K752" s="5">
        <v>35743468</v>
      </c>
      <c r="L752" s="2" t="s">
        <v>356</v>
      </c>
      <c r="M752" s="2" t="s">
        <v>944</v>
      </c>
      <c r="N752" s="6">
        <v>44789.494976851849</v>
      </c>
      <c r="O752" s="4">
        <v>450000</v>
      </c>
      <c r="P752" s="2">
        <v>114497</v>
      </c>
      <c r="Q752" s="2" t="s">
        <v>945</v>
      </c>
      <c r="R752" s="2" t="s">
        <v>946</v>
      </c>
      <c r="S752" s="2" t="s">
        <v>77</v>
      </c>
      <c r="W752" s="4">
        <v>350</v>
      </c>
      <c r="X752" s="4">
        <v>420</v>
      </c>
      <c r="Y752" s="4">
        <f t="shared" ref="Y752" si="835">INDEX(InternalRates,MATCH($S752,InternalRates01,FALSE),2)</f>
        <v>278.98333333333335</v>
      </c>
      <c r="Z752" s="3" t="str">
        <f t="shared" si="818"/>
        <v>Nie</v>
      </c>
      <c r="AA752" s="3" t="str">
        <f t="shared" si="819"/>
        <v>SLA</v>
      </c>
      <c r="AB752" s="4">
        <v>200</v>
      </c>
      <c r="AC752" s="4">
        <v>50</v>
      </c>
      <c r="AD752" s="3" t="s">
        <v>48</v>
      </c>
      <c r="AE752" s="6">
        <v>44987</v>
      </c>
      <c r="AF752" s="3" t="s">
        <v>59</v>
      </c>
      <c r="AG752" s="3" t="s">
        <v>48</v>
      </c>
      <c r="AH752" s="3">
        <f>YEAR(SrcDB[[#This Row],[Datum_zverejnenia]])</f>
        <v>2022</v>
      </c>
      <c r="AI752" s="3" cm="1">
        <f t="array" ref="AI752">COUNT(_xlfn.UNIQUE(_xlfn._xlws.FILTER(SrcDB[ID],SrcDB[Objednavatel_ICO]=$H752)))</f>
        <v>9</v>
      </c>
      <c r="AJ752" s="3" cm="1">
        <f t="array" ref="AJ752">COUNT(_xlfn.UNIQUE(_xlfn._xlws.FILTER(SrcDB[ID],SrcDB[Dodavatel_ICO]=$K752)))</f>
        <v>6</v>
      </c>
      <c r="AK752" s="3">
        <f t="shared" si="788"/>
        <v>0</v>
      </c>
      <c r="AL752" s="3">
        <f t="shared" si="789"/>
        <v>0</v>
      </c>
      <c r="AM752" s="17" t="str">
        <f>IF(SrcDB[[#This Row],[Pocet zmluv objednavatela]]&gt;3,SrcDB[[#This Row],[Objednavatel]],"Ostatné")</f>
        <v>Ministerstvo školstva, výskumu, vývoja a mládeže SR</v>
      </c>
      <c r="AN752" s="17" t="str">
        <f>IF(SrcDB[[#This Row],[Pocet zmluv dodavatela]]&gt;3,SrcDB[[#This Row],[Dodavatel]],"Ostatné")</f>
        <v>Gratex International, a.s.</v>
      </c>
    </row>
    <row r="753" spans="1:40" x14ac:dyDescent="0.3">
      <c r="A753" s="2" t="s">
        <v>943</v>
      </c>
      <c r="B753" s="2">
        <v>6783776</v>
      </c>
      <c r="C753" s="3" t="str">
        <f t="shared" si="782"/>
        <v>Nie</v>
      </c>
      <c r="D753" s="3" t="str">
        <f t="shared" si="783"/>
        <v>Áno</v>
      </c>
      <c r="E753" s="3" t="s">
        <v>48</v>
      </c>
      <c r="F753" s="3" t="s">
        <v>49</v>
      </c>
      <c r="G753" s="2" t="str">
        <f t="shared" si="784"/>
        <v>Malé zmluvy</v>
      </c>
      <c r="H753" s="5" t="s">
        <v>231</v>
      </c>
      <c r="I753" s="2" t="s">
        <v>232</v>
      </c>
      <c r="J753" s="2" t="s">
        <v>233</v>
      </c>
      <c r="K753" s="5">
        <v>35743468</v>
      </c>
      <c r="L753" s="2" t="s">
        <v>356</v>
      </c>
      <c r="M753" s="2" t="s">
        <v>944</v>
      </c>
      <c r="N753" s="6">
        <v>44789.494976851849</v>
      </c>
      <c r="O753" s="4">
        <v>450000</v>
      </c>
      <c r="P753" s="2">
        <v>114497</v>
      </c>
      <c r="Q753" s="2" t="s">
        <v>945</v>
      </c>
      <c r="R753" s="2" t="s">
        <v>946</v>
      </c>
      <c r="S753" s="2" t="s">
        <v>98</v>
      </c>
      <c r="W753" s="4">
        <v>340</v>
      </c>
      <c r="X753" s="4">
        <v>408</v>
      </c>
      <c r="Y753" s="4">
        <f t="shared" ref="Y753" si="836">INDEX(InternalRates,MATCH($S753,InternalRates01,FALSE),2)</f>
        <v>278.98333333333335</v>
      </c>
      <c r="Z753" s="3" t="str">
        <f t="shared" si="818"/>
        <v>Nie</v>
      </c>
      <c r="AA753" s="3" t="str">
        <f t="shared" si="819"/>
        <v>SLA</v>
      </c>
      <c r="AB753" s="4">
        <v>25</v>
      </c>
      <c r="AC753" s="4">
        <v>6.25</v>
      </c>
      <c r="AD753" s="3" t="s">
        <v>48</v>
      </c>
      <c r="AE753" s="6">
        <v>44987</v>
      </c>
      <c r="AF753" s="3" t="s">
        <v>59</v>
      </c>
      <c r="AG753" s="3" t="s">
        <v>48</v>
      </c>
      <c r="AH753" s="3">
        <f>YEAR(SrcDB[[#This Row],[Datum_zverejnenia]])</f>
        <v>2022</v>
      </c>
      <c r="AI753" s="3" cm="1">
        <f t="array" ref="AI753">COUNT(_xlfn.UNIQUE(_xlfn._xlws.FILTER(SrcDB[ID],SrcDB[Objednavatel_ICO]=$H753)))</f>
        <v>9</v>
      </c>
      <c r="AJ753" s="3" cm="1">
        <f t="array" ref="AJ753">COUNT(_xlfn.UNIQUE(_xlfn._xlws.FILTER(SrcDB[ID],SrcDB[Dodavatel_ICO]=$K753)))</f>
        <v>6</v>
      </c>
      <c r="AK753" s="3">
        <f t="shared" si="788"/>
        <v>0</v>
      </c>
      <c r="AL753" s="3">
        <f t="shared" si="789"/>
        <v>0</v>
      </c>
      <c r="AM753" s="17" t="str">
        <f>IF(SrcDB[[#This Row],[Pocet zmluv objednavatela]]&gt;3,SrcDB[[#This Row],[Objednavatel]],"Ostatné")</f>
        <v>Ministerstvo školstva, výskumu, vývoja a mládeže SR</v>
      </c>
      <c r="AN753" s="17" t="str">
        <f>IF(SrcDB[[#This Row],[Pocet zmluv dodavatela]]&gt;3,SrcDB[[#This Row],[Dodavatel]],"Ostatné")</f>
        <v>Gratex International, a.s.</v>
      </c>
    </row>
    <row r="754" spans="1:40" x14ac:dyDescent="0.3">
      <c r="A754" s="2" t="s">
        <v>948</v>
      </c>
      <c r="B754" s="2">
        <v>6783990</v>
      </c>
      <c r="C754" s="3" t="str">
        <f t="shared" si="782"/>
        <v>Nejasné</v>
      </c>
      <c r="D754" s="3" t="str">
        <f t="shared" si="783"/>
        <v>Nejasné</v>
      </c>
      <c r="E754" s="3" t="s">
        <v>48</v>
      </c>
      <c r="F754" s="3" t="s">
        <v>49</v>
      </c>
      <c r="G754" s="2" t="str">
        <f t="shared" si="784"/>
        <v>Malé zmluvy</v>
      </c>
      <c r="H754" s="5" t="s">
        <v>949</v>
      </c>
      <c r="I754" s="2" t="s">
        <v>950</v>
      </c>
      <c r="J754" s="2" t="s">
        <v>951</v>
      </c>
      <c r="K754" s="5">
        <v>31612989</v>
      </c>
      <c r="L754" s="2" t="s">
        <v>952</v>
      </c>
      <c r="M754" s="2" t="s">
        <v>696</v>
      </c>
      <c r="N754" s="6">
        <v>44789.511458333334</v>
      </c>
      <c r="O754" s="4">
        <v>192384</v>
      </c>
      <c r="P754" s="2">
        <v>6215909</v>
      </c>
      <c r="Q754" s="2" t="s">
        <v>953</v>
      </c>
      <c r="R754" s="2" t="s">
        <v>954</v>
      </c>
      <c r="S754" s="2" t="s">
        <v>69</v>
      </c>
      <c r="T754" s="2" t="s">
        <v>70</v>
      </c>
      <c r="W754" s="4">
        <v>672</v>
      </c>
      <c r="X754" s="4">
        <v>806.4</v>
      </c>
      <c r="Y754" s="4">
        <f t="shared" ref="Y754" si="837">INDEX(InternalRates,MATCH($S754,InternalRates01,FALSE),2)</f>
        <v>278.98333333333335</v>
      </c>
      <c r="Z754" s="3" t="str">
        <f t="shared" si="818"/>
        <v>Nie</v>
      </c>
      <c r="AA754" s="3" t="str">
        <f t="shared" si="819"/>
        <v>SLA</v>
      </c>
      <c r="AB754" s="4">
        <v>2</v>
      </c>
      <c r="AC754" s="4">
        <v>2</v>
      </c>
      <c r="AD754" s="3" t="s">
        <v>48</v>
      </c>
      <c r="AE754" s="6">
        <v>44987</v>
      </c>
      <c r="AF754" s="3" t="s">
        <v>59</v>
      </c>
      <c r="AG754" s="3" t="s">
        <v>60</v>
      </c>
      <c r="AH754" s="3">
        <f>YEAR(SrcDB[[#This Row],[Datum_zverejnenia]])</f>
        <v>2022</v>
      </c>
      <c r="AI754" s="3" cm="1">
        <f t="array" ref="AI754">COUNT(_xlfn.UNIQUE(_xlfn._xlws.FILTER(SrcDB[ID],SrcDB[Objednavatel_ICO]=$H754)))</f>
        <v>1</v>
      </c>
      <c r="AJ754" s="3" cm="1">
        <f t="array" ref="AJ754">COUNT(_xlfn.UNIQUE(_xlfn._xlws.FILTER(SrcDB[ID],SrcDB[Dodavatel_ICO]=$K754)))</f>
        <v>3</v>
      </c>
      <c r="AK754" s="3">
        <f t="shared" si="788"/>
        <v>1</v>
      </c>
      <c r="AL754" s="3">
        <f t="shared" si="789"/>
        <v>1</v>
      </c>
      <c r="AM754" s="17" t="str">
        <f>IF(SrcDB[[#This Row],[Pocet zmluv objednavatela]]&gt;3,SrcDB[[#This Row],[Objednavatel]],"Ostatné")</f>
        <v>Ostatné</v>
      </c>
      <c r="AN754" s="17" t="str">
        <f>IF(SrcDB[[#This Row],[Pocet zmluv dodavatela]]&gt;3,SrcDB[[#This Row],[Dodavatel]],"Ostatné")</f>
        <v>Ostatné</v>
      </c>
    </row>
    <row r="755" spans="1:40" x14ac:dyDescent="0.3">
      <c r="A755" s="2" t="s">
        <v>948</v>
      </c>
      <c r="B755" s="2">
        <v>6783990</v>
      </c>
      <c r="C755" s="3" t="str">
        <f t="shared" si="782"/>
        <v>Nejasné</v>
      </c>
      <c r="D755" s="3" t="str">
        <f t="shared" si="783"/>
        <v>Nejasné</v>
      </c>
      <c r="E755" s="3" t="s">
        <v>48</v>
      </c>
      <c r="F755" s="3" t="s">
        <v>49</v>
      </c>
      <c r="G755" s="2" t="str">
        <f t="shared" si="784"/>
        <v>Malé zmluvy</v>
      </c>
      <c r="H755" s="5" t="s">
        <v>949</v>
      </c>
      <c r="I755" s="2" t="s">
        <v>950</v>
      </c>
      <c r="J755" s="2" t="s">
        <v>951</v>
      </c>
      <c r="K755" s="5">
        <v>31612989</v>
      </c>
      <c r="L755" s="2" t="s">
        <v>952</v>
      </c>
      <c r="M755" s="2" t="s">
        <v>696</v>
      </c>
      <c r="N755" s="6">
        <v>44789.511458333334</v>
      </c>
      <c r="O755" s="4">
        <v>192384</v>
      </c>
      <c r="P755" s="2">
        <v>6215909</v>
      </c>
      <c r="Q755" s="2" t="s">
        <v>953</v>
      </c>
      <c r="R755" s="2" t="s">
        <v>954</v>
      </c>
      <c r="S755" s="2" t="s">
        <v>160</v>
      </c>
      <c r="W755" s="4">
        <v>544</v>
      </c>
      <c r="X755" s="4">
        <v>652.79999999999995</v>
      </c>
      <c r="Y755" s="4">
        <f t="shared" ref="Y755" si="838">INDEX(InternalRates,MATCH($S755,InternalRates01,FALSE),2)</f>
        <v>231.85833333333335</v>
      </c>
      <c r="Z755" s="3" t="str">
        <f t="shared" si="818"/>
        <v>Nie</v>
      </c>
      <c r="AA755" s="3" t="str">
        <f t="shared" si="819"/>
        <v>SLA</v>
      </c>
      <c r="AB755" s="4">
        <v>3.75</v>
      </c>
      <c r="AC755" s="4">
        <v>3.75</v>
      </c>
      <c r="AD755" s="3" t="s">
        <v>48</v>
      </c>
      <c r="AE755" s="6">
        <v>44987</v>
      </c>
      <c r="AF755" s="3" t="s">
        <v>59</v>
      </c>
      <c r="AG755" s="3" t="s">
        <v>60</v>
      </c>
      <c r="AH755" s="3">
        <f>YEAR(SrcDB[[#This Row],[Datum_zverejnenia]])</f>
        <v>2022</v>
      </c>
      <c r="AI755" s="3" cm="1">
        <f t="array" ref="AI755">COUNT(_xlfn.UNIQUE(_xlfn._xlws.FILTER(SrcDB[ID],SrcDB[Objednavatel_ICO]=$H755)))</f>
        <v>1</v>
      </c>
      <c r="AJ755" s="3" cm="1">
        <f t="array" ref="AJ755">COUNT(_xlfn.UNIQUE(_xlfn._xlws.FILTER(SrcDB[ID],SrcDB[Dodavatel_ICO]=$K755)))</f>
        <v>3</v>
      </c>
      <c r="AK755" s="3">
        <f t="shared" si="788"/>
        <v>0</v>
      </c>
      <c r="AL755" s="3">
        <f t="shared" si="789"/>
        <v>0</v>
      </c>
      <c r="AM755" s="17" t="str">
        <f>IF(SrcDB[[#This Row],[Pocet zmluv objednavatela]]&gt;3,SrcDB[[#This Row],[Objednavatel]],"Ostatné")</f>
        <v>Ostatné</v>
      </c>
      <c r="AN755" s="17" t="str">
        <f>IF(SrcDB[[#This Row],[Pocet zmluv dodavatela]]&gt;3,SrcDB[[#This Row],[Dodavatel]],"Ostatné")</f>
        <v>Ostatné</v>
      </c>
    </row>
    <row r="756" spans="1:40" x14ac:dyDescent="0.3">
      <c r="A756" s="2" t="s">
        <v>948</v>
      </c>
      <c r="B756" s="2">
        <v>6783990</v>
      </c>
      <c r="C756" s="3" t="str">
        <f t="shared" si="782"/>
        <v>Nejasné</v>
      </c>
      <c r="D756" s="3" t="str">
        <f t="shared" si="783"/>
        <v>Nejasné</v>
      </c>
      <c r="E756" s="3" t="s">
        <v>48</v>
      </c>
      <c r="F756" s="3" t="s">
        <v>49</v>
      </c>
      <c r="G756" s="2" t="str">
        <f t="shared" si="784"/>
        <v>Malé zmluvy</v>
      </c>
      <c r="H756" s="5" t="s">
        <v>949</v>
      </c>
      <c r="I756" s="2" t="s">
        <v>950</v>
      </c>
      <c r="J756" s="2" t="s">
        <v>951</v>
      </c>
      <c r="K756" s="5">
        <v>31612989</v>
      </c>
      <c r="L756" s="2" t="s">
        <v>952</v>
      </c>
      <c r="M756" s="2" t="s">
        <v>696</v>
      </c>
      <c r="N756" s="6">
        <v>44789.511458333334</v>
      </c>
      <c r="O756" s="4">
        <v>192384</v>
      </c>
      <c r="P756" s="2">
        <v>6215909</v>
      </c>
      <c r="Q756" s="2" t="s">
        <v>953</v>
      </c>
      <c r="R756" s="2" t="s">
        <v>954</v>
      </c>
      <c r="S756" s="2" t="s">
        <v>123</v>
      </c>
      <c r="V756" s="2" t="s">
        <v>58</v>
      </c>
      <c r="W756" s="4">
        <v>882</v>
      </c>
      <c r="X756" s="4">
        <v>1058.3999999999999</v>
      </c>
      <c r="Y756" s="4">
        <f t="shared" ref="Y756" si="839">INDEX(InternalRates,MATCH($S756,InternalRates01,FALSE),2)</f>
        <v>231.85833333333335</v>
      </c>
      <c r="Z756" s="3" t="str">
        <f t="shared" si="818"/>
        <v>Nie</v>
      </c>
      <c r="AA756" s="3" t="str">
        <f t="shared" si="819"/>
        <v>SLA</v>
      </c>
      <c r="AB756" s="4">
        <v>2</v>
      </c>
      <c r="AC756" s="4">
        <v>2</v>
      </c>
      <c r="AD756" s="3" t="s">
        <v>48</v>
      </c>
      <c r="AE756" s="6">
        <v>44987</v>
      </c>
      <c r="AF756" s="3" t="s">
        <v>59</v>
      </c>
      <c r="AG756" s="3" t="s">
        <v>60</v>
      </c>
      <c r="AH756" s="3">
        <f>YEAR(SrcDB[[#This Row],[Datum_zverejnenia]])</f>
        <v>2022</v>
      </c>
      <c r="AI756" s="3" cm="1">
        <f t="array" ref="AI756">COUNT(_xlfn.UNIQUE(_xlfn._xlws.FILTER(SrcDB[ID],SrcDB[Objednavatel_ICO]=$H756)))</f>
        <v>1</v>
      </c>
      <c r="AJ756" s="3" cm="1">
        <f t="array" ref="AJ756">COUNT(_xlfn.UNIQUE(_xlfn._xlws.FILTER(SrcDB[ID],SrcDB[Dodavatel_ICO]=$K756)))</f>
        <v>3</v>
      </c>
      <c r="AK756" s="3">
        <f t="shared" si="788"/>
        <v>0</v>
      </c>
      <c r="AL756" s="3">
        <f t="shared" si="789"/>
        <v>0</v>
      </c>
      <c r="AM756" s="17" t="str">
        <f>IF(SrcDB[[#This Row],[Pocet zmluv objednavatela]]&gt;3,SrcDB[[#This Row],[Objednavatel]],"Ostatné")</f>
        <v>Ostatné</v>
      </c>
      <c r="AN756" s="17" t="str">
        <f>IF(SrcDB[[#This Row],[Pocet zmluv dodavatela]]&gt;3,SrcDB[[#This Row],[Dodavatel]],"Ostatné")</f>
        <v>Ostatné</v>
      </c>
    </row>
    <row r="757" spans="1:40" x14ac:dyDescent="0.3">
      <c r="A757" s="2" t="s">
        <v>948</v>
      </c>
      <c r="B757" s="2">
        <v>6783990</v>
      </c>
      <c r="C757" s="3" t="str">
        <f t="shared" si="782"/>
        <v>Nejasné</v>
      </c>
      <c r="D757" s="3" t="str">
        <f t="shared" si="783"/>
        <v>Nejasné</v>
      </c>
      <c r="E757" s="3" t="s">
        <v>48</v>
      </c>
      <c r="F757" s="3" t="s">
        <v>49</v>
      </c>
      <c r="G757" s="2" t="str">
        <f t="shared" si="784"/>
        <v>Malé zmluvy</v>
      </c>
      <c r="H757" s="5" t="s">
        <v>949</v>
      </c>
      <c r="I757" s="2" t="s">
        <v>950</v>
      </c>
      <c r="J757" s="2" t="s">
        <v>951</v>
      </c>
      <c r="K757" s="5">
        <v>31612989</v>
      </c>
      <c r="L757" s="2" t="s">
        <v>952</v>
      </c>
      <c r="M757" s="2" t="s">
        <v>696</v>
      </c>
      <c r="N757" s="6">
        <v>44789.511458333334</v>
      </c>
      <c r="O757" s="4">
        <v>192384</v>
      </c>
      <c r="P757" s="2">
        <v>6215909</v>
      </c>
      <c r="Q757" s="2" t="s">
        <v>953</v>
      </c>
      <c r="R757" s="2" t="s">
        <v>954</v>
      </c>
      <c r="S757" s="2" t="s">
        <v>71</v>
      </c>
      <c r="T757" s="2" t="s">
        <v>207</v>
      </c>
      <c r="W757" s="4">
        <v>633</v>
      </c>
      <c r="X757" s="4">
        <v>759.6</v>
      </c>
      <c r="Y757" s="4">
        <f t="shared" ref="Y757" si="840">INDEX(InternalRates,MATCH($S757,InternalRates01,FALSE),2)</f>
        <v>354.0333333333333</v>
      </c>
      <c r="Z757" s="3" t="str">
        <f t="shared" si="818"/>
        <v>Nie</v>
      </c>
      <c r="AA757" s="3" t="str">
        <f t="shared" si="819"/>
        <v>SLA</v>
      </c>
      <c r="AB757" s="4">
        <v>4</v>
      </c>
      <c r="AC757" s="4">
        <v>4</v>
      </c>
      <c r="AD757" s="3" t="s">
        <v>48</v>
      </c>
      <c r="AE757" s="6">
        <v>44987</v>
      </c>
      <c r="AF757" s="3" t="s">
        <v>59</v>
      </c>
      <c r="AG757" s="3" t="s">
        <v>60</v>
      </c>
      <c r="AH757" s="3">
        <f>YEAR(SrcDB[[#This Row],[Datum_zverejnenia]])</f>
        <v>2022</v>
      </c>
      <c r="AI757" s="3" cm="1">
        <f t="array" ref="AI757">COUNT(_xlfn.UNIQUE(_xlfn._xlws.FILTER(SrcDB[ID],SrcDB[Objednavatel_ICO]=$H757)))</f>
        <v>1</v>
      </c>
      <c r="AJ757" s="3" cm="1">
        <f t="array" ref="AJ757">COUNT(_xlfn.UNIQUE(_xlfn._xlws.FILTER(SrcDB[ID],SrcDB[Dodavatel_ICO]=$K757)))</f>
        <v>3</v>
      </c>
      <c r="AK757" s="3">
        <f t="shared" si="788"/>
        <v>0</v>
      </c>
      <c r="AL757" s="3">
        <f t="shared" si="789"/>
        <v>0</v>
      </c>
      <c r="AM757" s="17" t="str">
        <f>IF(SrcDB[[#This Row],[Pocet zmluv objednavatela]]&gt;3,SrcDB[[#This Row],[Objednavatel]],"Ostatné")</f>
        <v>Ostatné</v>
      </c>
      <c r="AN757" s="17" t="str">
        <f>IF(SrcDB[[#This Row],[Pocet zmluv dodavatela]]&gt;3,SrcDB[[#This Row],[Dodavatel]],"Ostatné")</f>
        <v>Ostatné</v>
      </c>
    </row>
    <row r="758" spans="1:40" x14ac:dyDescent="0.3">
      <c r="A758" s="2" t="s">
        <v>948</v>
      </c>
      <c r="B758" s="2">
        <v>6783990</v>
      </c>
      <c r="C758" s="3" t="str">
        <f t="shared" si="782"/>
        <v>Nejasné</v>
      </c>
      <c r="D758" s="3" t="str">
        <f t="shared" si="783"/>
        <v>Nejasné</v>
      </c>
      <c r="E758" s="3" t="s">
        <v>48</v>
      </c>
      <c r="F758" s="3" t="s">
        <v>49</v>
      </c>
      <c r="G758" s="2" t="str">
        <f t="shared" si="784"/>
        <v>Malé zmluvy</v>
      </c>
      <c r="H758" s="5" t="s">
        <v>949</v>
      </c>
      <c r="I758" s="2" t="s">
        <v>950</v>
      </c>
      <c r="J758" s="2" t="s">
        <v>951</v>
      </c>
      <c r="K758" s="5">
        <v>31612989</v>
      </c>
      <c r="L758" s="2" t="s">
        <v>952</v>
      </c>
      <c r="M758" s="2" t="s">
        <v>696</v>
      </c>
      <c r="N758" s="6">
        <v>44789.511458333334</v>
      </c>
      <c r="O758" s="4">
        <v>192384</v>
      </c>
      <c r="P758" s="2">
        <v>6215909</v>
      </c>
      <c r="Q758" s="2" t="s">
        <v>953</v>
      </c>
      <c r="R758" s="2" t="s">
        <v>954</v>
      </c>
      <c r="S758" s="2" t="s">
        <v>98</v>
      </c>
      <c r="W758" s="4">
        <v>632</v>
      </c>
      <c r="X758" s="4">
        <v>758.4</v>
      </c>
      <c r="Y758" s="4">
        <f t="shared" ref="Y758" si="841">INDEX(InternalRates,MATCH($S758,InternalRates01,FALSE),2)</f>
        <v>278.98333333333335</v>
      </c>
      <c r="Z758" s="3" t="str">
        <f t="shared" si="818"/>
        <v>Nie</v>
      </c>
      <c r="AA758" s="3" t="str">
        <f t="shared" si="819"/>
        <v>SLA</v>
      </c>
      <c r="AB758" s="4">
        <v>0.5</v>
      </c>
      <c r="AC758" s="4">
        <v>0.5</v>
      </c>
      <c r="AD758" s="3" t="s">
        <v>48</v>
      </c>
      <c r="AE758" s="6">
        <v>44987</v>
      </c>
      <c r="AF758" s="3" t="s">
        <v>59</v>
      </c>
      <c r="AG758" s="3" t="s">
        <v>60</v>
      </c>
      <c r="AH758" s="3">
        <f>YEAR(SrcDB[[#This Row],[Datum_zverejnenia]])</f>
        <v>2022</v>
      </c>
      <c r="AI758" s="3" cm="1">
        <f t="array" ref="AI758">COUNT(_xlfn.UNIQUE(_xlfn._xlws.FILTER(SrcDB[ID],SrcDB[Objednavatel_ICO]=$H758)))</f>
        <v>1</v>
      </c>
      <c r="AJ758" s="3" cm="1">
        <f t="array" ref="AJ758">COUNT(_xlfn.UNIQUE(_xlfn._xlws.FILTER(SrcDB[ID],SrcDB[Dodavatel_ICO]=$K758)))</f>
        <v>3</v>
      </c>
      <c r="AK758" s="3">
        <f t="shared" si="788"/>
        <v>0</v>
      </c>
      <c r="AL758" s="3">
        <f t="shared" si="789"/>
        <v>0</v>
      </c>
      <c r="AM758" s="17" t="str">
        <f>IF(SrcDB[[#This Row],[Pocet zmluv objednavatela]]&gt;3,SrcDB[[#This Row],[Objednavatel]],"Ostatné")</f>
        <v>Ostatné</v>
      </c>
      <c r="AN758" s="17" t="str">
        <f>IF(SrcDB[[#This Row],[Pocet zmluv dodavatela]]&gt;3,SrcDB[[#This Row],[Dodavatel]],"Ostatné")</f>
        <v>Ostatné</v>
      </c>
    </row>
    <row r="759" spans="1:40" x14ac:dyDescent="0.3">
      <c r="A759" s="2" t="s">
        <v>955</v>
      </c>
      <c r="B759" s="2">
        <v>6788742</v>
      </c>
      <c r="C759" s="3" t="str">
        <f t="shared" si="782"/>
        <v>Nejasné</v>
      </c>
      <c r="D759" s="3" t="str">
        <f t="shared" si="783"/>
        <v>Nejasné</v>
      </c>
      <c r="E759" s="3" t="s">
        <v>49</v>
      </c>
      <c r="F759" s="3" t="s">
        <v>49</v>
      </c>
      <c r="G759" s="2" t="str">
        <f t="shared" si="784"/>
        <v>Malé zmluvy</v>
      </c>
      <c r="H759" s="5">
        <v>35850370</v>
      </c>
      <c r="I759" s="2" t="s">
        <v>854</v>
      </c>
      <c r="J759" s="2" t="s">
        <v>855</v>
      </c>
      <c r="K759" s="5">
        <v>36396222</v>
      </c>
      <c r="L759" s="2" t="s">
        <v>52</v>
      </c>
      <c r="M759" s="2" t="s">
        <v>53</v>
      </c>
      <c r="N759" s="6">
        <v>44790.618356481478</v>
      </c>
      <c r="O759" s="4">
        <v>487200</v>
      </c>
      <c r="P759" s="2">
        <v>6215909</v>
      </c>
      <c r="Q759" s="2" t="s">
        <v>956</v>
      </c>
      <c r="R759" s="2" t="s">
        <v>957</v>
      </c>
      <c r="S759" s="2" t="s">
        <v>183</v>
      </c>
      <c r="T759" s="2" t="s">
        <v>183</v>
      </c>
      <c r="W759" s="4">
        <v>640</v>
      </c>
      <c r="X759" s="4">
        <v>768</v>
      </c>
      <c r="Y759" s="4">
        <f t="shared" ref="Y759" si="842">INDEX(InternalRates,MATCH($S759,InternalRates01,FALSE),2)</f>
        <v>278.98333333333335</v>
      </c>
      <c r="Z759" s="3" t="str">
        <f t="shared" si="818"/>
        <v>Nie</v>
      </c>
      <c r="AA759" s="3" t="str">
        <f t="shared" si="819"/>
        <v>SLA+ZoD</v>
      </c>
      <c r="AB759" s="4">
        <v>80</v>
      </c>
      <c r="AC759" s="4">
        <v>26.666666666666668</v>
      </c>
      <c r="AD759" s="3" t="s">
        <v>48</v>
      </c>
      <c r="AE759" s="6">
        <v>44990</v>
      </c>
      <c r="AF759" s="3" t="s">
        <v>59</v>
      </c>
      <c r="AG759" s="3" t="s">
        <v>48</v>
      </c>
      <c r="AH759" s="3">
        <f>YEAR(SrcDB[[#This Row],[Datum_zverejnenia]])</f>
        <v>2022</v>
      </c>
      <c r="AI759" s="3" cm="1">
        <f t="array" ref="AI759">COUNT(_xlfn.UNIQUE(_xlfn._xlws.FILTER(SrcDB[ID],SrcDB[Objednavatel_ICO]=$H759)))</f>
        <v>5</v>
      </c>
      <c r="AJ759" s="3" cm="1">
        <f t="array" ref="AJ759">COUNT(_xlfn.UNIQUE(_xlfn._xlws.FILTER(SrcDB[ID],SrcDB[Dodavatel_ICO]=$K759)))</f>
        <v>11</v>
      </c>
      <c r="AK759" s="3">
        <f t="shared" si="788"/>
        <v>1</v>
      </c>
      <c r="AL759" s="3">
        <f t="shared" si="789"/>
        <v>1</v>
      </c>
      <c r="AM759" s="17" t="str">
        <f>IF(SrcDB[[#This Row],[Pocet zmluv objednavatela]]&gt;3,SrcDB[[#This Row],[Objednavatel]],"Ostatné")</f>
        <v>Bratislavská vodárenská spoločnosť, a. s.</v>
      </c>
      <c r="AN759" s="17" t="str">
        <f>IF(SrcDB[[#This Row],[Pocet zmluv dodavatela]]&gt;3,SrcDB[[#This Row],[Dodavatel]],"Ostatné")</f>
        <v>AUTOCONT s.r.o. / ARICOMA Systems s.r.o.</v>
      </c>
    </row>
    <row r="760" spans="1:40" x14ac:dyDescent="0.3">
      <c r="A760" s="2" t="s">
        <v>958</v>
      </c>
      <c r="B760" s="2">
        <v>6792411</v>
      </c>
      <c r="C760" s="3" t="str">
        <f t="shared" si="782"/>
        <v>Nie</v>
      </c>
      <c r="D760" s="3" t="str">
        <f t="shared" si="783"/>
        <v>Áno</v>
      </c>
      <c r="E760" s="3" t="s">
        <v>48</v>
      </c>
      <c r="F760" s="3" t="s">
        <v>49</v>
      </c>
      <c r="G760" s="2" t="str">
        <f t="shared" si="784"/>
        <v>Malé zmluvy</v>
      </c>
      <c r="H760" s="5">
        <v>37828100</v>
      </c>
      <c r="I760" s="2" t="s">
        <v>959</v>
      </c>
      <c r="J760" s="2" t="s">
        <v>960</v>
      </c>
      <c r="K760" s="5">
        <v>35760419</v>
      </c>
      <c r="L760" s="2" t="s">
        <v>85</v>
      </c>
      <c r="M760" s="2" t="s">
        <v>961</v>
      </c>
      <c r="N760" s="6">
        <v>44791.590891203705</v>
      </c>
      <c r="O760" s="4">
        <v>110572.8</v>
      </c>
      <c r="P760" s="2">
        <v>6215909</v>
      </c>
      <c r="Q760" s="2" t="s">
        <v>962</v>
      </c>
      <c r="R760" s="2" t="s">
        <v>963</v>
      </c>
      <c r="S760" s="2" t="s">
        <v>183</v>
      </c>
      <c r="T760" s="2" t="s">
        <v>183</v>
      </c>
      <c r="W760" s="4">
        <v>300</v>
      </c>
      <c r="X760" s="4">
        <v>360</v>
      </c>
      <c r="Y760" s="4">
        <f t="shared" ref="Y760" si="843">INDEX(InternalRates,MATCH($S760,InternalRates01,FALSE),2)</f>
        <v>278.98333333333335</v>
      </c>
      <c r="Z760" s="3" t="str">
        <f t="shared" si="818"/>
        <v>Nie</v>
      </c>
      <c r="AA760" s="3" t="str">
        <f t="shared" si="819"/>
        <v>SLA</v>
      </c>
      <c r="AB760" s="4">
        <v>50</v>
      </c>
      <c r="AC760" s="4">
        <v>50</v>
      </c>
      <c r="AD760" s="3" t="s">
        <v>48</v>
      </c>
      <c r="AE760" s="6">
        <v>44990</v>
      </c>
      <c r="AF760" s="3" t="s">
        <v>59</v>
      </c>
      <c r="AG760" s="3" t="s">
        <v>60</v>
      </c>
      <c r="AH760" s="3">
        <f>YEAR(SrcDB[[#This Row],[Datum_zverejnenia]])</f>
        <v>2022</v>
      </c>
      <c r="AI760" s="3" cm="1">
        <f t="array" ref="AI760">COUNT(_xlfn.UNIQUE(_xlfn._xlws.FILTER(SrcDB[ID],SrcDB[Objednavatel_ICO]=$H760)))</f>
        <v>1</v>
      </c>
      <c r="AJ760" s="3" cm="1">
        <f t="array" ref="AJ760">COUNT(_xlfn.UNIQUE(_xlfn._xlws.FILTER(SrcDB[ID],SrcDB[Dodavatel_ICO]=$K760)))</f>
        <v>34</v>
      </c>
      <c r="AK760" s="3">
        <f t="shared" si="788"/>
        <v>1</v>
      </c>
      <c r="AL760" s="3">
        <f t="shared" si="789"/>
        <v>1</v>
      </c>
      <c r="AM760" s="17" t="str">
        <f>IF(SrcDB[[#This Row],[Pocet zmluv objednavatela]]&gt;3,SrcDB[[#This Row],[Objednavatel]],"Ostatné")</f>
        <v>Ostatné</v>
      </c>
      <c r="AN760" s="17" t="str">
        <f>IF(SrcDB[[#This Row],[Pocet zmluv dodavatela]]&gt;3,SrcDB[[#This Row],[Dodavatel]],"Ostatné")</f>
        <v>Asseco Central Europe, a.s.</v>
      </c>
    </row>
    <row r="761" spans="1:40" x14ac:dyDescent="0.3">
      <c r="A761" s="2" t="s">
        <v>964</v>
      </c>
      <c r="B761" s="2">
        <v>6804491</v>
      </c>
      <c r="C761" s="3" t="str">
        <f t="shared" si="782"/>
        <v>Áno</v>
      </c>
      <c r="D761" s="3" t="str">
        <f t="shared" si="783"/>
        <v>Nie</v>
      </c>
      <c r="E761" s="3" t="s">
        <v>49</v>
      </c>
      <c r="F761" s="3" t="s">
        <v>49</v>
      </c>
      <c r="G761" s="2" t="str">
        <f t="shared" si="784"/>
        <v>Malé zmluvy</v>
      </c>
      <c r="H761" s="5">
        <v>30796482</v>
      </c>
      <c r="I761" s="2" t="s">
        <v>965</v>
      </c>
      <c r="J761" s="2" t="s">
        <v>966</v>
      </c>
      <c r="K761" s="5">
        <v>35760419</v>
      </c>
      <c r="L761" s="2" t="s">
        <v>85</v>
      </c>
      <c r="M761" s="2" t="s">
        <v>961</v>
      </c>
      <c r="N761" s="6">
        <v>44796.619201388887</v>
      </c>
      <c r="O761" s="4">
        <v>221640</v>
      </c>
      <c r="P761" s="2">
        <v>360085</v>
      </c>
      <c r="Q761" s="2" t="s">
        <v>967</v>
      </c>
      <c r="R761" s="2" t="s">
        <v>968</v>
      </c>
      <c r="S761" s="2" t="s">
        <v>183</v>
      </c>
      <c r="T761" s="2" t="s">
        <v>183</v>
      </c>
      <c r="W761" s="4">
        <v>300</v>
      </c>
      <c r="X761" s="4">
        <v>360</v>
      </c>
      <c r="Y761" s="4">
        <f t="shared" ref="Y761" si="844">INDEX(InternalRates,MATCH($S761,InternalRates01,FALSE),2)</f>
        <v>278.98333333333335</v>
      </c>
      <c r="Z761" s="3" t="str">
        <f t="shared" si="818"/>
        <v>Nie</v>
      </c>
      <c r="AA761" s="3" t="str">
        <f t="shared" si="819"/>
        <v>SLA+ZoD</v>
      </c>
      <c r="AD761" s="3" t="s">
        <v>48</v>
      </c>
      <c r="AE761" s="6">
        <v>44987</v>
      </c>
      <c r="AF761" s="3" t="s">
        <v>59</v>
      </c>
      <c r="AG761" s="3" t="s">
        <v>48</v>
      </c>
      <c r="AH761" s="3">
        <f>YEAR(SrcDB[[#This Row],[Datum_zverejnenia]])</f>
        <v>2022</v>
      </c>
      <c r="AI761" s="3" cm="1">
        <f t="array" ref="AI761">COUNT(_xlfn.UNIQUE(_xlfn._xlws.FILTER(SrcDB[ID],SrcDB[Objednavatel_ICO]=$H761)))</f>
        <v>1</v>
      </c>
      <c r="AJ761" s="3" cm="1">
        <f t="array" ref="AJ761">COUNT(_xlfn.UNIQUE(_xlfn._xlws.FILTER(SrcDB[ID],SrcDB[Dodavatel_ICO]=$K761)))</f>
        <v>34</v>
      </c>
      <c r="AK761" s="3">
        <f t="shared" si="788"/>
        <v>1</v>
      </c>
      <c r="AL761" s="3">
        <f t="shared" si="789"/>
        <v>1</v>
      </c>
      <c r="AM761" s="17" t="str">
        <f>IF(SrcDB[[#This Row],[Pocet zmluv objednavatela]]&gt;3,SrcDB[[#This Row],[Objednavatel]],"Ostatné")</f>
        <v>Ostatné</v>
      </c>
      <c r="AN761" s="17" t="str">
        <f>IF(SrcDB[[#This Row],[Pocet zmluv dodavatela]]&gt;3,SrcDB[[#This Row],[Dodavatel]],"Ostatné")</f>
        <v>Asseco Central Europe, a.s.</v>
      </c>
    </row>
    <row r="762" spans="1:40" x14ac:dyDescent="0.3">
      <c r="A762" s="2" t="s">
        <v>176</v>
      </c>
      <c r="B762" s="2">
        <v>6835308</v>
      </c>
      <c r="C762" s="3" t="str">
        <f t="shared" si="782"/>
        <v>Áno</v>
      </c>
      <c r="D762" s="3" t="str">
        <f t="shared" si="783"/>
        <v>Nie</v>
      </c>
      <c r="E762" s="3" t="s">
        <v>49</v>
      </c>
      <c r="F762" s="3" t="s">
        <v>48</v>
      </c>
      <c r="G762" s="2" t="str">
        <f t="shared" si="784"/>
        <v>Malé zmluvy</v>
      </c>
      <c r="H762" s="5" t="s">
        <v>969</v>
      </c>
      <c r="I762" s="2" t="s">
        <v>970</v>
      </c>
      <c r="J762" s="2" t="s">
        <v>817</v>
      </c>
      <c r="K762" s="5">
        <v>35787546</v>
      </c>
      <c r="L762" s="2" t="s">
        <v>971</v>
      </c>
      <c r="M762" s="2" t="s">
        <v>972</v>
      </c>
      <c r="N762" s="6">
        <v>44809.584930555553</v>
      </c>
      <c r="O762" s="4">
        <v>788952.97</v>
      </c>
      <c r="P762" s="2">
        <v>114688</v>
      </c>
      <c r="Q762" s="2" t="s">
        <v>973</v>
      </c>
      <c r="R762" s="2" t="s">
        <v>974</v>
      </c>
      <c r="S762" s="2" t="s">
        <v>123</v>
      </c>
      <c r="V762" s="2" t="s">
        <v>58</v>
      </c>
      <c r="W762" s="4">
        <v>360</v>
      </c>
      <c r="X762" s="4">
        <v>432</v>
      </c>
      <c r="Y762" s="4">
        <f t="shared" ref="Y762" si="845">INDEX(InternalRates,MATCH($S762,InternalRates01,FALSE),2)</f>
        <v>231.85833333333335</v>
      </c>
      <c r="Z762" s="3" t="str">
        <f t="shared" si="818"/>
        <v>Nie</v>
      </c>
      <c r="AA762" s="3" t="str">
        <f t="shared" si="819"/>
        <v>ZoD</v>
      </c>
      <c r="AB762" s="4">
        <v>40</v>
      </c>
      <c r="AC762" s="4">
        <v>53.333333333333336</v>
      </c>
      <c r="AD762" s="3" t="s">
        <v>48</v>
      </c>
      <c r="AE762" s="6">
        <v>44990</v>
      </c>
      <c r="AF762" s="3" t="s">
        <v>59</v>
      </c>
      <c r="AG762" s="3" t="s">
        <v>49</v>
      </c>
      <c r="AH762" s="3">
        <f>YEAR(SrcDB[[#This Row],[Datum_zverejnenia]])</f>
        <v>2022</v>
      </c>
      <c r="AI762" s="3" cm="1">
        <f t="array" ref="AI762">COUNT(_xlfn.UNIQUE(_xlfn._xlws.FILTER(SrcDB[ID],SrcDB[Objednavatel_ICO]=$H762)))</f>
        <v>3</v>
      </c>
      <c r="AJ762" s="3" cm="1">
        <f t="array" ref="AJ762">COUNT(_xlfn.UNIQUE(_xlfn._xlws.FILTER(SrcDB[ID],SrcDB[Dodavatel_ICO]=$K762)))</f>
        <v>1</v>
      </c>
      <c r="AK762" s="3">
        <f t="shared" si="788"/>
        <v>1</v>
      </c>
      <c r="AL762" s="3">
        <f t="shared" si="789"/>
        <v>1</v>
      </c>
      <c r="AM762" s="17" t="str">
        <f>IF(SrcDB[[#This Row],[Pocet zmluv objednavatela]]&gt;3,SrcDB[[#This Row],[Objednavatel]],"Ostatné")</f>
        <v>Ostatné</v>
      </c>
      <c r="AN762" s="17" t="str">
        <f>IF(SrcDB[[#This Row],[Pocet zmluv dodavatela]]&gt;3,SrcDB[[#This Row],[Dodavatel]],"Ostatné")</f>
        <v>Ostatné</v>
      </c>
    </row>
    <row r="763" spans="1:40" x14ac:dyDescent="0.3">
      <c r="A763" s="2" t="s">
        <v>176</v>
      </c>
      <c r="B763" s="2">
        <v>6835308</v>
      </c>
      <c r="C763" s="3" t="str">
        <f t="shared" si="782"/>
        <v>Áno</v>
      </c>
      <c r="D763" s="3" t="str">
        <f t="shared" si="783"/>
        <v>Nie</v>
      </c>
      <c r="E763" s="3" t="s">
        <v>49</v>
      </c>
      <c r="F763" s="3" t="s">
        <v>48</v>
      </c>
      <c r="G763" s="2" t="str">
        <f t="shared" si="784"/>
        <v>Malé zmluvy</v>
      </c>
      <c r="H763" s="5" t="s">
        <v>969</v>
      </c>
      <c r="I763" s="2" t="s">
        <v>970</v>
      </c>
      <c r="J763" s="2" t="s">
        <v>817</v>
      </c>
      <c r="K763" s="5">
        <v>35787546</v>
      </c>
      <c r="L763" s="2" t="s">
        <v>971</v>
      </c>
      <c r="M763" s="2" t="s">
        <v>972</v>
      </c>
      <c r="N763" s="6">
        <v>44809.584930555553</v>
      </c>
      <c r="O763" s="4">
        <v>788952.97</v>
      </c>
      <c r="P763" s="2">
        <v>114688</v>
      </c>
      <c r="Q763" s="2" t="s">
        <v>973</v>
      </c>
      <c r="R763" s="2" t="s">
        <v>974</v>
      </c>
      <c r="S763" s="2" t="s">
        <v>160</v>
      </c>
      <c r="W763" s="4">
        <v>408.9</v>
      </c>
      <c r="X763" s="4">
        <v>490.67999999999995</v>
      </c>
      <c r="Y763" s="4">
        <f t="shared" ref="Y763" si="846">INDEX(InternalRates,MATCH($S763,InternalRates01,FALSE),2)</f>
        <v>231.85833333333335</v>
      </c>
      <c r="Z763" s="3" t="str">
        <f t="shared" si="818"/>
        <v>Nie</v>
      </c>
      <c r="AA763" s="3" t="str">
        <f t="shared" si="819"/>
        <v>ZoD</v>
      </c>
      <c r="AB763" s="4">
        <v>451</v>
      </c>
      <c r="AC763" s="4">
        <v>601.33333333333337</v>
      </c>
      <c r="AD763" s="3" t="s">
        <v>48</v>
      </c>
      <c r="AE763" s="6">
        <v>44990</v>
      </c>
      <c r="AF763" s="3" t="s">
        <v>59</v>
      </c>
      <c r="AG763" s="3" t="s">
        <v>49</v>
      </c>
      <c r="AH763" s="3">
        <f>YEAR(SrcDB[[#This Row],[Datum_zverejnenia]])</f>
        <v>2022</v>
      </c>
      <c r="AI763" s="3" cm="1">
        <f t="array" ref="AI763">COUNT(_xlfn.UNIQUE(_xlfn._xlws.FILTER(SrcDB[ID],SrcDB[Objednavatel_ICO]=$H763)))</f>
        <v>3</v>
      </c>
      <c r="AJ763" s="3" cm="1">
        <f t="array" ref="AJ763">COUNT(_xlfn.UNIQUE(_xlfn._xlws.FILTER(SrcDB[ID],SrcDB[Dodavatel_ICO]=$K763)))</f>
        <v>1</v>
      </c>
      <c r="AK763" s="3">
        <f t="shared" si="788"/>
        <v>0</v>
      </c>
      <c r="AL763" s="3">
        <f t="shared" si="789"/>
        <v>0</v>
      </c>
      <c r="AM763" s="17" t="str">
        <f>IF(SrcDB[[#This Row],[Pocet zmluv objednavatela]]&gt;3,SrcDB[[#This Row],[Objednavatel]],"Ostatné")</f>
        <v>Ostatné</v>
      </c>
      <c r="AN763" s="17" t="str">
        <f>IF(SrcDB[[#This Row],[Pocet zmluv dodavatela]]&gt;3,SrcDB[[#This Row],[Dodavatel]],"Ostatné")</f>
        <v>Ostatné</v>
      </c>
    </row>
    <row r="764" spans="1:40" x14ac:dyDescent="0.3">
      <c r="A764" s="2" t="s">
        <v>176</v>
      </c>
      <c r="B764" s="2">
        <v>6835308</v>
      </c>
      <c r="C764" s="3" t="str">
        <f t="shared" si="782"/>
        <v>Áno</v>
      </c>
      <c r="D764" s="3" t="str">
        <f t="shared" si="783"/>
        <v>Nie</v>
      </c>
      <c r="E764" s="3" t="s">
        <v>49</v>
      </c>
      <c r="F764" s="3" t="s">
        <v>48</v>
      </c>
      <c r="G764" s="2" t="str">
        <f t="shared" si="784"/>
        <v>Malé zmluvy</v>
      </c>
      <c r="H764" s="5" t="s">
        <v>969</v>
      </c>
      <c r="I764" s="2" t="s">
        <v>970</v>
      </c>
      <c r="J764" s="2" t="s">
        <v>817</v>
      </c>
      <c r="K764" s="5">
        <v>35787546</v>
      </c>
      <c r="L764" s="2" t="s">
        <v>971</v>
      </c>
      <c r="M764" s="2" t="s">
        <v>972</v>
      </c>
      <c r="N764" s="6">
        <v>44809.584930555553</v>
      </c>
      <c r="O764" s="4">
        <v>788952.97</v>
      </c>
      <c r="P764" s="2">
        <v>114688</v>
      </c>
      <c r="Q764" s="2" t="s">
        <v>973</v>
      </c>
      <c r="R764" s="2" t="s">
        <v>974</v>
      </c>
      <c r="S764" s="2" t="s">
        <v>56</v>
      </c>
      <c r="T764" s="2" t="s">
        <v>448</v>
      </c>
      <c r="U764" s="2" t="s">
        <v>449</v>
      </c>
      <c r="W764" s="4">
        <v>400</v>
      </c>
      <c r="X764" s="4">
        <v>480</v>
      </c>
      <c r="Y764" s="4">
        <f t="shared" ref="Y764" si="847">INDEX(InternalRates,MATCH($S764,InternalRates01,FALSE),2)</f>
        <v>278.98333333333335</v>
      </c>
      <c r="Z764" s="3" t="str">
        <f t="shared" si="818"/>
        <v>Nie</v>
      </c>
      <c r="AA764" s="3" t="str">
        <f t="shared" si="819"/>
        <v>ZoD</v>
      </c>
      <c r="AB764" s="4">
        <v>32</v>
      </c>
      <c r="AC764" s="4">
        <v>42.666666666666664</v>
      </c>
      <c r="AD764" s="3" t="s">
        <v>48</v>
      </c>
      <c r="AE764" s="6">
        <v>44990</v>
      </c>
      <c r="AF764" s="3" t="s">
        <v>59</v>
      </c>
      <c r="AG764" s="3" t="s">
        <v>49</v>
      </c>
      <c r="AH764" s="3">
        <f>YEAR(SrcDB[[#This Row],[Datum_zverejnenia]])</f>
        <v>2022</v>
      </c>
      <c r="AI764" s="3" cm="1">
        <f t="array" ref="AI764">COUNT(_xlfn.UNIQUE(_xlfn._xlws.FILTER(SrcDB[ID],SrcDB[Objednavatel_ICO]=$H764)))</f>
        <v>3</v>
      </c>
      <c r="AJ764" s="3" cm="1">
        <f t="array" ref="AJ764">COUNT(_xlfn.UNIQUE(_xlfn._xlws.FILTER(SrcDB[ID],SrcDB[Dodavatel_ICO]=$K764)))</f>
        <v>1</v>
      </c>
      <c r="AK764" s="3">
        <f t="shared" si="788"/>
        <v>0</v>
      </c>
      <c r="AL764" s="3">
        <f t="shared" si="789"/>
        <v>0</v>
      </c>
      <c r="AM764" s="17" t="str">
        <f>IF(SrcDB[[#This Row],[Pocet zmluv objednavatela]]&gt;3,SrcDB[[#This Row],[Objednavatel]],"Ostatné")</f>
        <v>Ostatné</v>
      </c>
      <c r="AN764" s="17" t="str">
        <f>IF(SrcDB[[#This Row],[Pocet zmluv dodavatela]]&gt;3,SrcDB[[#This Row],[Dodavatel]],"Ostatné")</f>
        <v>Ostatné</v>
      </c>
    </row>
    <row r="765" spans="1:40" x14ac:dyDescent="0.3">
      <c r="A765" s="2" t="s">
        <v>176</v>
      </c>
      <c r="B765" s="2">
        <v>6835308</v>
      </c>
      <c r="C765" s="3" t="str">
        <f t="shared" si="782"/>
        <v>Áno</v>
      </c>
      <c r="D765" s="3" t="str">
        <f t="shared" si="783"/>
        <v>Nie</v>
      </c>
      <c r="E765" s="3" t="s">
        <v>49</v>
      </c>
      <c r="F765" s="3" t="s">
        <v>48</v>
      </c>
      <c r="G765" s="2" t="str">
        <f t="shared" si="784"/>
        <v>Malé zmluvy</v>
      </c>
      <c r="H765" s="5" t="s">
        <v>969</v>
      </c>
      <c r="I765" s="2" t="s">
        <v>970</v>
      </c>
      <c r="J765" s="2" t="s">
        <v>817</v>
      </c>
      <c r="K765" s="5">
        <v>35787546</v>
      </c>
      <c r="L765" s="2" t="s">
        <v>971</v>
      </c>
      <c r="M765" s="2" t="s">
        <v>972</v>
      </c>
      <c r="N765" s="6">
        <v>44809.584930555553</v>
      </c>
      <c r="O765" s="4">
        <v>788952.97</v>
      </c>
      <c r="P765" s="2">
        <v>114688</v>
      </c>
      <c r="Q765" s="2" t="s">
        <v>973</v>
      </c>
      <c r="R765" s="2" t="s">
        <v>974</v>
      </c>
      <c r="S765" s="2" t="s">
        <v>69</v>
      </c>
      <c r="T765" s="2" t="s">
        <v>70</v>
      </c>
      <c r="W765" s="4">
        <v>400</v>
      </c>
      <c r="X765" s="4">
        <v>480</v>
      </c>
      <c r="Y765" s="4">
        <f t="shared" ref="Y765" si="848">INDEX(InternalRates,MATCH($S765,InternalRates01,FALSE),2)</f>
        <v>278.98333333333335</v>
      </c>
      <c r="Z765" s="3" t="str">
        <f t="shared" si="818"/>
        <v>Nie</v>
      </c>
      <c r="AA765" s="3" t="str">
        <f t="shared" si="819"/>
        <v>ZoD</v>
      </c>
      <c r="AB765" s="4">
        <v>56</v>
      </c>
      <c r="AC765" s="4">
        <v>74.666666666666671</v>
      </c>
      <c r="AD765" s="3" t="s">
        <v>48</v>
      </c>
      <c r="AE765" s="6">
        <v>44990</v>
      </c>
      <c r="AF765" s="3" t="s">
        <v>59</v>
      </c>
      <c r="AG765" s="3" t="s">
        <v>49</v>
      </c>
      <c r="AH765" s="3">
        <f>YEAR(SrcDB[[#This Row],[Datum_zverejnenia]])</f>
        <v>2022</v>
      </c>
      <c r="AI765" s="3" cm="1">
        <f t="array" ref="AI765">COUNT(_xlfn.UNIQUE(_xlfn._xlws.FILTER(SrcDB[ID],SrcDB[Objednavatel_ICO]=$H765)))</f>
        <v>3</v>
      </c>
      <c r="AJ765" s="3" cm="1">
        <f t="array" ref="AJ765">COUNT(_xlfn.UNIQUE(_xlfn._xlws.FILTER(SrcDB[ID],SrcDB[Dodavatel_ICO]=$K765)))</f>
        <v>1</v>
      </c>
      <c r="AK765" s="3">
        <f t="shared" si="788"/>
        <v>0</v>
      </c>
      <c r="AL765" s="3">
        <f t="shared" si="789"/>
        <v>0</v>
      </c>
      <c r="AM765" s="17" t="str">
        <f>IF(SrcDB[[#This Row],[Pocet zmluv objednavatela]]&gt;3,SrcDB[[#This Row],[Objednavatel]],"Ostatné")</f>
        <v>Ostatné</v>
      </c>
      <c r="AN765" s="17" t="str">
        <f>IF(SrcDB[[#This Row],[Pocet zmluv dodavatela]]&gt;3,SrcDB[[#This Row],[Dodavatel]],"Ostatné")</f>
        <v>Ostatné</v>
      </c>
    </row>
    <row r="766" spans="1:40" x14ac:dyDescent="0.3">
      <c r="A766" s="2" t="s">
        <v>176</v>
      </c>
      <c r="B766" s="2">
        <v>6835308</v>
      </c>
      <c r="C766" s="3" t="str">
        <f t="shared" si="782"/>
        <v>Áno</v>
      </c>
      <c r="D766" s="3" t="str">
        <f t="shared" si="783"/>
        <v>Nie</v>
      </c>
      <c r="E766" s="3" t="s">
        <v>49</v>
      </c>
      <c r="F766" s="3" t="s">
        <v>48</v>
      </c>
      <c r="G766" s="2" t="str">
        <f t="shared" si="784"/>
        <v>Malé zmluvy</v>
      </c>
      <c r="H766" s="5" t="s">
        <v>969</v>
      </c>
      <c r="I766" s="2" t="s">
        <v>970</v>
      </c>
      <c r="J766" s="2" t="s">
        <v>817</v>
      </c>
      <c r="K766" s="5">
        <v>35787546</v>
      </c>
      <c r="L766" s="2" t="s">
        <v>971</v>
      </c>
      <c r="M766" s="2" t="s">
        <v>972</v>
      </c>
      <c r="N766" s="6">
        <v>44809.584930555553</v>
      </c>
      <c r="O766" s="4">
        <v>788952.97</v>
      </c>
      <c r="P766" s="2">
        <v>114688</v>
      </c>
      <c r="Q766" s="2" t="s">
        <v>973</v>
      </c>
      <c r="R766" s="2" t="s">
        <v>974</v>
      </c>
      <c r="S766" s="2" t="s">
        <v>162</v>
      </c>
      <c r="W766" s="4">
        <v>560</v>
      </c>
      <c r="X766" s="4">
        <v>672</v>
      </c>
      <c r="Y766" s="4">
        <f t="shared" ref="Y766" si="849">INDEX(InternalRates,MATCH($S766,InternalRates01,FALSE),2)</f>
        <v>231.85833333333335</v>
      </c>
      <c r="Z766" s="3" t="str">
        <f t="shared" si="818"/>
        <v>Nie</v>
      </c>
      <c r="AA766" s="3" t="str">
        <f t="shared" si="819"/>
        <v>ZoD</v>
      </c>
      <c r="AB766" s="4">
        <v>88</v>
      </c>
      <c r="AC766" s="4">
        <v>117.33333333333334</v>
      </c>
      <c r="AD766" s="3" t="s">
        <v>48</v>
      </c>
      <c r="AE766" s="6">
        <v>44990</v>
      </c>
      <c r="AF766" s="3" t="s">
        <v>59</v>
      </c>
      <c r="AG766" s="3" t="s">
        <v>49</v>
      </c>
      <c r="AH766" s="3">
        <f>YEAR(SrcDB[[#This Row],[Datum_zverejnenia]])</f>
        <v>2022</v>
      </c>
      <c r="AI766" s="3" cm="1">
        <f t="array" ref="AI766">COUNT(_xlfn.UNIQUE(_xlfn._xlws.FILTER(SrcDB[ID],SrcDB[Objednavatel_ICO]=$H766)))</f>
        <v>3</v>
      </c>
      <c r="AJ766" s="3" cm="1">
        <f t="array" ref="AJ766">COUNT(_xlfn.UNIQUE(_xlfn._xlws.FILTER(SrcDB[ID],SrcDB[Dodavatel_ICO]=$K766)))</f>
        <v>1</v>
      </c>
      <c r="AK766" s="3">
        <f t="shared" si="788"/>
        <v>0</v>
      </c>
      <c r="AL766" s="3">
        <f t="shared" si="789"/>
        <v>0</v>
      </c>
      <c r="AM766" s="17" t="str">
        <f>IF(SrcDB[[#This Row],[Pocet zmluv objednavatela]]&gt;3,SrcDB[[#This Row],[Objednavatel]],"Ostatné")</f>
        <v>Ostatné</v>
      </c>
      <c r="AN766" s="17" t="str">
        <f>IF(SrcDB[[#This Row],[Pocet zmluv dodavatela]]&gt;3,SrcDB[[#This Row],[Dodavatel]],"Ostatné")</f>
        <v>Ostatné</v>
      </c>
    </row>
    <row r="767" spans="1:40" x14ac:dyDescent="0.3">
      <c r="A767" s="2" t="s">
        <v>176</v>
      </c>
      <c r="B767" s="2">
        <v>6835308</v>
      </c>
      <c r="C767" s="3" t="str">
        <f t="shared" si="782"/>
        <v>Áno</v>
      </c>
      <c r="D767" s="3" t="str">
        <f t="shared" si="783"/>
        <v>Nie</v>
      </c>
      <c r="E767" s="3" t="s">
        <v>49</v>
      </c>
      <c r="F767" s="3" t="s">
        <v>48</v>
      </c>
      <c r="G767" s="2" t="str">
        <f t="shared" si="784"/>
        <v>Malé zmluvy</v>
      </c>
      <c r="H767" s="5" t="s">
        <v>969</v>
      </c>
      <c r="I767" s="2" t="s">
        <v>970</v>
      </c>
      <c r="J767" s="2" t="s">
        <v>817</v>
      </c>
      <c r="K767" s="5">
        <v>35787546</v>
      </c>
      <c r="L767" s="2" t="s">
        <v>971</v>
      </c>
      <c r="M767" s="2" t="s">
        <v>972</v>
      </c>
      <c r="N767" s="6">
        <v>44809.584930555553</v>
      </c>
      <c r="O767" s="4">
        <v>788952.97</v>
      </c>
      <c r="P767" s="2">
        <v>114688</v>
      </c>
      <c r="Q767" s="2" t="s">
        <v>973</v>
      </c>
      <c r="R767" s="2" t="s">
        <v>974</v>
      </c>
      <c r="S767" s="2" t="s">
        <v>56</v>
      </c>
      <c r="T767" s="2" t="s">
        <v>94</v>
      </c>
      <c r="U767" s="2" t="s">
        <v>95</v>
      </c>
      <c r="W767" s="4">
        <v>520</v>
      </c>
      <c r="X767" s="4">
        <v>624</v>
      </c>
      <c r="Y767" s="4">
        <f t="shared" ref="Y767" si="850">INDEX(InternalRates,MATCH($S767,InternalRates01,FALSE),2)</f>
        <v>278.98333333333335</v>
      </c>
      <c r="Z767" s="3" t="str">
        <f t="shared" si="818"/>
        <v>Nie</v>
      </c>
      <c r="AA767" s="3" t="str">
        <f t="shared" si="819"/>
        <v>ZoD</v>
      </c>
      <c r="AB767" s="4">
        <v>72</v>
      </c>
      <c r="AC767" s="4">
        <v>96</v>
      </c>
      <c r="AD767" s="3" t="s">
        <v>48</v>
      </c>
      <c r="AE767" s="6">
        <v>44990</v>
      </c>
      <c r="AF767" s="3" t="s">
        <v>59</v>
      </c>
      <c r="AG767" s="3" t="s">
        <v>49</v>
      </c>
      <c r="AH767" s="3">
        <f>YEAR(SrcDB[[#This Row],[Datum_zverejnenia]])</f>
        <v>2022</v>
      </c>
      <c r="AI767" s="3" cm="1">
        <f t="array" ref="AI767">COUNT(_xlfn.UNIQUE(_xlfn._xlws.FILTER(SrcDB[ID],SrcDB[Objednavatel_ICO]=$H767)))</f>
        <v>3</v>
      </c>
      <c r="AJ767" s="3" cm="1">
        <f t="array" ref="AJ767">COUNT(_xlfn.UNIQUE(_xlfn._xlws.FILTER(SrcDB[ID],SrcDB[Dodavatel_ICO]=$K767)))</f>
        <v>1</v>
      </c>
      <c r="AK767" s="3">
        <f t="shared" si="788"/>
        <v>0</v>
      </c>
      <c r="AL767" s="3">
        <f t="shared" si="789"/>
        <v>0</v>
      </c>
      <c r="AM767" s="17" t="str">
        <f>IF(SrcDB[[#This Row],[Pocet zmluv objednavatela]]&gt;3,SrcDB[[#This Row],[Objednavatel]],"Ostatné")</f>
        <v>Ostatné</v>
      </c>
      <c r="AN767" s="17" t="str">
        <f>IF(SrcDB[[#This Row],[Pocet zmluv dodavatela]]&gt;3,SrcDB[[#This Row],[Dodavatel]],"Ostatné")</f>
        <v>Ostatné</v>
      </c>
    </row>
    <row r="768" spans="1:40" x14ac:dyDescent="0.3">
      <c r="A768" s="2" t="s">
        <v>975</v>
      </c>
      <c r="B768" s="2">
        <v>6903378</v>
      </c>
      <c r="C768" s="3" t="str">
        <f t="shared" si="782"/>
        <v>Nejasné</v>
      </c>
      <c r="D768" s="3" t="str">
        <f t="shared" si="783"/>
        <v>Nejasné</v>
      </c>
      <c r="E768" s="3" t="s">
        <v>48</v>
      </c>
      <c r="F768" s="3" t="s">
        <v>49</v>
      </c>
      <c r="G768" s="2" t="str">
        <f t="shared" si="784"/>
        <v>Malé zmluvy</v>
      </c>
      <c r="H768" s="5">
        <v>42499500</v>
      </c>
      <c r="I768" s="2" t="s">
        <v>464</v>
      </c>
      <c r="J768" s="2" t="s">
        <v>465</v>
      </c>
      <c r="K768" s="5">
        <v>35760419</v>
      </c>
      <c r="L768" s="2" t="s">
        <v>85</v>
      </c>
      <c r="M768" s="2" t="s">
        <v>696</v>
      </c>
      <c r="N768" s="6">
        <v>44826.559814814813</v>
      </c>
      <c r="O768" s="4">
        <v>137619.22</v>
      </c>
      <c r="P768" s="2">
        <v>114725</v>
      </c>
      <c r="Q768" s="2" t="s">
        <v>976</v>
      </c>
      <c r="R768" s="2" t="s">
        <v>977</v>
      </c>
      <c r="S768" s="2" t="s">
        <v>69</v>
      </c>
      <c r="T768" s="2" t="s">
        <v>70</v>
      </c>
      <c r="W768" s="4">
        <v>642.48</v>
      </c>
      <c r="X768" s="4">
        <v>770.976</v>
      </c>
      <c r="Y768" s="4">
        <f t="shared" ref="Y768" si="851">INDEX(InternalRates,MATCH($S768,InternalRates01,FALSE),2)</f>
        <v>278.98333333333335</v>
      </c>
      <c r="Z768" s="3" t="str">
        <f t="shared" si="818"/>
        <v>Nie</v>
      </c>
      <c r="AA768" s="3" t="str">
        <f t="shared" si="819"/>
        <v>SLA</v>
      </c>
      <c r="AB768" s="4">
        <v>13.125</v>
      </c>
      <c r="AC768" s="4">
        <v>12.768190297807836</v>
      </c>
      <c r="AD768" s="3" t="s">
        <v>48</v>
      </c>
      <c r="AE768" s="6">
        <v>44991</v>
      </c>
      <c r="AF768" s="3" t="s">
        <v>59</v>
      </c>
      <c r="AG768" s="3" t="s">
        <v>60</v>
      </c>
      <c r="AH768" s="3">
        <f>YEAR(SrcDB[[#This Row],[Datum_zverejnenia]])</f>
        <v>2022</v>
      </c>
      <c r="AI768" s="3" cm="1">
        <f t="array" ref="AI768">COUNT(_xlfn.UNIQUE(_xlfn._xlws.FILTER(SrcDB[ID],SrcDB[Objednavatel_ICO]=$H768)))</f>
        <v>25</v>
      </c>
      <c r="AJ768" s="3" cm="1">
        <f t="array" ref="AJ768">COUNT(_xlfn.UNIQUE(_xlfn._xlws.FILTER(SrcDB[ID],SrcDB[Dodavatel_ICO]=$K768)))</f>
        <v>34</v>
      </c>
      <c r="AK768" s="3">
        <f t="shared" si="788"/>
        <v>1</v>
      </c>
      <c r="AL768" s="3">
        <f t="shared" si="789"/>
        <v>1</v>
      </c>
      <c r="AM768" s="17" t="str">
        <f>IF(SrcDB[[#This Row],[Pocet zmluv objednavatela]]&gt;3,SrcDB[[#This Row],[Objednavatel]],"Ostatné")</f>
        <v>Finančné riaditeľstvo SR</v>
      </c>
      <c r="AN768" s="17" t="str">
        <f>IF(SrcDB[[#This Row],[Pocet zmluv dodavatela]]&gt;3,SrcDB[[#This Row],[Dodavatel]],"Ostatné")</f>
        <v>Asseco Central Europe, a.s.</v>
      </c>
    </row>
    <row r="769" spans="1:40" x14ac:dyDescent="0.3">
      <c r="A769" s="2" t="s">
        <v>975</v>
      </c>
      <c r="B769" s="2">
        <v>6903378</v>
      </c>
      <c r="C769" s="3" t="str">
        <f t="shared" si="782"/>
        <v>Nejasné</v>
      </c>
      <c r="D769" s="3" t="str">
        <f t="shared" si="783"/>
        <v>Nejasné</v>
      </c>
      <c r="E769" s="3" t="s">
        <v>48</v>
      </c>
      <c r="F769" s="3" t="s">
        <v>49</v>
      </c>
      <c r="G769" s="2" t="str">
        <f t="shared" si="784"/>
        <v>Malé zmluvy</v>
      </c>
      <c r="H769" s="5">
        <v>42499500</v>
      </c>
      <c r="I769" s="2" t="s">
        <v>464</v>
      </c>
      <c r="J769" s="2" t="s">
        <v>465</v>
      </c>
      <c r="K769" s="5">
        <v>35760419</v>
      </c>
      <c r="L769" s="2" t="s">
        <v>85</v>
      </c>
      <c r="M769" s="2" t="s">
        <v>696</v>
      </c>
      <c r="N769" s="6">
        <v>44826.559814814813</v>
      </c>
      <c r="O769" s="4">
        <v>137619.22</v>
      </c>
      <c r="P769" s="2">
        <v>114725</v>
      </c>
      <c r="Q769" s="2" t="s">
        <v>976</v>
      </c>
      <c r="R769" s="2" t="s">
        <v>977</v>
      </c>
      <c r="S769" s="2" t="s">
        <v>73</v>
      </c>
      <c r="W769" s="4">
        <v>642.48</v>
      </c>
      <c r="X769" s="4">
        <v>770.976</v>
      </c>
      <c r="Y769" s="4">
        <f t="shared" ref="Y769" si="852">INDEX(InternalRates,MATCH($S769,InternalRates01,FALSE),2)</f>
        <v>278.98333333333335</v>
      </c>
      <c r="Z769" s="3" t="str">
        <f t="shared" si="818"/>
        <v>Nie</v>
      </c>
      <c r="AA769" s="3" t="str">
        <f t="shared" si="819"/>
        <v>SLA</v>
      </c>
      <c r="AB769" s="4">
        <v>28.375</v>
      </c>
      <c r="AC769" s="4">
        <v>27.603611405736938</v>
      </c>
      <c r="AD769" s="3" t="s">
        <v>48</v>
      </c>
      <c r="AE769" s="6">
        <v>44991</v>
      </c>
      <c r="AF769" s="3" t="s">
        <v>59</v>
      </c>
      <c r="AG769" s="3" t="s">
        <v>60</v>
      </c>
      <c r="AH769" s="3">
        <f>YEAR(SrcDB[[#This Row],[Datum_zverejnenia]])</f>
        <v>2022</v>
      </c>
      <c r="AI769" s="3" cm="1">
        <f t="array" ref="AI769">COUNT(_xlfn.UNIQUE(_xlfn._xlws.FILTER(SrcDB[ID],SrcDB[Objednavatel_ICO]=$H769)))</f>
        <v>25</v>
      </c>
      <c r="AJ769" s="3" cm="1">
        <f t="array" ref="AJ769">COUNT(_xlfn.UNIQUE(_xlfn._xlws.FILTER(SrcDB[ID],SrcDB[Dodavatel_ICO]=$K769)))</f>
        <v>34</v>
      </c>
      <c r="AK769" s="3">
        <f t="shared" si="788"/>
        <v>0</v>
      </c>
      <c r="AL769" s="3">
        <f t="shared" si="789"/>
        <v>0</v>
      </c>
      <c r="AM769" s="17" t="str">
        <f>IF(SrcDB[[#This Row],[Pocet zmluv objednavatela]]&gt;3,SrcDB[[#This Row],[Objednavatel]],"Ostatné")</f>
        <v>Finančné riaditeľstvo SR</v>
      </c>
      <c r="AN769" s="17" t="str">
        <f>IF(SrcDB[[#This Row],[Pocet zmluv dodavatela]]&gt;3,SrcDB[[#This Row],[Dodavatel]],"Ostatné")</f>
        <v>Asseco Central Europe, a.s.</v>
      </c>
    </row>
    <row r="770" spans="1:40" x14ac:dyDescent="0.3">
      <c r="A770" s="2" t="s">
        <v>975</v>
      </c>
      <c r="B770" s="2">
        <v>6903378</v>
      </c>
      <c r="C770" s="3" t="str">
        <f t="shared" ref="C770:C833" si="853">IF(OR(NOT(ISERROR(FIND("O DIEL",UPPER($A770)))),NOT(ISERROR(FIND("O IMPLEM",UPPER($A770)))))=TRUE,"Áno",IF(OR(NOT(ISERROR(FIND("PODPOR",UPPER($A770)))),NOT(ISERROR(FIND("SLA",UPPER($A770)))),NOT(ISERROR(FIND("SERVIS",UPPER($A770)))))=TRUE,"Nie","Nejasné"))</f>
        <v>Nejasné</v>
      </c>
      <c r="D770" s="3" t="str">
        <f t="shared" ref="D770:D833" si="854">IF(OR(NOT(ISERROR(FIND("PODPOR",UPPER($A770)))),NOT(ISERROR(FIND("SLA",UPPER($A770)))),NOT(ISERROR(FIND("SERVIS",UPPER($A770)))))=TRUE,"Áno",IF(OR(NOT(ISERROR(FIND("O DIEL",UPPER($A770)))),NOT(ISERROR(FIND("O IMPLEM",UPPER($A770)))))=TRUE,"Nie","Nejasné"))</f>
        <v>Nejasné</v>
      </c>
      <c r="E770" s="3" t="s">
        <v>48</v>
      </c>
      <c r="F770" s="3" t="s">
        <v>49</v>
      </c>
      <c r="G770" s="2" t="str">
        <f t="shared" ref="G770:G833" si="855">IF($O770&gt;=8000000,"Veľké zmluvy",IF($O770&gt;=1000000,"Stredné zmluvy","Malé zmluvy"))</f>
        <v>Malé zmluvy</v>
      </c>
      <c r="H770" s="5">
        <v>42499500</v>
      </c>
      <c r="I770" s="2" t="s">
        <v>464</v>
      </c>
      <c r="J770" s="2" t="s">
        <v>465</v>
      </c>
      <c r="K770" s="5">
        <v>35760419</v>
      </c>
      <c r="L770" s="2" t="s">
        <v>85</v>
      </c>
      <c r="M770" s="2" t="s">
        <v>696</v>
      </c>
      <c r="N770" s="6">
        <v>44826.559814814813</v>
      </c>
      <c r="O770" s="4">
        <v>137619.22</v>
      </c>
      <c r="P770" s="2">
        <v>114725</v>
      </c>
      <c r="Q770" s="2" t="s">
        <v>976</v>
      </c>
      <c r="R770" s="2" t="s">
        <v>977</v>
      </c>
      <c r="S770" s="2" t="s">
        <v>71</v>
      </c>
      <c r="W770" s="4">
        <v>642.48</v>
      </c>
      <c r="X770" s="4">
        <v>770.976</v>
      </c>
      <c r="Y770" s="4">
        <f t="shared" ref="Y770" si="856">INDEX(InternalRates,MATCH($S770,InternalRates01,FALSE),2)</f>
        <v>354.0333333333333</v>
      </c>
      <c r="Z770" s="3" t="str">
        <f t="shared" si="818"/>
        <v>Nie</v>
      </c>
      <c r="AA770" s="3" t="str">
        <f t="shared" si="819"/>
        <v>SLA</v>
      </c>
      <c r="AB770" s="4">
        <v>37.875</v>
      </c>
      <c r="AC770" s="4">
        <v>36.845349145102617</v>
      </c>
      <c r="AD770" s="3" t="s">
        <v>48</v>
      </c>
      <c r="AE770" s="6">
        <v>44991</v>
      </c>
      <c r="AF770" s="3" t="s">
        <v>59</v>
      </c>
      <c r="AG770" s="3" t="s">
        <v>60</v>
      </c>
      <c r="AH770" s="3">
        <f>YEAR(SrcDB[[#This Row],[Datum_zverejnenia]])</f>
        <v>2022</v>
      </c>
      <c r="AI770" s="3" cm="1">
        <f t="array" ref="AI770">COUNT(_xlfn.UNIQUE(_xlfn._xlws.FILTER(SrcDB[ID],SrcDB[Objednavatel_ICO]=$H770)))</f>
        <v>25</v>
      </c>
      <c r="AJ770" s="3" cm="1">
        <f t="array" ref="AJ770">COUNT(_xlfn.UNIQUE(_xlfn._xlws.FILTER(SrcDB[ID],SrcDB[Dodavatel_ICO]=$K770)))</f>
        <v>34</v>
      </c>
      <c r="AK770" s="3">
        <f t="shared" si="788"/>
        <v>0</v>
      </c>
      <c r="AL770" s="3">
        <f t="shared" si="789"/>
        <v>0</v>
      </c>
      <c r="AM770" s="17" t="str">
        <f>IF(SrcDB[[#This Row],[Pocet zmluv objednavatela]]&gt;3,SrcDB[[#This Row],[Objednavatel]],"Ostatné")</f>
        <v>Finančné riaditeľstvo SR</v>
      </c>
      <c r="AN770" s="17" t="str">
        <f>IF(SrcDB[[#This Row],[Pocet zmluv dodavatela]]&gt;3,SrcDB[[#This Row],[Dodavatel]],"Ostatné")</f>
        <v>Asseco Central Europe, a.s.</v>
      </c>
    </row>
    <row r="771" spans="1:40" x14ac:dyDescent="0.3">
      <c r="A771" s="2" t="s">
        <v>975</v>
      </c>
      <c r="B771" s="2">
        <v>6903378</v>
      </c>
      <c r="C771" s="3" t="str">
        <f t="shared" si="853"/>
        <v>Nejasné</v>
      </c>
      <c r="D771" s="3" t="str">
        <f t="shared" si="854"/>
        <v>Nejasné</v>
      </c>
      <c r="E771" s="3" t="s">
        <v>48</v>
      </c>
      <c r="F771" s="3" t="s">
        <v>49</v>
      </c>
      <c r="G771" s="2" t="str">
        <f t="shared" si="855"/>
        <v>Malé zmluvy</v>
      </c>
      <c r="H771" s="5">
        <v>42499500</v>
      </c>
      <c r="I771" s="2" t="s">
        <v>464</v>
      </c>
      <c r="J771" s="2" t="s">
        <v>465</v>
      </c>
      <c r="K771" s="5">
        <v>35760419</v>
      </c>
      <c r="L771" s="2" t="s">
        <v>85</v>
      </c>
      <c r="M771" s="2" t="s">
        <v>696</v>
      </c>
      <c r="N771" s="6">
        <v>44826.559814814813</v>
      </c>
      <c r="O771" s="4">
        <v>137619.22</v>
      </c>
      <c r="P771" s="2">
        <v>114725</v>
      </c>
      <c r="Q771" s="2" t="s">
        <v>976</v>
      </c>
      <c r="R771" s="2" t="s">
        <v>977</v>
      </c>
      <c r="S771" s="2" t="s">
        <v>77</v>
      </c>
      <c r="W771" s="4">
        <v>642.48</v>
      </c>
      <c r="X771" s="4">
        <v>770.976</v>
      </c>
      <c r="Y771" s="4">
        <f t="shared" ref="Y771" si="857">INDEX(InternalRates,MATCH($S771,InternalRates01,FALSE),2)</f>
        <v>278.98333333333335</v>
      </c>
      <c r="Z771" s="3" t="str">
        <f t="shared" si="818"/>
        <v>Nie</v>
      </c>
      <c r="AA771" s="3" t="str">
        <f t="shared" si="819"/>
        <v>SLA</v>
      </c>
      <c r="AB771" s="4">
        <v>61.375</v>
      </c>
      <c r="AC771" s="4">
        <v>59.706489868796638</v>
      </c>
      <c r="AD771" s="3" t="s">
        <v>48</v>
      </c>
      <c r="AE771" s="6">
        <v>44991</v>
      </c>
      <c r="AF771" s="3" t="s">
        <v>59</v>
      </c>
      <c r="AG771" s="3" t="s">
        <v>60</v>
      </c>
      <c r="AH771" s="3">
        <f>YEAR(SrcDB[[#This Row],[Datum_zverejnenia]])</f>
        <v>2022</v>
      </c>
      <c r="AI771" s="3" cm="1">
        <f t="array" ref="AI771">COUNT(_xlfn.UNIQUE(_xlfn._xlws.FILTER(SrcDB[ID],SrcDB[Objednavatel_ICO]=$H771)))</f>
        <v>25</v>
      </c>
      <c r="AJ771" s="3" cm="1">
        <f t="array" ref="AJ771">COUNT(_xlfn.UNIQUE(_xlfn._xlws.FILTER(SrcDB[ID],SrcDB[Dodavatel_ICO]=$K771)))</f>
        <v>34</v>
      </c>
      <c r="AK771" s="3">
        <f t="shared" si="788"/>
        <v>0</v>
      </c>
      <c r="AL771" s="3">
        <f t="shared" si="789"/>
        <v>0</v>
      </c>
      <c r="AM771" s="17" t="str">
        <f>IF(SrcDB[[#This Row],[Pocet zmluv objednavatela]]&gt;3,SrcDB[[#This Row],[Objednavatel]],"Ostatné")</f>
        <v>Finančné riaditeľstvo SR</v>
      </c>
      <c r="AN771" s="17" t="str">
        <f>IF(SrcDB[[#This Row],[Pocet zmluv dodavatela]]&gt;3,SrcDB[[#This Row],[Dodavatel]],"Ostatné")</f>
        <v>Asseco Central Europe, a.s.</v>
      </c>
    </row>
    <row r="772" spans="1:40" x14ac:dyDescent="0.3">
      <c r="A772" s="2" t="s">
        <v>975</v>
      </c>
      <c r="B772" s="2">
        <v>6903378</v>
      </c>
      <c r="C772" s="3" t="str">
        <f t="shared" si="853"/>
        <v>Nejasné</v>
      </c>
      <c r="D772" s="3" t="str">
        <f t="shared" si="854"/>
        <v>Nejasné</v>
      </c>
      <c r="E772" s="3" t="s">
        <v>48</v>
      </c>
      <c r="F772" s="3" t="s">
        <v>49</v>
      </c>
      <c r="G772" s="2" t="str">
        <f t="shared" si="855"/>
        <v>Malé zmluvy</v>
      </c>
      <c r="H772" s="5">
        <v>42499500</v>
      </c>
      <c r="I772" s="2" t="s">
        <v>464</v>
      </c>
      <c r="J772" s="2" t="s">
        <v>465</v>
      </c>
      <c r="K772" s="5">
        <v>35760419</v>
      </c>
      <c r="L772" s="2" t="s">
        <v>85</v>
      </c>
      <c r="M772" s="2" t="s">
        <v>696</v>
      </c>
      <c r="N772" s="6">
        <v>44826.559814814813</v>
      </c>
      <c r="O772" s="4">
        <v>137619.22</v>
      </c>
      <c r="P772" s="2">
        <v>114725</v>
      </c>
      <c r="Q772" s="2" t="s">
        <v>976</v>
      </c>
      <c r="R772" s="2" t="s">
        <v>977</v>
      </c>
      <c r="S772" s="2" t="s">
        <v>79</v>
      </c>
      <c r="W772" s="4">
        <v>642.48</v>
      </c>
      <c r="X772" s="4">
        <v>770.976</v>
      </c>
      <c r="Y772" s="4">
        <f t="shared" ref="Y772" si="858">INDEX(InternalRates,MATCH($S772,InternalRates01,FALSE),2)</f>
        <v>278.98333333333335</v>
      </c>
      <c r="Z772" s="3" t="str">
        <f t="shared" si="818"/>
        <v>Nie</v>
      </c>
      <c r="AA772" s="3" t="str">
        <f t="shared" si="819"/>
        <v>SLA</v>
      </c>
      <c r="AB772" s="4">
        <v>21</v>
      </c>
      <c r="AC772" s="4">
        <v>20.42910447649254</v>
      </c>
      <c r="AD772" s="3" t="s">
        <v>48</v>
      </c>
      <c r="AE772" s="6">
        <v>44991</v>
      </c>
      <c r="AF772" s="3" t="s">
        <v>59</v>
      </c>
      <c r="AG772" s="3" t="s">
        <v>60</v>
      </c>
      <c r="AH772" s="3">
        <f>YEAR(SrcDB[[#This Row],[Datum_zverejnenia]])</f>
        <v>2022</v>
      </c>
      <c r="AI772" s="3" cm="1">
        <f t="array" ref="AI772">COUNT(_xlfn.UNIQUE(_xlfn._xlws.FILTER(SrcDB[ID],SrcDB[Objednavatel_ICO]=$H772)))</f>
        <v>25</v>
      </c>
      <c r="AJ772" s="3" cm="1">
        <f t="array" ref="AJ772">COUNT(_xlfn.UNIQUE(_xlfn._xlws.FILTER(SrcDB[ID],SrcDB[Dodavatel_ICO]=$K772)))</f>
        <v>34</v>
      </c>
      <c r="AK772" s="3">
        <f t="shared" ref="AK772:AK835" si="859">IF($H771&lt;&gt;$H772,1,IF($B771&lt;&gt;$B772,1,0))</f>
        <v>0</v>
      </c>
      <c r="AL772" s="3">
        <f t="shared" ref="AL772:AL835" si="860">IF($K771&lt;&gt;$K772,1,IF($B771&lt;&gt;$B772,1,0))</f>
        <v>0</v>
      </c>
      <c r="AM772" s="17" t="str">
        <f>IF(SrcDB[[#This Row],[Pocet zmluv objednavatela]]&gt;3,SrcDB[[#This Row],[Objednavatel]],"Ostatné")</f>
        <v>Finančné riaditeľstvo SR</v>
      </c>
      <c r="AN772" s="17" t="str">
        <f>IF(SrcDB[[#This Row],[Pocet zmluv dodavatela]]&gt;3,SrcDB[[#This Row],[Dodavatel]],"Ostatné")</f>
        <v>Asseco Central Europe, a.s.</v>
      </c>
    </row>
    <row r="773" spans="1:40" x14ac:dyDescent="0.3">
      <c r="A773" s="2" t="s">
        <v>975</v>
      </c>
      <c r="B773" s="2">
        <v>6903378</v>
      </c>
      <c r="C773" s="3" t="str">
        <f t="shared" si="853"/>
        <v>Nejasné</v>
      </c>
      <c r="D773" s="3" t="str">
        <f t="shared" si="854"/>
        <v>Nejasné</v>
      </c>
      <c r="E773" s="3" t="s">
        <v>48</v>
      </c>
      <c r="F773" s="3" t="s">
        <v>49</v>
      </c>
      <c r="G773" s="2" t="str">
        <f t="shared" si="855"/>
        <v>Malé zmluvy</v>
      </c>
      <c r="H773" s="5">
        <v>42499500</v>
      </c>
      <c r="I773" s="2" t="s">
        <v>464</v>
      </c>
      <c r="J773" s="2" t="s">
        <v>465</v>
      </c>
      <c r="K773" s="5">
        <v>35760419</v>
      </c>
      <c r="L773" s="2" t="s">
        <v>85</v>
      </c>
      <c r="M773" s="2" t="s">
        <v>696</v>
      </c>
      <c r="N773" s="6">
        <v>44826.559814814813</v>
      </c>
      <c r="O773" s="4">
        <v>137619.22</v>
      </c>
      <c r="P773" s="2">
        <v>114725</v>
      </c>
      <c r="Q773" s="2" t="s">
        <v>976</v>
      </c>
      <c r="R773" s="2" t="s">
        <v>977</v>
      </c>
      <c r="S773" s="2" t="s">
        <v>160</v>
      </c>
      <c r="W773" s="4">
        <v>642.48</v>
      </c>
      <c r="X773" s="4">
        <v>770.976</v>
      </c>
      <c r="Y773" s="4">
        <f t="shared" ref="Y773" si="861">INDEX(InternalRates,MATCH($S773,InternalRates01,FALSE),2)</f>
        <v>231.85833333333335</v>
      </c>
      <c r="Z773" s="3" t="str">
        <f t="shared" si="818"/>
        <v>Nie</v>
      </c>
      <c r="AA773" s="3" t="str">
        <f t="shared" si="819"/>
        <v>SLA</v>
      </c>
      <c r="AB773" s="4">
        <v>11.75</v>
      </c>
      <c r="AC773" s="4">
        <v>11.430570361847016</v>
      </c>
      <c r="AD773" s="3" t="s">
        <v>48</v>
      </c>
      <c r="AE773" s="6">
        <v>44991</v>
      </c>
      <c r="AF773" s="3" t="s">
        <v>59</v>
      </c>
      <c r="AG773" s="3" t="s">
        <v>60</v>
      </c>
      <c r="AH773" s="3">
        <f>YEAR(SrcDB[[#This Row],[Datum_zverejnenia]])</f>
        <v>2022</v>
      </c>
      <c r="AI773" s="3" cm="1">
        <f t="array" ref="AI773">COUNT(_xlfn.UNIQUE(_xlfn._xlws.FILTER(SrcDB[ID],SrcDB[Objednavatel_ICO]=$H773)))</f>
        <v>25</v>
      </c>
      <c r="AJ773" s="3" cm="1">
        <f t="array" ref="AJ773">COUNT(_xlfn.UNIQUE(_xlfn._xlws.FILTER(SrcDB[ID],SrcDB[Dodavatel_ICO]=$K773)))</f>
        <v>34</v>
      </c>
      <c r="AK773" s="3">
        <f t="shared" si="859"/>
        <v>0</v>
      </c>
      <c r="AL773" s="3">
        <f t="shared" si="860"/>
        <v>0</v>
      </c>
      <c r="AM773" s="17" t="str">
        <f>IF(SrcDB[[#This Row],[Pocet zmluv objednavatela]]&gt;3,SrcDB[[#This Row],[Objednavatel]],"Ostatné")</f>
        <v>Finančné riaditeľstvo SR</v>
      </c>
      <c r="AN773" s="17" t="str">
        <f>IF(SrcDB[[#This Row],[Pocet zmluv dodavatela]]&gt;3,SrcDB[[#This Row],[Dodavatel]],"Ostatné")</f>
        <v>Asseco Central Europe, a.s.</v>
      </c>
    </row>
    <row r="774" spans="1:40" x14ac:dyDescent="0.3">
      <c r="A774" s="2" t="s">
        <v>975</v>
      </c>
      <c r="B774" s="2">
        <v>6903378</v>
      </c>
      <c r="C774" s="3" t="str">
        <f t="shared" si="853"/>
        <v>Nejasné</v>
      </c>
      <c r="D774" s="3" t="str">
        <f t="shared" si="854"/>
        <v>Nejasné</v>
      </c>
      <c r="E774" s="3" t="s">
        <v>48</v>
      </c>
      <c r="F774" s="3" t="s">
        <v>49</v>
      </c>
      <c r="G774" s="2" t="str">
        <f t="shared" si="855"/>
        <v>Malé zmluvy</v>
      </c>
      <c r="H774" s="5">
        <v>42499500</v>
      </c>
      <c r="I774" s="2" t="s">
        <v>464</v>
      </c>
      <c r="J774" s="2" t="s">
        <v>465</v>
      </c>
      <c r="K774" s="5">
        <v>35760419</v>
      </c>
      <c r="L774" s="2" t="s">
        <v>85</v>
      </c>
      <c r="M774" s="2" t="s">
        <v>696</v>
      </c>
      <c r="N774" s="6">
        <v>44826.559814814813</v>
      </c>
      <c r="O774" s="4">
        <v>137619.22</v>
      </c>
      <c r="P774" s="2">
        <v>114725</v>
      </c>
      <c r="Q774" s="2" t="s">
        <v>976</v>
      </c>
      <c r="R774" s="2" t="s">
        <v>977</v>
      </c>
      <c r="S774" s="2" t="s">
        <v>102</v>
      </c>
      <c r="T774" s="2" t="s">
        <v>114</v>
      </c>
      <c r="W774" s="4">
        <v>642.48</v>
      </c>
      <c r="X774" s="4">
        <v>770.976</v>
      </c>
      <c r="Y774" s="4">
        <f t="shared" ref="Y774" si="862">INDEX(InternalRates,MATCH($S774,InternalRates01,FALSE),2)</f>
        <v>278.98333333333335</v>
      </c>
      <c r="Z774" s="3" t="str">
        <f t="shared" si="818"/>
        <v>Nie</v>
      </c>
      <c r="AA774" s="3" t="str">
        <f t="shared" si="819"/>
        <v>SLA</v>
      </c>
      <c r="AB774" s="4">
        <v>5</v>
      </c>
      <c r="AC774" s="4">
        <v>4.8640724944029845</v>
      </c>
      <c r="AD774" s="3" t="s">
        <v>48</v>
      </c>
      <c r="AE774" s="6">
        <v>44991</v>
      </c>
      <c r="AF774" s="3" t="s">
        <v>59</v>
      </c>
      <c r="AG774" s="3" t="s">
        <v>60</v>
      </c>
      <c r="AH774" s="3">
        <f>YEAR(SrcDB[[#This Row],[Datum_zverejnenia]])</f>
        <v>2022</v>
      </c>
      <c r="AI774" s="3" cm="1">
        <f t="array" ref="AI774">COUNT(_xlfn.UNIQUE(_xlfn._xlws.FILTER(SrcDB[ID],SrcDB[Objednavatel_ICO]=$H774)))</f>
        <v>25</v>
      </c>
      <c r="AJ774" s="3" cm="1">
        <f t="array" ref="AJ774">COUNT(_xlfn.UNIQUE(_xlfn._xlws.FILTER(SrcDB[ID],SrcDB[Dodavatel_ICO]=$K774)))</f>
        <v>34</v>
      </c>
      <c r="AK774" s="3">
        <f t="shared" si="859"/>
        <v>0</v>
      </c>
      <c r="AL774" s="3">
        <f t="shared" si="860"/>
        <v>0</v>
      </c>
      <c r="AM774" s="17" t="str">
        <f>IF(SrcDB[[#This Row],[Pocet zmluv objednavatela]]&gt;3,SrcDB[[#This Row],[Objednavatel]],"Ostatné")</f>
        <v>Finančné riaditeľstvo SR</v>
      </c>
      <c r="AN774" s="17" t="str">
        <f>IF(SrcDB[[#This Row],[Pocet zmluv dodavatela]]&gt;3,SrcDB[[#This Row],[Dodavatel]],"Ostatné")</f>
        <v>Asseco Central Europe, a.s.</v>
      </c>
    </row>
    <row r="775" spans="1:40" x14ac:dyDescent="0.3">
      <c r="A775" s="2" t="s">
        <v>978</v>
      </c>
      <c r="B775" s="2">
        <v>6933138</v>
      </c>
      <c r="C775" s="3" t="str">
        <f t="shared" si="853"/>
        <v>Nejasné</v>
      </c>
      <c r="D775" s="3" t="str">
        <f t="shared" si="854"/>
        <v>Nejasné</v>
      </c>
      <c r="E775" s="3" t="s">
        <v>49</v>
      </c>
      <c r="F775" s="3" t="s">
        <v>48</v>
      </c>
      <c r="G775" s="2" t="str">
        <f t="shared" si="855"/>
        <v>Malé zmluvy</v>
      </c>
      <c r="H775" s="5">
        <v>36070513</v>
      </c>
      <c r="I775" s="2" t="s">
        <v>979</v>
      </c>
      <c r="J775" s="2" t="s">
        <v>980</v>
      </c>
      <c r="K775" s="5">
        <v>35781271</v>
      </c>
      <c r="L775" s="2" t="s">
        <v>981</v>
      </c>
      <c r="M775" s="2" t="s">
        <v>982</v>
      </c>
      <c r="N775" s="6">
        <v>44833.732488425929</v>
      </c>
      <c r="O775" s="4">
        <v>852348</v>
      </c>
      <c r="P775" s="2">
        <v>114499</v>
      </c>
      <c r="Q775" s="2" t="s">
        <v>983</v>
      </c>
      <c r="R775" s="2" t="s">
        <v>984</v>
      </c>
      <c r="S775" s="2" t="s">
        <v>56</v>
      </c>
      <c r="T775" s="2" t="s">
        <v>286</v>
      </c>
      <c r="U775" s="2" t="s">
        <v>129</v>
      </c>
      <c r="W775" s="4">
        <v>535</v>
      </c>
      <c r="X775" s="4">
        <v>642</v>
      </c>
      <c r="Y775" s="4">
        <f t="shared" ref="Y775" si="863">INDEX(InternalRates,MATCH($S775,InternalRates01,FALSE),2)</f>
        <v>278.98333333333335</v>
      </c>
      <c r="Z775" s="3" t="str">
        <f t="shared" si="818"/>
        <v>Nie</v>
      </c>
      <c r="AA775" s="3" t="str">
        <f t="shared" si="819"/>
        <v>ZoD</v>
      </c>
      <c r="AD775" s="3" t="s">
        <v>48</v>
      </c>
      <c r="AE775" s="6">
        <v>44987</v>
      </c>
      <c r="AF775" s="3" t="s">
        <v>59</v>
      </c>
      <c r="AG775" s="3" t="s">
        <v>49</v>
      </c>
      <c r="AH775" s="3">
        <f>YEAR(SrcDB[[#This Row],[Datum_zverejnenia]])</f>
        <v>2022</v>
      </c>
      <c r="AI775" s="3" cm="1">
        <f t="array" ref="AI775">COUNT(_xlfn.UNIQUE(_xlfn._xlws.FILTER(SrcDB[ID],SrcDB[Objednavatel_ICO]=$H775)))</f>
        <v>1</v>
      </c>
      <c r="AJ775" s="3" cm="1">
        <f t="array" ref="AJ775">COUNT(_xlfn.UNIQUE(_xlfn._xlws.FILTER(SrcDB[ID],SrcDB[Dodavatel_ICO]=$K775)))</f>
        <v>1</v>
      </c>
      <c r="AK775" s="3">
        <f t="shared" si="859"/>
        <v>1</v>
      </c>
      <c r="AL775" s="3">
        <f t="shared" si="860"/>
        <v>1</v>
      </c>
      <c r="AM775" s="17" t="str">
        <f>IF(SrcDB[[#This Row],[Pocet zmluv objednavatela]]&gt;3,SrcDB[[#This Row],[Objednavatel]],"Ostatné")</f>
        <v>Ostatné</v>
      </c>
      <c r="AN775" s="17" t="str">
        <f>IF(SrcDB[[#This Row],[Pocet zmluv dodavatela]]&gt;3,SrcDB[[#This Row],[Dodavatel]],"Ostatné")</f>
        <v>Ostatné</v>
      </c>
    </row>
    <row r="776" spans="1:40" x14ac:dyDescent="0.3">
      <c r="A776" s="2" t="s">
        <v>978</v>
      </c>
      <c r="B776" s="2">
        <v>6933138</v>
      </c>
      <c r="C776" s="3" t="str">
        <f t="shared" si="853"/>
        <v>Nejasné</v>
      </c>
      <c r="D776" s="3" t="str">
        <f t="shared" si="854"/>
        <v>Nejasné</v>
      </c>
      <c r="E776" s="3" t="s">
        <v>49</v>
      </c>
      <c r="F776" s="3" t="s">
        <v>48</v>
      </c>
      <c r="G776" s="2" t="str">
        <f t="shared" si="855"/>
        <v>Malé zmluvy</v>
      </c>
      <c r="H776" s="5">
        <v>36070513</v>
      </c>
      <c r="I776" s="2" t="s">
        <v>979</v>
      </c>
      <c r="J776" s="2" t="s">
        <v>980</v>
      </c>
      <c r="K776" s="5">
        <v>35781271</v>
      </c>
      <c r="L776" s="2" t="s">
        <v>981</v>
      </c>
      <c r="M776" s="2" t="s">
        <v>982</v>
      </c>
      <c r="N776" s="6">
        <v>44833.732488425929</v>
      </c>
      <c r="O776" s="4">
        <v>852348</v>
      </c>
      <c r="P776" s="2">
        <v>114499</v>
      </c>
      <c r="Q776" s="2" t="s">
        <v>983</v>
      </c>
      <c r="R776" s="2" t="s">
        <v>984</v>
      </c>
      <c r="S776" s="2" t="s">
        <v>73</v>
      </c>
      <c r="W776" s="4">
        <v>535</v>
      </c>
      <c r="X776" s="4">
        <v>642</v>
      </c>
      <c r="Y776" s="4">
        <f t="shared" ref="Y776" si="864">INDEX(InternalRates,MATCH($S776,InternalRates01,FALSE),2)</f>
        <v>278.98333333333335</v>
      </c>
      <c r="Z776" s="3" t="str">
        <f t="shared" si="818"/>
        <v>Nie</v>
      </c>
      <c r="AA776" s="3" t="str">
        <f t="shared" si="819"/>
        <v>ZoD</v>
      </c>
      <c r="AB776" s="4">
        <v>330</v>
      </c>
      <c r="AC776" s="4">
        <v>264</v>
      </c>
      <c r="AD776" s="3" t="s">
        <v>48</v>
      </c>
      <c r="AE776" s="6">
        <v>44987</v>
      </c>
      <c r="AF776" s="3" t="s">
        <v>59</v>
      </c>
      <c r="AG776" s="3" t="s">
        <v>49</v>
      </c>
      <c r="AH776" s="3">
        <f>YEAR(SrcDB[[#This Row],[Datum_zverejnenia]])</f>
        <v>2022</v>
      </c>
      <c r="AI776" s="3" cm="1">
        <f t="array" ref="AI776">COUNT(_xlfn.UNIQUE(_xlfn._xlws.FILTER(SrcDB[ID],SrcDB[Objednavatel_ICO]=$H776)))</f>
        <v>1</v>
      </c>
      <c r="AJ776" s="3" cm="1">
        <f t="array" ref="AJ776">COUNT(_xlfn.UNIQUE(_xlfn._xlws.FILTER(SrcDB[ID],SrcDB[Dodavatel_ICO]=$K776)))</f>
        <v>1</v>
      </c>
      <c r="AK776" s="3">
        <f t="shared" si="859"/>
        <v>0</v>
      </c>
      <c r="AL776" s="3">
        <f t="shared" si="860"/>
        <v>0</v>
      </c>
      <c r="AM776" s="17" t="str">
        <f>IF(SrcDB[[#This Row],[Pocet zmluv objednavatela]]&gt;3,SrcDB[[#This Row],[Objednavatel]],"Ostatné")</f>
        <v>Ostatné</v>
      </c>
      <c r="AN776" s="17" t="str">
        <f>IF(SrcDB[[#This Row],[Pocet zmluv dodavatela]]&gt;3,SrcDB[[#This Row],[Dodavatel]],"Ostatné")</f>
        <v>Ostatné</v>
      </c>
    </row>
    <row r="777" spans="1:40" x14ac:dyDescent="0.3">
      <c r="A777" s="2" t="s">
        <v>978</v>
      </c>
      <c r="B777" s="2">
        <v>6933138</v>
      </c>
      <c r="C777" s="3" t="str">
        <f t="shared" si="853"/>
        <v>Nejasné</v>
      </c>
      <c r="D777" s="3" t="str">
        <f t="shared" si="854"/>
        <v>Nejasné</v>
      </c>
      <c r="E777" s="3" t="s">
        <v>49</v>
      </c>
      <c r="F777" s="3" t="s">
        <v>48</v>
      </c>
      <c r="G777" s="2" t="str">
        <f t="shared" si="855"/>
        <v>Malé zmluvy</v>
      </c>
      <c r="H777" s="5">
        <v>36070513</v>
      </c>
      <c r="I777" s="2" t="s">
        <v>979</v>
      </c>
      <c r="J777" s="2" t="s">
        <v>980</v>
      </c>
      <c r="K777" s="5">
        <v>35781271</v>
      </c>
      <c r="L777" s="2" t="s">
        <v>981</v>
      </c>
      <c r="M777" s="2" t="s">
        <v>982</v>
      </c>
      <c r="N777" s="6">
        <v>44833.732488425929</v>
      </c>
      <c r="O777" s="4">
        <v>852348</v>
      </c>
      <c r="P777" s="2">
        <v>114499</v>
      </c>
      <c r="Q777" s="2" t="s">
        <v>983</v>
      </c>
      <c r="R777" s="2" t="s">
        <v>984</v>
      </c>
      <c r="S777" s="2" t="s">
        <v>71</v>
      </c>
      <c r="W777" s="4">
        <v>535</v>
      </c>
      <c r="X777" s="4">
        <v>642</v>
      </c>
      <c r="Y777" s="4">
        <f t="shared" ref="Y777" si="865">INDEX(InternalRates,MATCH($S777,InternalRates01,FALSE),2)</f>
        <v>354.0333333333333</v>
      </c>
      <c r="Z777" s="3" t="str">
        <f t="shared" si="818"/>
        <v>Nie</v>
      </c>
      <c r="AA777" s="3" t="str">
        <f t="shared" si="819"/>
        <v>ZoD</v>
      </c>
      <c r="AB777" s="4">
        <v>50</v>
      </c>
      <c r="AC777" s="4">
        <v>40</v>
      </c>
      <c r="AD777" s="3" t="s">
        <v>48</v>
      </c>
      <c r="AE777" s="6">
        <v>44987</v>
      </c>
      <c r="AF777" s="3" t="s">
        <v>59</v>
      </c>
      <c r="AG777" s="3" t="s">
        <v>49</v>
      </c>
      <c r="AH777" s="3">
        <f>YEAR(SrcDB[[#This Row],[Datum_zverejnenia]])</f>
        <v>2022</v>
      </c>
      <c r="AI777" s="3" cm="1">
        <f t="array" ref="AI777">COUNT(_xlfn.UNIQUE(_xlfn._xlws.FILTER(SrcDB[ID],SrcDB[Objednavatel_ICO]=$H777)))</f>
        <v>1</v>
      </c>
      <c r="AJ777" s="3" cm="1">
        <f t="array" ref="AJ777">COUNT(_xlfn.UNIQUE(_xlfn._xlws.FILTER(SrcDB[ID],SrcDB[Dodavatel_ICO]=$K777)))</f>
        <v>1</v>
      </c>
      <c r="AK777" s="3">
        <f t="shared" si="859"/>
        <v>0</v>
      </c>
      <c r="AL777" s="3">
        <f t="shared" si="860"/>
        <v>0</v>
      </c>
      <c r="AM777" s="17" t="str">
        <f>IF(SrcDB[[#This Row],[Pocet zmluv objednavatela]]&gt;3,SrcDB[[#This Row],[Objednavatel]],"Ostatné")</f>
        <v>Ostatné</v>
      </c>
      <c r="AN777" s="17" t="str">
        <f>IF(SrcDB[[#This Row],[Pocet zmluv dodavatela]]&gt;3,SrcDB[[#This Row],[Dodavatel]],"Ostatné")</f>
        <v>Ostatné</v>
      </c>
    </row>
    <row r="778" spans="1:40" x14ac:dyDescent="0.3">
      <c r="A778" s="2" t="s">
        <v>978</v>
      </c>
      <c r="B778" s="2">
        <v>6933138</v>
      </c>
      <c r="C778" s="3" t="str">
        <f t="shared" si="853"/>
        <v>Nejasné</v>
      </c>
      <c r="D778" s="3" t="str">
        <f t="shared" si="854"/>
        <v>Nejasné</v>
      </c>
      <c r="E778" s="3" t="s">
        <v>49</v>
      </c>
      <c r="F778" s="3" t="s">
        <v>48</v>
      </c>
      <c r="G778" s="2" t="str">
        <f t="shared" si="855"/>
        <v>Malé zmluvy</v>
      </c>
      <c r="H778" s="5">
        <v>36070513</v>
      </c>
      <c r="I778" s="2" t="s">
        <v>979</v>
      </c>
      <c r="J778" s="2" t="s">
        <v>980</v>
      </c>
      <c r="K778" s="5">
        <v>35781271</v>
      </c>
      <c r="L778" s="2" t="s">
        <v>981</v>
      </c>
      <c r="M778" s="2" t="s">
        <v>982</v>
      </c>
      <c r="N778" s="6">
        <v>44833.732488425929</v>
      </c>
      <c r="O778" s="4">
        <v>852348</v>
      </c>
      <c r="P778" s="2">
        <v>114499</v>
      </c>
      <c r="Q778" s="2" t="s">
        <v>983</v>
      </c>
      <c r="R778" s="2" t="s">
        <v>984</v>
      </c>
      <c r="S778" s="2" t="s">
        <v>69</v>
      </c>
      <c r="T778" s="2" t="s">
        <v>70</v>
      </c>
      <c r="W778" s="4">
        <v>535</v>
      </c>
      <c r="X778" s="4">
        <v>642</v>
      </c>
      <c r="Y778" s="4">
        <f t="shared" ref="Y778" si="866">INDEX(InternalRates,MATCH($S778,InternalRates01,FALSE),2)</f>
        <v>278.98333333333335</v>
      </c>
      <c r="Z778" s="3" t="str">
        <f t="shared" si="818"/>
        <v>Nie</v>
      </c>
      <c r="AA778" s="3" t="str">
        <f t="shared" si="819"/>
        <v>ZoD</v>
      </c>
      <c r="AB778" s="4">
        <v>114</v>
      </c>
      <c r="AC778" s="4">
        <v>91.2</v>
      </c>
      <c r="AD778" s="3" t="s">
        <v>48</v>
      </c>
      <c r="AE778" s="6">
        <v>44987</v>
      </c>
      <c r="AF778" s="3" t="s">
        <v>59</v>
      </c>
      <c r="AG778" s="3" t="s">
        <v>49</v>
      </c>
      <c r="AH778" s="3">
        <f>YEAR(SrcDB[[#This Row],[Datum_zverejnenia]])</f>
        <v>2022</v>
      </c>
      <c r="AI778" s="3" cm="1">
        <f t="array" ref="AI778">COUNT(_xlfn.UNIQUE(_xlfn._xlws.FILTER(SrcDB[ID],SrcDB[Objednavatel_ICO]=$H778)))</f>
        <v>1</v>
      </c>
      <c r="AJ778" s="3" cm="1">
        <f t="array" ref="AJ778">COUNT(_xlfn.UNIQUE(_xlfn._xlws.FILTER(SrcDB[ID],SrcDB[Dodavatel_ICO]=$K778)))</f>
        <v>1</v>
      </c>
      <c r="AK778" s="3">
        <f t="shared" si="859"/>
        <v>0</v>
      </c>
      <c r="AL778" s="3">
        <f t="shared" si="860"/>
        <v>0</v>
      </c>
      <c r="AM778" s="17" t="str">
        <f>IF(SrcDB[[#This Row],[Pocet zmluv objednavatela]]&gt;3,SrcDB[[#This Row],[Objednavatel]],"Ostatné")</f>
        <v>Ostatné</v>
      </c>
      <c r="AN778" s="17" t="str">
        <f>IF(SrcDB[[#This Row],[Pocet zmluv dodavatela]]&gt;3,SrcDB[[#This Row],[Dodavatel]],"Ostatné")</f>
        <v>Ostatné</v>
      </c>
    </row>
    <row r="779" spans="1:40" x14ac:dyDescent="0.3">
      <c r="A779" s="2" t="s">
        <v>978</v>
      </c>
      <c r="B779" s="2">
        <v>6933138</v>
      </c>
      <c r="C779" s="3" t="str">
        <f t="shared" si="853"/>
        <v>Nejasné</v>
      </c>
      <c r="D779" s="3" t="str">
        <f t="shared" si="854"/>
        <v>Nejasné</v>
      </c>
      <c r="E779" s="3" t="s">
        <v>49</v>
      </c>
      <c r="F779" s="3" t="s">
        <v>48</v>
      </c>
      <c r="G779" s="2" t="str">
        <f t="shared" si="855"/>
        <v>Malé zmluvy</v>
      </c>
      <c r="H779" s="5">
        <v>36070513</v>
      </c>
      <c r="I779" s="2" t="s">
        <v>979</v>
      </c>
      <c r="J779" s="2" t="s">
        <v>980</v>
      </c>
      <c r="K779" s="5">
        <v>35781271</v>
      </c>
      <c r="L779" s="2" t="s">
        <v>981</v>
      </c>
      <c r="M779" s="2" t="s">
        <v>982</v>
      </c>
      <c r="N779" s="6">
        <v>44833.732488425929</v>
      </c>
      <c r="O779" s="4">
        <v>852348</v>
      </c>
      <c r="P779" s="2">
        <v>114499</v>
      </c>
      <c r="Q779" s="2" t="s">
        <v>983</v>
      </c>
      <c r="R779" s="2" t="s">
        <v>984</v>
      </c>
      <c r="S779" s="2" t="s">
        <v>56</v>
      </c>
      <c r="T779" s="2" t="s">
        <v>448</v>
      </c>
      <c r="U779" s="2" t="s">
        <v>449</v>
      </c>
      <c r="W779" s="4">
        <v>535</v>
      </c>
      <c r="X779" s="4">
        <v>642</v>
      </c>
      <c r="Y779" s="4">
        <f t="shared" ref="Y779" si="867">INDEX(InternalRates,MATCH($S779,InternalRates01,FALSE),2)</f>
        <v>278.98333333333335</v>
      </c>
      <c r="Z779" s="3" t="str">
        <f t="shared" si="818"/>
        <v>Nie</v>
      </c>
      <c r="AA779" s="3" t="str">
        <f t="shared" si="819"/>
        <v>ZoD</v>
      </c>
      <c r="AB779" s="4">
        <v>37</v>
      </c>
      <c r="AC779" s="4">
        <v>29.6</v>
      </c>
      <c r="AD779" s="3" t="s">
        <v>48</v>
      </c>
      <c r="AE779" s="6">
        <v>44987</v>
      </c>
      <c r="AF779" s="3" t="s">
        <v>59</v>
      </c>
      <c r="AG779" s="3" t="s">
        <v>49</v>
      </c>
      <c r="AH779" s="3">
        <f>YEAR(SrcDB[[#This Row],[Datum_zverejnenia]])</f>
        <v>2022</v>
      </c>
      <c r="AI779" s="3" cm="1">
        <f t="array" ref="AI779">COUNT(_xlfn.UNIQUE(_xlfn._xlws.FILTER(SrcDB[ID],SrcDB[Objednavatel_ICO]=$H779)))</f>
        <v>1</v>
      </c>
      <c r="AJ779" s="3" cm="1">
        <f t="array" ref="AJ779">COUNT(_xlfn.UNIQUE(_xlfn._xlws.FILTER(SrcDB[ID],SrcDB[Dodavatel_ICO]=$K779)))</f>
        <v>1</v>
      </c>
      <c r="AK779" s="3">
        <f t="shared" si="859"/>
        <v>0</v>
      </c>
      <c r="AL779" s="3">
        <f t="shared" si="860"/>
        <v>0</v>
      </c>
      <c r="AM779" s="17" t="str">
        <f>IF(SrcDB[[#This Row],[Pocet zmluv objednavatela]]&gt;3,SrcDB[[#This Row],[Objednavatel]],"Ostatné")</f>
        <v>Ostatné</v>
      </c>
      <c r="AN779" s="17" t="str">
        <f>IF(SrcDB[[#This Row],[Pocet zmluv dodavatela]]&gt;3,SrcDB[[#This Row],[Dodavatel]],"Ostatné")</f>
        <v>Ostatné</v>
      </c>
    </row>
    <row r="780" spans="1:40" x14ac:dyDescent="0.3">
      <c r="A780" s="2" t="s">
        <v>978</v>
      </c>
      <c r="B780" s="2">
        <v>6933138</v>
      </c>
      <c r="C780" s="3" t="str">
        <f t="shared" si="853"/>
        <v>Nejasné</v>
      </c>
      <c r="D780" s="3" t="str">
        <f t="shared" si="854"/>
        <v>Nejasné</v>
      </c>
      <c r="E780" s="3" t="s">
        <v>49</v>
      </c>
      <c r="F780" s="3" t="s">
        <v>48</v>
      </c>
      <c r="G780" s="2" t="str">
        <f t="shared" si="855"/>
        <v>Malé zmluvy</v>
      </c>
      <c r="H780" s="5">
        <v>36070513</v>
      </c>
      <c r="I780" s="2" t="s">
        <v>979</v>
      </c>
      <c r="J780" s="2" t="s">
        <v>980</v>
      </c>
      <c r="K780" s="5">
        <v>35781271</v>
      </c>
      <c r="L780" s="2" t="s">
        <v>981</v>
      </c>
      <c r="M780" s="2" t="s">
        <v>982</v>
      </c>
      <c r="N780" s="6">
        <v>44833.732488425929</v>
      </c>
      <c r="O780" s="4">
        <v>852348</v>
      </c>
      <c r="P780" s="2">
        <v>114499</v>
      </c>
      <c r="Q780" s="2" t="s">
        <v>983</v>
      </c>
      <c r="R780" s="2" t="s">
        <v>984</v>
      </c>
      <c r="S780" s="2" t="s">
        <v>56</v>
      </c>
      <c r="T780" s="2" t="s">
        <v>94</v>
      </c>
      <c r="U780" s="2" t="s">
        <v>95</v>
      </c>
      <c r="W780" s="4">
        <v>535</v>
      </c>
      <c r="X780" s="4">
        <v>642</v>
      </c>
      <c r="Y780" s="4">
        <f t="shared" ref="Y780" si="868">INDEX(InternalRates,MATCH($S780,InternalRates01,FALSE),2)</f>
        <v>278.98333333333335</v>
      </c>
      <c r="Z780" s="3" t="str">
        <f t="shared" si="818"/>
        <v>Nie</v>
      </c>
      <c r="AA780" s="3" t="str">
        <f t="shared" si="819"/>
        <v>ZoD</v>
      </c>
      <c r="AB780" s="4">
        <v>32</v>
      </c>
      <c r="AC780" s="4">
        <v>25.6</v>
      </c>
      <c r="AD780" s="3" t="s">
        <v>48</v>
      </c>
      <c r="AE780" s="6">
        <v>44987</v>
      </c>
      <c r="AF780" s="3" t="s">
        <v>59</v>
      </c>
      <c r="AG780" s="3" t="s">
        <v>49</v>
      </c>
      <c r="AH780" s="3">
        <f>YEAR(SrcDB[[#This Row],[Datum_zverejnenia]])</f>
        <v>2022</v>
      </c>
      <c r="AI780" s="3" cm="1">
        <f t="array" ref="AI780">COUNT(_xlfn.UNIQUE(_xlfn._xlws.FILTER(SrcDB[ID],SrcDB[Objednavatel_ICO]=$H780)))</f>
        <v>1</v>
      </c>
      <c r="AJ780" s="3" cm="1">
        <f t="array" ref="AJ780">COUNT(_xlfn.UNIQUE(_xlfn._xlws.FILTER(SrcDB[ID],SrcDB[Dodavatel_ICO]=$K780)))</f>
        <v>1</v>
      </c>
      <c r="AK780" s="3">
        <f t="shared" si="859"/>
        <v>0</v>
      </c>
      <c r="AL780" s="3">
        <f t="shared" si="860"/>
        <v>0</v>
      </c>
      <c r="AM780" s="17" t="str">
        <f>IF(SrcDB[[#This Row],[Pocet zmluv objednavatela]]&gt;3,SrcDB[[#This Row],[Objednavatel]],"Ostatné")</f>
        <v>Ostatné</v>
      </c>
      <c r="AN780" s="17" t="str">
        <f>IF(SrcDB[[#This Row],[Pocet zmluv dodavatela]]&gt;3,SrcDB[[#This Row],[Dodavatel]],"Ostatné")</f>
        <v>Ostatné</v>
      </c>
    </row>
    <row r="781" spans="1:40" x14ac:dyDescent="0.3">
      <c r="A781" s="2" t="s">
        <v>978</v>
      </c>
      <c r="B781" s="2">
        <v>6933138</v>
      </c>
      <c r="C781" s="3" t="str">
        <f t="shared" si="853"/>
        <v>Nejasné</v>
      </c>
      <c r="D781" s="3" t="str">
        <f t="shared" si="854"/>
        <v>Nejasné</v>
      </c>
      <c r="E781" s="3" t="s">
        <v>49</v>
      </c>
      <c r="F781" s="3" t="s">
        <v>48</v>
      </c>
      <c r="G781" s="2" t="str">
        <f t="shared" si="855"/>
        <v>Malé zmluvy</v>
      </c>
      <c r="H781" s="5">
        <v>36070513</v>
      </c>
      <c r="I781" s="2" t="s">
        <v>979</v>
      </c>
      <c r="J781" s="2" t="s">
        <v>980</v>
      </c>
      <c r="K781" s="5">
        <v>35781271</v>
      </c>
      <c r="L781" s="2" t="s">
        <v>981</v>
      </c>
      <c r="M781" s="2" t="s">
        <v>982</v>
      </c>
      <c r="N781" s="6">
        <v>44833.732488425929</v>
      </c>
      <c r="O781" s="4">
        <v>852348</v>
      </c>
      <c r="P781" s="2">
        <v>114499</v>
      </c>
      <c r="Q781" s="2" t="s">
        <v>983</v>
      </c>
      <c r="R781" s="2" t="s">
        <v>984</v>
      </c>
      <c r="S781" s="2" t="s">
        <v>77</v>
      </c>
      <c r="W781" s="4">
        <v>535</v>
      </c>
      <c r="X781" s="4">
        <v>642</v>
      </c>
      <c r="Y781" s="4">
        <f t="shared" ref="Y781" si="869">INDEX(InternalRates,MATCH($S781,InternalRates01,FALSE),2)</f>
        <v>278.98333333333335</v>
      </c>
      <c r="Z781" s="3" t="str">
        <f t="shared" si="818"/>
        <v>Nie</v>
      </c>
      <c r="AA781" s="3" t="str">
        <f t="shared" si="819"/>
        <v>ZoD</v>
      </c>
      <c r="AB781" s="4">
        <v>557</v>
      </c>
      <c r="AC781" s="4">
        <v>445.6</v>
      </c>
      <c r="AD781" s="3" t="s">
        <v>48</v>
      </c>
      <c r="AE781" s="6">
        <v>44987</v>
      </c>
      <c r="AF781" s="3" t="s">
        <v>59</v>
      </c>
      <c r="AG781" s="3" t="s">
        <v>49</v>
      </c>
      <c r="AH781" s="3">
        <f>YEAR(SrcDB[[#This Row],[Datum_zverejnenia]])</f>
        <v>2022</v>
      </c>
      <c r="AI781" s="3" cm="1">
        <f t="array" ref="AI781">COUNT(_xlfn.UNIQUE(_xlfn._xlws.FILTER(SrcDB[ID],SrcDB[Objednavatel_ICO]=$H781)))</f>
        <v>1</v>
      </c>
      <c r="AJ781" s="3" cm="1">
        <f t="array" ref="AJ781">COUNT(_xlfn.UNIQUE(_xlfn._xlws.FILTER(SrcDB[ID],SrcDB[Dodavatel_ICO]=$K781)))</f>
        <v>1</v>
      </c>
      <c r="AK781" s="3">
        <f t="shared" si="859"/>
        <v>0</v>
      </c>
      <c r="AL781" s="3">
        <f t="shared" si="860"/>
        <v>0</v>
      </c>
      <c r="AM781" s="17" t="str">
        <f>IF(SrcDB[[#This Row],[Pocet zmluv objednavatela]]&gt;3,SrcDB[[#This Row],[Objednavatel]],"Ostatné")</f>
        <v>Ostatné</v>
      </c>
      <c r="AN781" s="17" t="str">
        <f>IF(SrcDB[[#This Row],[Pocet zmluv dodavatela]]&gt;3,SrcDB[[#This Row],[Dodavatel]],"Ostatné")</f>
        <v>Ostatné</v>
      </c>
    </row>
    <row r="782" spans="1:40" x14ac:dyDescent="0.3">
      <c r="A782" s="2" t="s">
        <v>978</v>
      </c>
      <c r="B782" s="2">
        <v>6933138</v>
      </c>
      <c r="C782" s="3" t="str">
        <f t="shared" si="853"/>
        <v>Nejasné</v>
      </c>
      <c r="D782" s="3" t="str">
        <f t="shared" si="854"/>
        <v>Nejasné</v>
      </c>
      <c r="E782" s="3" t="s">
        <v>49</v>
      </c>
      <c r="F782" s="3" t="s">
        <v>48</v>
      </c>
      <c r="G782" s="2" t="str">
        <f t="shared" si="855"/>
        <v>Malé zmluvy</v>
      </c>
      <c r="H782" s="5">
        <v>36070513</v>
      </c>
      <c r="I782" s="2" t="s">
        <v>979</v>
      </c>
      <c r="J782" s="2" t="s">
        <v>980</v>
      </c>
      <c r="K782" s="5">
        <v>35781271</v>
      </c>
      <c r="L782" s="2" t="s">
        <v>981</v>
      </c>
      <c r="M782" s="2" t="s">
        <v>982</v>
      </c>
      <c r="N782" s="6">
        <v>44833.732488425929</v>
      </c>
      <c r="O782" s="4">
        <v>852348</v>
      </c>
      <c r="P782" s="2">
        <v>114499</v>
      </c>
      <c r="Q782" s="2" t="s">
        <v>983</v>
      </c>
      <c r="R782" s="2" t="s">
        <v>984</v>
      </c>
      <c r="S782" s="2" t="s">
        <v>79</v>
      </c>
      <c r="W782" s="4">
        <v>535</v>
      </c>
      <c r="X782" s="4">
        <v>642</v>
      </c>
      <c r="Y782" s="4">
        <f t="shared" ref="Y782" si="870">INDEX(InternalRates,MATCH($S782,InternalRates01,FALSE),2)</f>
        <v>278.98333333333335</v>
      </c>
      <c r="Z782" s="3" t="str">
        <f t="shared" si="818"/>
        <v>Nie</v>
      </c>
      <c r="AA782" s="3" t="str">
        <f t="shared" si="819"/>
        <v>ZoD</v>
      </c>
      <c r="AB782" s="4">
        <v>150</v>
      </c>
      <c r="AC782" s="4">
        <v>120</v>
      </c>
      <c r="AD782" s="3" t="s">
        <v>48</v>
      </c>
      <c r="AE782" s="6">
        <v>44987</v>
      </c>
      <c r="AF782" s="3" t="s">
        <v>59</v>
      </c>
      <c r="AG782" s="3" t="s">
        <v>49</v>
      </c>
      <c r="AH782" s="3">
        <f>YEAR(SrcDB[[#This Row],[Datum_zverejnenia]])</f>
        <v>2022</v>
      </c>
      <c r="AI782" s="3" cm="1">
        <f t="array" ref="AI782">COUNT(_xlfn.UNIQUE(_xlfn._xlws.FILTER(SrcDB[ID],SrcDB[Objednavatel_ICO]=$H782)))</f>
        <v>1</v>
      </c>
      <c r="AJ782" s="3" cm="1">
        <f t="array" ref="AJ782">COUNT(_xlfn.UNIQUE(_xlfn._xlws.FILTER(SrcDB[ID],SrcDB[Dodavatel_ICO]=$K782)))</f>
        <v>1</v>
      </c>
      <c r="AK782" s="3">
        <f t="shared" si="859"/>
        <v>0</v>
      </c>
      <c r="AL782" s="3">
        <f t="shared" si="860"/>
        <v>0</v>
      </c>
      <c r="AM782" s="17" t="str">
        <f>IF(SrcDB[[#This Row],[Pocet zmluv objednavatela]]&gt;3,SrcDB[[#This Row],[Objednavatel]],"Ostatné")</f>
        <v>Ostatné</v>
      </c>
      <c r="AN782" s="17" t="str">
        <f>IF(SrcDB[[#This Row],[Pocet zmluv dodavatela]]&gt;3,SrcDB[[#This Row],[Dodavatel]],"Ostatné")</f>
        <v>Ostatné</v>
      </c>
    </row>
    <row r="783" spans="1:40" x14ac:dyDescent="0.3">
      <c r="A783" s="2" t="s">
        <v>978</v>
      </c>
      <c r="B783" s="2">
        <v>6933138</v>
      </c>
      <c r="C783" s="3" t="str">
        <f t="shared" si="853"/>
        <v>Nejasné</v>
      </c>
      <c r="D783" s="3" t="str">
        <f t="shared" si="854"/>
        <v>Nejasné</v>
      </c>
      <c r="E783" s="3" t="s">
        <v>49</v>
      </c>
      <c r="F783" s="3" t="s">
        <v>48</v>
      </c>
      <c r="G783" s="2" t="str">
        <f t="shared" si="855"/>
        <v>Malé zmluvy</v>
      </c>
      <c r="H783" s="5">
        <v>36070513</v>
      </c>
      <c r="I783" s="2" t="s">
        <v>979</v>
      </c>
      <c r="J783" s="2" t="s">
        <v>980</v>
      </c>
      <c r="K783" s="5">
        <v>35781271</v>
      </c>
      <c r="L783" s="2" t="s">
        <v>981</v>
      </c>
      <c r="M783" s="2" t="s">
        <v>982</v>
      </c>
      <c r="N783" s="6">
        <v>44833.732488425929</v>
      </c>
      <c r="O783" s="4">
        <v>852348</v>
      </c>
      <c r="P783" s="2">
        <v>114499</v>
      </c>
      <c r="Q783" s="2" t="s">
        <v>983</v>
      </c>
      <c r="R783" s="2" t="s">
        <v>984</v>
      </c>
      <c r="S783" s="2" t="s">
        <v>98</v>
      </c>
      <c r="W783" s="4">
        <v>535</v>
      </c>
      <c r="X783" s="4">
        <v>642</v>
      </c>
      <c r="Y783" s="4">
        <f t="shared" ref="Y783" si="871">INDEX(InternalRates,MATCH($S783,InternalRates01,FALSE),2)</f>
        <v>278.98333333333335</v>
      </c>
      <c r="Z783" s="3" t="str">
        <f t="shared" si="818"/>
        <v>Nie</v>
      </c>
      <c r="AA783" s="3" t="str">
        <f t="shared" si="819"/>
        <v>ZoD</v>
      </c>
      <c r="AD783" s="3" t="s">
        <v>48</v>
      </c>
      <c r="AE783" s="6">
        <v>44987</v>
      </c>
      <c r="AF783" s="3" t="s">
        <v>59</v>
      </c>
      <c r="AG783" s="3" t="s">
        <v>49</v>
      </c>
      <c r="AH783" s="3">
        <f>YEAR(SrcDB[[#This Row],[Datum_zverejnenia]])</f>
        <v>2022</v>
      </c>
      <c r="AI783" s="3" cm="1">
        <f t="array" ref="AI783">COUNT(_xlfn.UNIQUE(_xlfn._xlws.FILTER(SrcDB[ID],SrcDB[Objednavatel_ICO]=$H783)))</f>
        <v>1</v>
      </c>
      <c r="AJ783" s="3" cm="1">
        <f t="array" ref="AJ783">COUNT(_xlfn.UNIQUE(_xlfn._xlws.FILTER(SrcDB[ID],SrcDB[Dodavatel_ICO]=$K783)))</f>
        <v>1</v>
      </c>
      <c r="AK783" s="3">
        <f t="shared" si="859"/>
        <v>0</v>
      </c>
      <c r="AL783" s="3">
        <f t="shared" si="860"/>
        <v>0</v>
      </c>
      <c r="AM783" s="17" t="str">
        <f>IF(SrcDB[[#This Row],[Pocet zmluv objednavatela]]&gt;3,SrcDB[[#This Row],[Objednavatel]],"Ostatné")</f>
        <v>Ostatné</v>
      </c>
      <c r="AN783" s="17" t="str">
        <f>IF(SrcDB[[#This Row],[Pocet zmluv dodavatela]]&gt;3,SrcDB[[#This Row],[Dodavatel]],"Ostatné")</f>
        <v>Ostatné</v>
      </c>
    </row>
    <row r="784" spans="1:40" x14ac:dyDescent="0.3">
      <c r="A784" s="2" t="s">
        <v>978</v>
      </c>
      <c r="B784" s="2">
        <v>6933138</v>
      </c>
      <c r="C784" s="3" t="str">
        <f t="shared" si="853"/>
        <v>Nejasné</v>
      </c>
      <c r="D784" s="3" t="str">
        <f t="shared" si="854"/>
        <v>Nejasné</v>
      </c>
      <c r="E784" s="3" t="s">
        <v>49</v>
      </c>
      <c r="F784" s="3" t="s">
        <v>48</v>
      </c>
      <c r="G784" s="2" t="str">
        <f t="shared" si="855"/>
        <v>Malé zmluvy</v>
      </c>
      <c r="H784" s="5">
        <v>36070513</v>
      </c>
      <c r="I784" s="2" t="s">
        <v>979</v>
      </c>
      <c r="J784" s="2" t="s">
        <v>980</v>
      </c>
      <c r="K784" s="5">
        <v>35781271</v>
      </c>
      <c r="L784" s="2" t="s">
        <v>981</v>
      </c>
      <c r="M784" s="2" t="s">
        <v>982</v>
      </c>
      <c r="N784" s="6">
        <v>44833.732488425929</v>
      </c>
      <c r="O784" s="4">
        <v>852348</v>
      </c>
      <c r="P784" s="2">
        <v>114499</v>
      </c>
      <c r="Q784" s="2" t="s">
        <v>983</v>
      </c>
      <c r="R784" s="2" t="s">
        <v>984</v>
      </c>
      <c r="S784" s="2" t="s">
        <v>56</v>
      </c>
      <c r="T784" s="2" t="s">
        <v>96</v>
      </c>
      <c r="U784" s="2" t="s">
        <v>97</v>
      </c>
      <c r="W784" s="4">
        <v>535</v>
      </c>
      <c r="X784" s="4">
        <v>642</v>
      </c>
      <c r="Y784" s="4">
        <f t="shared" ref="Y784" si="872">INDEX(InternalRates,MATCH($S784,InternalRates01,FALSE),2)</f>
        <v>278.98333333333335</v>
      </c>
      <c r="Z784" s="3" t="str">
        <f t="shared" si="818"/>
        <v>Nie</v>
      </c>
      <c r="AA784" s="3" t="str">
        <f t="shared" si="819"/>
        <v>ZoD</v>
      </c>
      <c r="AB784" s="4">
        <v>24</v>
      </c>
      <c r="AC784" s="4">
        <v>19.2</v>
      </c>
      <c r="AD784" s="3" t="s">
        <v>48</v>
      </c>
      <c r="AE784" s="6">
        <v>44987</v>
      </c>
      <c r="AF784" s="3" t="s">
        <v>59</v>
      </c>
      <c r="AG784" s="3" t="s">
        <v>49</v>
      </c>
      <c r="AH784" s="3">
        <f>YEAR(SrcDB[[#This Row],[Datum_zverejnenia]])</f>
        <v>2022</v>
      </c>
      <c r="AI784" s="3" cm="1">
        <f t="array" ref="AI784">COUNT(_xlfn.UNIQUE(_xlfn._xlws.FILTER(SrcDB[ID],SrcDB[Objednavatel_ICO]=$H784)))</f>
        <v>1</v>
      </c>
      <c r="AJ784" s="3" cm="1">
        <f t="array" ref="AJ784">COUNT(_xlfn.UNIQUE(_xlfn._xlws.FILTER(SrcDB[ID],SrcDB[Dodavatel_ICO]=$K784)))</f>
        <v>1</v>
      </c>
      <c r="AK784" s="3">
        <f t="shared" si="859"/>
        <v>0</v>
      </c>
      <c r="AL784" s="3">
        <f t="shared" si="860"/>
        <v>0</v>
      </c>
      <c r="AM784" s="17" t="str">
        <f>IF(SrcDB[[#This Row],[Pocet zmluv objednavatela]]&gt;3,SrcDB[[#This Row],[Objednavatel]],"Ostatné")</f>
        <v>Ostatné</v>
      </c>
      <c r="AN784" s="17" t="str">
        <f>IF(SrcDB[[#This Row],[Pocet zmluv dodavatela]]&gt;3,SrcDB[[#This Row],[Dodavatel]],"Ostatné")</f>
        <v>Ostatné</v>
      </c>
    </row>
    <row r="785" spans="1:40" x14ac:dyDescent="0.3">
      <c r="A785" s="2" t="s">
        <v>985</v>
      </c>
      <c r="B785" s="2">
        <v>6934790</v>
      </c>
      <c r="C785" s="3" t="str">
        <f t="shared" si="853"/>
        <v>Nie</v>
      </c>
      <c r="D785" s="3" t="str">
        <f t="shared" si="854"/>
        <v>Áno</v>
      </c>
      <c r="E785" s="3" t="s">
        <v>48</v>
      </c>
      <c r="F785" s="3" t="s">
        <v>49</v>
      </c>
      <c r="G785" s="2" t="str">
        <f t="shared" si="855"/>
        <v>Stredné zmluvy</v>
      </c>
      <c r="H785" s="5" t="s">
        <v>986</v>
      </c>
      <c r="I785" s="2" t="s">
        <v>987</v>
      </c>
      <c r="J785" s="2" t="s">
        <v>988</v>
      </c>
      <c r="K785" s="5">
        <v>35955678</v>
      </c>
      <c r="L785" s="2" t="s">
        <v>179</v>
      </c>
      <c r="M785" s="2" t="s">
        <v>180</v>
      </c>
      <c r="N785" s="6">
        <v>44834.371458333335</v>
      </c>
      <c r="O785" s="4">
        <v>1624176</v>
      </c>
      <c r="P785" s="2">
        <v>114692</v>
      </c>
      <c r="Q785" s="2" t="s">
        <v>989</v>
      </c>
      <c r="R785" s="2" t="s">
        <v>990</v>
      </c>
      <c r="S785" s="2" t="s">
        <v>183</v>
      </c>
      <c r="T785" s="2" t="s">
        <v>183</v>
      </c>
      <c r="W785" s="4">
        <v>775.04587155920001</v>
      </c>
      <c r="X785" s="4">
        <v>930.05504587103997</v>
      </c>
      <c r="Y785" s="4">
        <f t="shared" ref="Y785" si="873">INDEX(InternalRates,MATCH($S785,InternalRates01,FALSE),2)</f>
        <v>278.98333333333335</v>
      </c>
      <c r="Z785" s="3" t="str">
        <f t="shared" si="818"/>
        <v>Nie</v>
      </c>
      <c r="AA785" s="3" t="str">
        <f t="shared" si="819"/>
        <v>SLA</v>
      </c>
      <c r="AB785" s="4">
        <v>6976</v>
      </c>
      <c r="AC785" s="4">
        <v>1744</v>
      </c>
      <c r="AD785" s="3" t="s">
        <v>48</v>
      </c>
      <c r="AE785" s="6">
        <v>44987</v>
      </c>
      <c r="AF785" s="3" t="s">
        <v>59</v>
      </c>
      <c r="AG785" s="3" t="s">
        <v>48</v>
      </c>
      <c r="AH785" s="3">
        <f>YEAR(SrcDB[[#This Row],[Datum_zverejnenia]])</f>
        <v>2022</v>
      </c>
      <c r="AI785" s="3" cm="1">
        <f t="array" ref="AI785">COUNT(_xlfn.UNIQUE(_xlfn._xlws.FILTER(SrcDB[ID],SrcDB[Objednavatel_ICO]=$H785)))</f>
        <v>1</v>
      </c>
      <c r="AJ785" s="3" cm="1">
        <f t="array" ref="AJ785">COUNT(_xlfn.UNIQUE(_xlfn._xlws.FILTER(SrcDB[ID],SrcDB[Dodavatel_ICO]=$K785)))</f>
        <v>14</v>
      </c>
      <c r="AK785" s="3">
        <f t="shared" si="859"/>
        <v>1</v>
      </c>
      <c r="AL785" s="3">
        <f t="shared" si="860"/>
        <v>1</v>
      </c>
      <c r="AM785" s="17" t="str">
        <f>IF(SrcDB[[#This Row],[Pocet zmluv objednavatela]]&gt;3,SrcDB[[#This Row],[Objednavatel]],"Ostatné")</f>
        <v>Ostatné</v>
      </c>
      <c r="AN785" s="17" t="str">
        <f>IF(SrcDB[[#This Row],[Pocet zmluv dodavatela]]&gt;3,SrcDB[[#This Row],[Dodavatel]],"Ostatné")</f>
        <v>SOITRON, s.r.o.</v>
      </c>
    </row>
    <row r="786" spans="1:40" x14ac:dyDescent="0.3">
      <c r="A786" s="2" t="s">
        <v>704</v>
      </c>
      <c r="B786" s="2">
        <v>7038615</v>
      </c>
      <c r="C786" s="3" t="str">
        <f t="shared" si="853"/>
        <v>Áno</v>
      </c>
      <c r="D786" s="3" t="str">
        <f t="shared" si="854"/>
        <v>Nie</v>
      </c>
      <c r="E786" s="3" t="s">
        <v>49</v>
      </c>
      <c r="F786" s="3" t="s">
        <v>48</v>
      </c>
      <c r="G786" s="2" t="str">
        <f t="shared" si="855"/>
        <v>Malé zmluvy</v>
      </c>
      <c r="H786" s="5">
        <v>42355818</v>
      </c>
      <c r="I786" s="2" t="s">
        <v>991</v>
      </c>
      <c r="J786" s="2" t="s">
        <v>992</v>
      </c>
      <c r="K786" s="5">
        <v>36785512</v>
      </c>
      <c r="L786" s="2" t="s">
        <v>700</v>
      </c>
      <c r="M786" s="2" t="s">
        <v>53</v>
      </c>
      <c r="N786" s="6">
        <v>44859.597916666666</v>
      </c>
      <c r="O786" s="4">
        <v>114840</v>
      </c>
      <c r="P786" s="2">
        <v>114573</v>
      </c>
      <c r="Q786" s="2" t="s">
        <v>993</v>
      </c>
      <c r="R786" s="2" t="s">
        <v>994</v>
      </c>
      <c r="S786" s="2" t="s">
        <v>73</v>
      </c>
      <c r="W786" s="4">
        <v>700</v>
      </c>
      <c r="X786" s="4">
        <v>840</v>
      </c>
      <c r="Y786" s="4">
        <f t="shared" ref="Y786" si="874">INDEX(InternalRates,MATCH($S786,InternalRates01,FALSE),2)</f>
        <v>278.98333333333335</v>
      </c>
      <c r="Z786" s="3" t="str">
        <f t="shared" si="818"/>
        <v>Nie</v>
      </c>
      <c r="AA786" s="3" t="str">
        <f t="shared" si="819"/>
        <v>ZoD</v>
      </c>
      <c r="AB786" s="4">
        <v>30</v>
      </c>
      <c r="AC786" s="4">
        <v>139.66836733928571</v>
      </c>
      <c r="AD786" s="3" t="s">
        <v>48</v>
      </c>
      <c r="AE786" s="6">
        <v>44991</v>
      </c>
      <c r="AF786" s="3" t="s">
        <v>59</v>
      </c>
      <c r="AG786" s="3" t="s">
        <v>60</v>
      </c>
      <c r="AH786" s="3">
        <f>YEAR(SrcDB[[#This Row],[Datum_zverejnenia]])</f>
        <v>2022</v>
      </c>
      <c r="AI786" s="3" cm="1">
        <f t="array" ref="AI786">COUNT(_xlfn.UNIQUE(_xlfn._xlws.FILTER(SrcDB[ID],SrcDB[Objednavatel_ICO]=$H786)))</f>
        <v>2</v>
      </c>
      <c r="AJ786" s="3" cm="1">
        <f t="array" ref="AJ786">COUNT(_xlfn.UNIQUE(_xlfn._xlws.FILTER(SrcDB[ID],SrcDB[Dodavatel_ICO]=$K786)))</f>
        <v>7</v>
      </c>
      <c r="AK786" s="3">
        <f t="shared" si="859"/>
        <v>1</v>
      </c>
      <c r="AL786" s="3">
        <f t="shared" si="860"/>
        <v>1</v>
      </c>
      <c r="AM786" s="17" t="str">
        <f>IF(SrcDB[[#This Row],[Pocet zmluv objednavatela]]&gt;3,SrcDB[[#This Row],[Objednavatel]],"Ostatné")</f>
        <v>Ostatné</v>
      </c>
      <c r="AN786" s="17" t="str">
        <f>IF(SrcDB[[#This Row],[Pocet zmluv dodavatela]]&gt;3,SrcDB[[#This Row],[Dodavatel]],"Ostatné")</f>
        <v>SOFTIP, a. s.</v>
      </c>
    </row>
    <row r="787" spans="1:40" x14ac:dyDescent="0.3">
      <c r="A787" s="2" t="s">
        <v>704</v>
      </c>
      <c r="B787" s="2">
        <v>7038615</v>
      </c>
      <c r="C787" s="3" t="str">
        <f t="shared" si="853"/>
        <v>Áno</v>
      </c>
      <c r="D787" s="3" t="str">
        <f t="shared" si="854"/>
        <v>Nie</v>
      </c>
      <c r="E787" s="3" t="s">
        <v>49</v>
      </c>
      <c r="F787" s="3" t="s">
        <v>48</v>
      </c>
      <c r="G787" s="2" t="str">
        <f t="shared" si="855"/>
        <v>Malé zmluvy</v>
      </c>
      <c r="H787" s="5">
        <v>42355818</v>
      </c>
      <c r="I787" s="2" t="s">
        <v>991</v>
      </c>
      <c r="J787" s="2" t="s">
        <v>992</v>
      </c>
      <c r="K787" s="5">
        <v>36785512</v>
      </c>
      <c r="L787" s="2" t="s">
        <v>700</v>
      </c>
      <c r="M787" s="2" t="s">
        <v>53</v>
      </c>
      <c r="N787" s="6">
        <v>44859.597916666666</v>
      </c>
      <c r="O787" s="4">
        <v>114840</v>
      </c>
      <c r="P787" s="2">
        <v>114573</v>
      </c>
      <c r="Q787" s="2" t="s">
        <v>993</v>
      </c>
      <c r="R787" s="2" t="s">
        <v>994</v>
      </c>
      <c r="S787" s="2" t="s">
        <v>77</v>
      </c>
      <c r="W787" s="4">
        <v>600</v>
      </c>
      <c r="X787" s="4">
        <v>720</v>
      </c>
      <c r="Y787" s="4">
        <f t="shared" ref="Y787" si="875">INDEX(InternalRates,MATCH($S787,InternalRates01,FALSE),2)</f>
        <v>278.98333333333335</v>
      </c>
      <c r="Z787" s="3" t="str">
        <f t="shared" si="818"/>
        <v>Nie</v>
      </c>
      <c r="AA787" s="3" t="str">
        <f t="shared" si="819"/>
        <v>ZoD</v>
      </c>
      <c r="AB787" s="4">
        <v>115</v>
      </c>
      <c r="AC787" s="4">
        <v>535.39540813392853</v>
      </c>
      <c r="AD787" s="3" t="s">
        <v>48</v>
      </c>
      <c r="AE787" s="6">
        <v>44991</v>
      </c>
      <c r="AF787" s="3" t="s">
        <v>59</v>
      </c>
      <c r="AG787" s="3" t="s">
        <v>60</v>
      </c>
      <c r="AH787" s="3">
        <f>YEAR(SrcDB[[#This Row],[Datum_zverejnenia]])</f>
        <v>2022</v>
      </c>
      <c r="AI787" s="3" cm="1">
        <f t="array" ref="AI787">COUNT(_xlfn.UNIQUE(_xlfn._xlws.FILTER(SrcDB[ID],SrcDB[Objednavatel_ICO]=$H787)))</f>
        <v>2</v>
      </c>
      <c r="AJ787" s="3" cm="1">
        <f t="array" ref="AJ787">COUNT(_xlfn.UNIQUE(_xlfn._xlws.FILTER(SrcDB[ID],SrcDB[Dodavatel_ICO]=$K787)))</f>
        <v>7</v>
      </c>
      <c r="AK787" s="3">
        <f t="shared" si="859"/>
        <v>0</v>
      </c>
      <c r="AL787" s="3">
        <f t="shared" si="860"/>
        <v>0</v>
      </c>
      <c r="AM787" s="17" t="str">
        <f>IF(SrcDB[[#This Row],[Pocet zmluv objednavatela]]&gt;3,SrcDB[[#This Row],[Objednavatel]],"Ostatné")</f>
        <v>Ostatné</v>
      </c>
      <c r="AN787" s="17" t="str">
        <f>IF(SrcDB[[#This Row],[Pocet zmluv dodavatela]]&gt;3,SrcDB[[#This Row],[Dodavatel]],"Ostatné")</f>
        <v>SOFTIP, a. s.</v>
      </c>
    </row>
    <row r="788" spans="1:40" x14ac:dyDescent="0.3">
      <c r="A788" s="2" t="s">
        <v>704</v>
      </c>
      <c r="B788" s="2">
        <v>7038615</v>
      </c>
      <c r="C788" s="3" t="str">
        <f t="shared" si="853"/>
        <v>Áno</v>
      </c>
      <c r="D788" s="3" t="str">
        <f t="shared" si="854"/>
        <v>Nie</v>
      </c>
      <c r="E788" s="3" t="s">
        <v>49</v>
      </c>
      <c r="F788" s="3" t="s">
        <v>48</v>
      </c>
      <c r="G788" s="2" t="str">
        <f t="shared" si="855"/>
        <v>Malé zmluvy</v>
      </c>
      <c r="H788" s="5">
        <v>42355818</v>
      </c>
      <c r="I788" s="2" t="s">
        <v>991</v>
      </c>
      <c r="J788" s="2" t="s">
        <v>992</v>
      </c>
      <c r="K788" s="5">
        <v>36785512</v>
      </c>
      <c r="L788" s="2" t="s">
        <v>700</v>
      </c>
      <c r="M788" s="2" t="s">
        <v>53</v>
      </c>
      <c r="N788" s="6">
        <v>44859.597916666666</v>
      </c>
      <c r="O788" s="4">
        <v>114840</v>
      </c>
      <c r="P788" s="2">
        <v>114573</v>
      </c>
      <c r="Q788" s="2" t="s">
        <v>993</v>
      </c>
      <c r="R788" s="2" t="s">
        <v>994</v>
      </c>
      <c r="S788" s="2" t="s">
        <v>56</v>
      </c>
      <c r="T788" s="2" t="s">
        <v>448</v>
      </c>
      <c r="U788" s="2" t="s">
        <v>449</v>
      </c>
      <c r="W788" s="4">
        <v>570</v>
      </c>
      <c r="X788" s="4">
        <v>684</v>
      </c>
      <c r="Y788" s="4">
        <f t="shared" ref="Y788" si="876">INDEX(InternalRates,MATCH($S788,InternalRates01,FALSE),2)</f>
        <v>278.98333333333335</v>
      </c>
      <c r="Z788" s="3" t="str">
        <f t="shared" si="818"/>
        <v>Nie</v>
      </c>
      <c r="AA788" s="3" t="str">
        <f t="shared" si="819"/>
        <v>ZoD</v>
      </c>
      <c r="AB788" s="4">
        <v>10</v>
      </c>
      <c r="AC788" s="4">
        <v>46.556122446428574</v>
      </c>
      <c r="AD788" s="3" t="s">
        <v>48</v>
      </c>
      <c r="AE788" s="6">
        <v>44991</v>
      </c>
      <c r="AF788" s="3" t="s">
        <v>59</v>
      </c>
      <c r="AG788" s="3" t="s">
        <v>60</v>
      </c>
      <c r="AH788" s="3">
        <f>YEAR(SrcDB[[#This Row],[Datum_zverejnenia]])</f>
        <v>2022</v>
      </c>
      <c r="AI788" s="3" cm="1">
        <f t="array" ref="AI788">COUNT(_xlfn.UNIQUE(_xlfn._xlws.FILTER(SrcDB[ID],SrcDB[Objednavatel_ICO]=$H788)))</f>
        <v>2</v>
      </c>
      <c r="AJ788" s="3" cm="1">
        <f t="array" ref="AJ788">COUNT(_xlfn.UNIQUE(_xlfn._xlws.FILTER(SrcDB[ID],SrcDB[Dodavatel_ICO]=$K788)))</f>
        <v>7</v>
      </c>
      <c r="AK788" s="3">
        <f t="shared" si="859"/>
        <v>0</v>
      </c>
      <c r="AL788" s="3">
        <f t="shared" si="860"/>
        <v>0</v>
      </c>
      <c r="AM788" s="17" t="str">
        <f>IF(SrcDB[[#This Row],[Pocet zmluv objednavatela]]&gt;3,SrcDB[[#This Row],[Objednavatel]],"Ostatné")</f>
        <v>Ostatné</v>
      </c>
      <c r="AN788" s="17" t="str">
        <f>IF(SrcDB[[#This Row],[Pocet zmluv dodavatela]]&gt;3,SrcDB[[#This Row],[Dodavatel]],"Ostatné")</f>
        <v>SOFTIP, a. s.</v>
      </c>
    </row>
    <row r="789" spans="1:40" x14ac:dyDescent="0.3">
      <c r="A789" s="2" t="s">
        <v>704</v>
      </c>
      <c r="B789" s="2">
        <v>7038795</v>
      </c>
      <c r="C789" s="3" t="str">
        <f t="shared" si="853"/>
        <v>Áno</v>
      </c>
      <c r="D789" s="3" t="str">
        <f t="shared" si="854"/>
        <v>Nie</v>
      </c>
      <c r="E789" s="3" t="s">
        <v>49</v>
      </c>
      <c r="F789" s="3" t="s">
        <v>48</v>
      </c>
      <c r="G789" s="2" t="str">
        <f t="shared" si="855"/>
        <v>Malé zmluvy</v>
      </c>
      <c r="H789" s="5">
        <v>42355818</v>
      </c>
      <c r="I789" s="2" t="s">
        <v>991</v>
      </c>
      <c r="J789" s="2" t="s">
        <v>992</v>
      </c>
      <c r="K789" s="5">
        <v>30775094</v>
      </c>
      <c r="L789" s="2" t="s">
        <v>909</v>
      </c>
      <c r="M789" s="2" t="s">
        <v>910</v>
      </c>
      <c r="N789" s="6">
        <v>44859.612071759257</v>
      </c>
      <c r="O789" s="4">
        <v>100608</v>
      </c>
      <c r="P789" s="2">
        <v>114573</v>
      </c>
      <c r="Q789" s="2" t="s">
        <v>995</v>
      </c>
      <c r="R789" s="2" t="s">
        <v>996</v>
      </c>
      <c r="S789" s="2" t="s">
        <v>73</v>
      </c>
      <c r="W789" s="4">
        <v>560</v>
      </c>
      <c r="X789" s="4">
        <v>672</v>
      </c>
      <c r="Y789" s="4">
        <f t="shared" ref="Y789" si="877">INDEX(InternalRates,MATCH($S789,InternalRates01,FALSE),2)</f>
        <v>278.98333333333335</v>
      </c>
      <c r="Z789" s="3" t="str">
        <f t="shared" si="818"/>
        <v>Nie</v>
      </c>
      <c r="AA789" s="3" t="str">
        <f t="shared" si="819"/>
        <v>ZoD</v>
      </c>
      <c r="AB789" s="4">
        <v>30</v>
      </c>
      <c r="AC789" s="4">
        <v>139.66836733928571</v>
      </c>
      <c r="AD789" s="3" t="s">
        <v>48</v>
      </c>
      <c r="AE789" s="6">
        <v>44991</v>
      </c>
      <c r="AF789" s="3" t="s">
        <v>59</v>
      </c>
      <c r="AG789" s="3" t="s">
        <v>60</v>
      </c>
      <c r="AH789" s="3">
        <f>YEAR(SrcDB[[#This Row],[Datum_zverejnenia]])</f>
        <v>2022</v>
      </c>
      <c r="AI789" s="3" cm="1">
        <f t="array" ref="AI789">COUNT(_xlfn.UNIQUE(_xlfn._xlws.FILTER(SrcDB[ID],SrcDB[Objednavatel_ICO]=$H789)))</f>
        <v>2</v>
      </c>
      <c r="AJ789" s="3" cm="1">
        <f t="array" ref="AJ789">COUNT(_xlfn.UNIQUE(_xlfn._xlws.FILTER(SrcDB[ID],SrcDB[Dodavatel_ICO]=$K789)))</f>
        <v>2</v>
      </c>
      <c r="AK789" s="3">
        <f t="shared" si="859"/>
        <v>1</v>
      </c>
      <c r="AL789" s="3">
        <f t="shared" si="860"/>
        <v>1</v>
      </c>
      <c r="AM789" s="17" t="str">
        <f>IF(SrcDB[[#This Row],[Pocet zmluv objednavatela]]&gt;3,SrcDB[[#This Row],[Objednavatel]],"Ostatné")</f>
        <v>Ostatné</v>
      </c>
      <c r="AN789" s="17" t="str">
        <f>IF(SrcDB[[#This Row],[Pocet zmluv dodavatela]]&gt;3,SrcDB[[#This Row],[Dodavatel]],"Ostatné")</f>
        <v>Ostatné</v>
      </c>
    </row>
    <row r="790" spans="1:40" x14ac:dyDescent="0.3">
      <c r="A790" s="2" t="s">
        <v>704</v>
      </c>
      <c r="B790" s="2">
        <v>7038795</v>
      </c>
      <c r="C790" s="3" t="str">
        <f t="shared" si="853"/>
        <v>Áno</v>
      </c>
      <c r="D790" s="3" t="str">
        <f t="shared" si="854"/>
        <v>Nie</v>
      </c>
      <c r="E790" s="3" t="s">
        <v>49</v>
      </c>
      <c r="F790" s="3" t="s">
        <v>48</v>
      </c>
      <c r="G790" s="2" t="str">
        <f t="shared" si="855"/>
        <v>Malé zmluvy</v>
      </c>
      <c r="H790" s="5">
        <v>42355818</v>
      </c>
      <c r="I790" s="2" t="s">
        <v>991</v>
      </c>
      <c r="J790" s="2" t="s">
        <v>992</v>
      </c>
      <c r="K790" s="5">
        <v>30775094</v>
      </c>
      <c r="L790" s="2" t="s">
        <v>909</v>
      </c>
      <c r="M790" s="2" t="s">
        <v>910</v>
      </c>
      <c r="N790" s="6">
        <v>44859.612071759257</v>
      </c>
      <c r="O790" s="4">
        <v>100608</v>
      </c>
      <c r="P790" s="2">
        <v>114573</v>
      </c>
      <c r="Q790" s="2" t="s">
        <v>995</v>
      </c>
      <c r="R790" s="2" t="s">
        <v>996</v>
      </c>
      <c r="S790" s="2" t="s">
        <v>77</v>
      </c>
      <c r="W790" s="4">
        <v>560</v>
      </c>
      <c r="X790" s="4">
        <v>672</v>
      </c>
      <c r="Y790" s="4">
        <f t="shared" ref="Y790" si="878">INDEX(InternalRates,MATCH($S790,InternalRates01,FALSE),2)</f>
        <v>278.98333333333335</v>
      </c>
      <c r="Z790" s="3" t="str">
        <f t="shared" si="818"/>
        <v>Nie</v>
      </c>
      <c r="AA790" s="3" t="str">
        <f t="shared" si="819"/>
        <v>ZoD</v>
      </c>
      <c r="AB790" s="4">
        <v>80</v>
      </c>
      <c r="AC790" s="4">
        <v>372.44897957142859</v>
      </c>
      <c r="AD790" s="3" t="s">
        <v>48</v>
      </c>
      <c r="AE790" s="6">
        <v>44991</v>
      </c>
      <c r="AF790" s="3" t="s">
        <v>59</v>
      </c>
      <c r="AG790" s="3" t="s">
        <v>60</v>
      </c>
      <c r="AH790" s="3">
        <f>YEAR(SrcDB[[#This Row],[Datum_zverejnenia]])</f>
        <v>2022</v>
      </c>
      <c r="AI790" s="3" cm="1">
        <f t="array" ref="AI790">COUNT(_xlfn.UNIQUE(_xlfn._xlws.FILTER(SrcDB[ID],SrcDB[Objednavatel_ICO]=$H790)))</f>
        <v>2</v>
      </c>
      <c r="AJ790" s="3" cm="1">
        <f t="array" ref="AJ790">COUNT(_xlfn.UNIQUE(_xlfn._xlws.FILTER(SrcDB[ID],SrcDB[Dodavatel_ICO]=$K790)))</f>
        <v>2</v>
      </c>
      <c r="AK790" s="3">
        <f t="shared" si="859"/>
        <v>0</v>
      </c>
      <c r="AL790" s="3">
        <f t="shared" si="860"/>
        <v>0</v>
      </c>
      <c r="AM790" s="17" t="str">
        <f>IF(SrcDB[[#This Row],[Pocet zmluv objednavatela]]&gt;3,SrcDB[[#This Row],[Objednavatel]],"Ostatné")</f>
        <v>Ostatné</v>
      </c>
      <c r="AN790" s="17" t="str">
        <f>IF(SrcDB[[#This Row],[Pocet zmluv dodavatela]]&gt;3,SrcDB[[#This Row],[Dodavatel]],"Ostatné")</f>
        <v>Ostatné</v>
      </c>
    </row>
    <row r="791" spans="1:40" x14ac:dyDescent="0.3">
      <c r="A791" s="2" t="s">
        <v>704</v>
      </c>
      <c r="B791" s="2">
        <v>7038795</v>
      </c>
      <c r="C791" s="3" t="str">
        <f t="shared" si="853"/>
        <v>Áno</v>
      </c>
      <c r="D791" s="3" t="str">
        <f t="shared" si="854"/>
        <v>Nie</v>
      </c>
      <c r="E791" s="3" t="s">
        <v>49</v>
      </c>
      <c r="F791" s="3" t="s">
        <v>48</v>
      </c>
      <c r="G791" s="2" t="str">
        <f t="shared" si="855"/>
        <v>Malé zmluvy</v>
      </c>
      <c r="H791" s="5">
        <v>42355818</v>
      </c>
      <c r="I791" s="2" t="s">
        <v>991</v>
      </c>
      <c r="J791" s="2" t="s">
        <v>992</v>
      </c>
      <c r="K791" s="5">
        <v>30775094</v>
      </c>
      <c r="L791" s="2" t="s">
        <v>909</v>
      </c>
      <c r="M791" s="2" t="s">
        <v>910</v>
      </c>
      <c r="N791" s="6">
        <v>44859.612071759257</v>
      </c>
      <c r="O791" s="4">
        <v>100608</v>
      </c>
      <c r="P791" s="2">
        <v>114573</v>
      </c>
      <c r="Q791" s="2" t="s">
        <v>995</v>
      </c>
      <c r="R791" s="2" t="s">
        <v>996</v>
      </c>
      <c r="S791" s="2" t="s">
        <v>56</v>
      </c>
      <c r="T791" s="2" t="s">
        <v>997</v>
      </c>
      <c r="U791" s="2" t="s">
        <v>58</v>
      </c>
      <c r="W791" s="4">
        <v>560</v>
      </c>
      <c r="X791" s="4">
        <v>672</v>
      </c>
      <c r="Y791" s="4">
        <f t="shared" ref="Y791" si="879">INDEX(InternalRates,MATCH($S791,InternalRates01,FALSE),2)</f>
        <v>278.98333333333335</v>
      </c>
      <c r="Z791" s="3" t="str">
        <f t="shared" si="818"/>
        <v>Nie</v>
      </c>
      <c r="AA791" s="3" t="str">
        <f t="shared" si="819"/>
        <v>ZoD</v>
      </c>
      <c r="AB791" s="4">
        <v>35</v>
      </c>
      <c r="AC791" s="4">
        <v>162.94642856249999</v>
      </c>
      <c r="AD791" s="3" t="s">
        <v>48</v>
      </c>
      <c r="AE791" s="6">
        <v>44991</v>
      </c>
      <c r="AF791" s="3" t="s">
        <v>59</v>
      </c>
      <c r="AG791" s="3" t="s">
        <v>60</v>
      </c>
      <c r="AH791" s="3">
        <f>YEAR(SrcDB[[#This Row],[Datum_zverejnenia]])</f>
        <v>2022</v>
      </c>
      <c r="AI791" s="3" cm="1">
        <f t="array" ref="AI791">COUNT(_xlfn.UNIQUE(_xlfn._xlws.FILTER(SrcDB[ID],SrcDB[Objednavatel_ICO]=$H791)))</f>
        <v>2</v>
      </c>
      <c r="AJ791" s="3" cm="1">
        <f t="array" ref="AJ791">COUNT(_xlfn.UNIQUE(_xlfn._xlws.FILTER(SrcDB[ID],SrcDB[Dodavatel_ICO]=$K791)))</f>
        <v>2</v>
      </c>
      <c r="AK791" s="3">
        <f t="shared" si="859"/>
        <v>0</v>
      </c>
      <c r="AL791" s="3">
        <f t="shared" si="860"/>
        <v>0</v>
      </c>
      <c r="AM791" s="17" t="str">
        <f>IF(SrcDB[[#This Row],[Pocet zmluv objednavatela]]&gt;3,SrcDB[[#This Row],[Objednavatel]],"Ostatné")</f>
        <v>Ostatné</v>
      </c>
      <c r="AN791" s="17" t="str">
        <f>IF(SrcDB[[#This Row],[Pocet zmluv dodavatela]]&gt;3,SrcDB[[#This Row],[Dodavatel]],"Ostatné")</f>
        <v>Ostatné</v>
      </c>
    </row>
    <row r="792" spans="1:40" x14ac:dyDescent="0.3">
      <c r="A792" s="2" t="s">
        <v>704</v>
      </c>
      <c r="B792" s="2">
        <v>7038795</v>
      </c>
      <c r="C792" s="3" t="str">
        <f t="shared" si="853"/>
        <v>Áno</v>
      </c>
      <c r="D792" s="3" t="str">
        <f t="shared" si="854"/>
        <v>Nie</v>
      </c>
      <c r="E792" s="3" t="s">
        <v>49</v>
      </c>
      <c r="F792" s="3" t="s">
        <v>48</v>
      </c>
      <c r="G792" s="2" t="str">
        <f t="shared" si="855"/>
        <v>Malé zmluvy</v>
      </c>
      <c r="H792" s="5">
        <v>42355818</v>
      </c>
      <c r="I792" s="2" t="s">
        <v>991</v>
      </c>
      <c r="J792" s="2" t="s">
        <v>992</v>
      </c>
      <c r="K792" s="5">
        <v>30775094</v>
      </c>
      <c r="L792" s="2" t="s">
        <v>909</v>
      </c>
      <c r="M792" s="2" t="s">
        <v>910</v>
      </c>
      <c r="N792" s="6">
        <v>44859.612071759257</v>
      </c>
      <c r="O792" s="4">
        <v>100608</v>
      </c>
      <c r="P792" s="2">
        <v>114573</v>
      </c>
      <c r="Q792" s="2" t="s">
        <v>995</v>
      </c>
      <c r="R792" s="2" t="s">
        <v>996</v>
      </c>
      <c r="S792" s="2" t="s">
        <v>56</v>
      </c>
      <c r="T792" s="2" t="s">
        <v>448</v>
      </c>
      <c r="U792" s="2" t="s">
        <v>449</v>
      </c>
      <c r="W792" s="4">
        <v>560</v>
      </c>
      <c r="X792" s="4">
        <v>672</v>
      </c>
      <c r="Y792" s="4">
        <f t="shared" ref="Y792" si="880">INDEX(InternalRates,MATCH($S792,InternalRates01,FALSE),2)</f>
        <v>278.98333333333335</v>
      </c>
      <c r="Z792" s="3" t="str">
        <f t="shared" si="818"/>
        <v>Nie</v>
      </c>
      <c r="AA792" s="3" t="str">
        <f t="shared" si="819"/>
        <v>ZoD</v>
      </c>
      <c r="AB792" s="4">
        <v>4</v>
      </c>
      <c r="AC792" s="4">
        <v>18.622448978571427</v>
      </c>
      <c r="AD792" s="3" t="s">
        <v>48</v>
      </c>
      <c r="AE792" s="6">
        <v>44991</v>
      </c>
      <c r="AF792" s="3" t="s">
        <v>59</v>
      </c>
      <c r="AG792" s="3" t="s">
        <v>60</v>
      </c>
      <c r="AH792" s="3">
        <f>YEAR(SrcDB[[#This Row],[Datum_zverejnenia]])</f>
        <v>2022</v>
      </c>
      <c r="AI792" s="3" cm="1">
        <f t="array" ref="AI792">COUNT(_xlfn.UNIQUE(_xlfn._xlws.FILTER(SrcDB[ID],SrcDB[Objednavatel_ICO]=$H792)))</f>
        <v>2</v>
      </c>
      <c r="AJ792" s="3" cm="1">
        <f t="array" ref="AJ792">COUNT(_xlfn.UNIQUE(_xlfn._xlws.FILTER(SrcDB[ID],SrcDB[Dodavatel_ICO]=$K792)))</f>
        <v>2</v>
      </c>
      <c r="AK792" s="3">
        <f t="shared" si="859"/>
        <v>0</v>
      </c>
      <c r="AL792" s="3">
        <f t="shared" si="860"/>
        <v>0</v>
      </c>
      <c r="AM792" s="17" t="str">
        <f>IF(SrcDB[[#This Row],[Pocet zmluv objednavatela]]&gt;3,SrcDB[[#This Row],[Objednavatel]],"Ostatné")</f>
        <v>Ostatné</v>
      </c>
      <c r="AN792" s="17" t="str">
        <f>IF(SrcDB[[#This Row],[Pocet zmluv dodavatela]]&gt;3,SrcDB[[#This Row],[Dodavatel]],"Ostatné")</f>
        <v>Ostatné</v>
      </c>
    </row>
    <row r="793" spans="1:40" x14ac:dyDescent="0.3">
      <c r="A793" s="2" t="s">
        <v>704</v>
      </c>
      <c r="B793" s="2">
        <v>7038795</v>
      </c>
      <c r="C793" s="3" t="str">
        <f t="shared" si="853"/>
        <v>Áno</v>
      </c>
      <c r="D793" s="3" t="str">
        <f t="shared" si="854"/>
        <v>Nie</v>
      </c>
      <c r="E793" s="3" t="s">
        <v>49</v>
      </c>
      <c r="F793" s="3" t="s">
        <v>48</v>
      </c>
      <c r="G793" s="2" t="str">
        <f t="shared" si="855"/>
        <v>Malé zmluvy</v>
      </c>
      <c r="H793" s="5">
        <v>42355818</v>
      </c>
      <c r="I793" s="2" t="s">
        <v>991</v>
      </c>
      <c r="J793" s="2" t="s">
        <v>992</v>
      </c>
      <c r="K793" s="5">
        <v>30775094</v>
      </c>
      <c r="L793" s="2" t="s">
        <v>909</v>
      </c>
      <c r="M793" s="2" t="s">
        <v>910</v>
      </c>
      <c r="N793" s="6">
        <v>44859.612071759257</v>
      </c>
      <c r="O793" s="4">
        <v>100608</v>
      </c>
      <c r="P793" s="2">
        <v>114573</v>
      </c>
      <c r="Q793" s="2" t="s">
        <v>995</v>
      </c>
      <c r="R793" s="2" t="s">
        <v>996</v>
      </c>
      <c r="S793" s="2" t="s">
        <v>98</v>
      </c>
      <c r="W793" s="4">
        <v>400</v>
      </c>
      <c r="X793" s="4">
        <v>480</v>
      </c>
      <c r="Y793" s="4">
        <f t="shared" ref="Y793" si="881">INDEX(InternalRates,MATCH($S793,InternalRates01,FALSE),2)</f>
        <v>278.98333333333335</v>
      </c>
      <c r="Z793" s="3" t="str">
        <f t="shared" si="818"/>
        <v>Nie</v>
      </c>
      <c r="AA793" s="3" t="str">
        <f t="shared" si="819"/>
        <v>ZoD</v>
      </c>
      <c r="AB793" s="4">
        <v>8</v>
      </c>
      <c r="AC793" s="4">
        <v>37.244897957142854</v>
      </c>
      <c r="AD793" s="3" t="s">
        <v>48</v>
      </c>
      <c r="AE793" s="6">
        <v>44991</v>
      </c>
      <c r="AF793" s="3" t="s">
        <v>59</v>
      </c>
      <c r="AG793" s="3" t="s">
        <v>60</v>
      </c>
      <c r="AH793" s="3">
        <f>YEAR(SrcDB[[#This Row],[Datum_zverejnenia]])</f>
        <v>2022</v>
      </c>
      <c r="AI793" s="3" cm="1">
        <f t="array" ref="AI793">COUNT(_xlfn.UNIQUE(_xlfn._xlws.FILTER(SrcDB[ID],SrcDB[Objednavatel_ICO]=$H793)))</f>
        <v>2</v>
      </c>
      <c r="AJ793" s="3" cm="1">
        <f t="array" ref="AJ793">COUNT(_xlfn.UNIQUE(_xlfn._xlws.FILTER(SrcDB[ID],SrcDB[Dodavatel_ICO]=$K793)))</f>
        <v>2</v>
      </c>
      <c r="AK793" s="3">
        <f t="shared" si="859"/>
        <v>0</v>
      </c>
      <c r="AL793" s="3">
        <f t="shared" si="860"/>
        <v>0</v>
      </c>
      <c r="AM793" s="17" t="str">
        <f>IF(SrcDB[[#This Row],[Pocet zmluv objednavatela]]&gt;3,SrcDB[[#This Row],[Objednavatel]],"Ostatné")</f>
        <v>Ostatné</v>
      </c>
      <c r="AN793" s="17" t="str">
        <f>IF(SrcDB[[#This Row],[Pocet zmluv dodavatela]]&gt;3,SrcDB[[#This Row],[Dodavatel]],"Ostatné")</f>
        <v>Ostatné</v>
      </c>
    </row>
    <row r="794" spans="1:40" x14ac:dyDescent="0.3">
      <c r="A794" s="2" t="s">
        <v>998</v>
      </c>
      <c r="B794" s="2">
        <v>7073688</v>
      </c>
      <c r="C794" s="3" t="str">
        <f t="shared" si="853"/>
        <v>Nejasné</v>
      </c>
      <c r="D794" s="3" t="str">
        <f t="shared" si="854"/>
        <v>Nejasné</v>
      </c>
      <c r="E794" s="3" t="s">
        <v>48</v>
      </c>
      <c r="F794" s="3" t="s">
        <v>49</v>
      </c>
      <c r="G794" s="2" t="str">
        <f t="shared" si="855"/>
        <v>Malé zmluvy</v>
      </c>
      <c r="H794" s="5">
        <v>42499500</v>
      </c>
      <c r="I794" s="2" t="s">
        <v>464</v>
      </c>
      <c r="J794" s="2" t="s">
        <v>465</v>
      </c>
      <c r="K794" s="5">
        <v>45650276</v>
      </c>
      <c r="L794" s="2" t="s">
        <v>234</v>
      </c>
      <c r="M794" s="2" t="s">
        <v>696</v>
      </c>
      <c r="N794" s="6">
        <v>44868.609884259262</v>
      </c>
      <c r="O794" s="4">
        <v>278450</v>
      </c>
      <c r="P794" s="2">
        <v>114725</v>
      </c>
      <c r="Q794" s="2" t="s">
        <v>999</v>
      </c>
      <c r="R794" s="2" t="s">
        <v>1000</v>
      </c>
      <c r="S794" s="2" t="s">
        <v>71</v>
      </c>
      <c r="W794" s="4">
        <v>666.66</v>
      </c>
      <c r="X794" s="4">
        <v>799.99199999999996</v>
      </c>
      <c r="Y794" s="4">
        <f t="shared" ref="Y794" si="882">INDEX(InternalRates,MATCH($S794,InternalRates01,FALSE),2)</f>
        <v>354.0333333333333</v>
      </c>
      <c r="Z794" s="3" t="str">
        <f t="shared" si="818"/>
        <v>Nie</v>
      </c>
      <c r="AA794" s="3" t="str">
        <f t="shared" si="819"/>
        <v>SLA</v>
      </c>
      <c r="AB794" s="4">
        <v>80</v>
      </c>
      <c r="AC794" s="4">
        <v>640</v>
      </c>
      <c r="AD794" s="3" t="s">
        <v>49</v>
      </c>
      <c r="AE794" s="6">
        <v>44990</v>
      </c>
      <c r="AF794" s="3" t="s">
        <v>59</v>
      </c>
      <c r="AG794" s="3" t="s">
        <v>49</v>
      </c>
      <c r="AH794" s="3">
        <f>YEAR(SrcDB[[#This Row],[Datum_zverejnenia]])</f>
        <v>2022</v>
      </c>
      <c r="AI794" s="3" cm="1">
        <f t="array" ref="AI794">COUNT(_xlfn.UNIQUE(_xlfn._xlws.FILTER(SrcDB[ID],SrcDB[Objednavatel_ICO]=$H794)))</f>
        <v>25</v>
      </c>
      <c r="AJ794" s="3" cm="1">
        <f t="array" ref="AJ794">COUNT(_xlfn.UNIQUE(_xlfn._xlws.FILTER(SrcDB[ID],SrcDB[Dodavatel_ICO]=$K794)))</f>
        <v>12</v>
      </c>
      <c r="AK794" s="3">
        <f t="shared" si="859"/>
        <v>1</v>
      </c>
      <c r="AL794" s="3">
        <f t="shared" si="860"/>
        <v>1</v>
      </c>
      <c r="AM794" s="17" t="str">
        <f>IF(SrcDB[[#This Row],[Pocet zmluv objednavatela]]&gt;3,SrcDB[[#This Row],[Objednavatel]],"Ostatné")</f>
        <v>Finančné riaditeľstvo SR</v>
      </c>
      <c r="AN794" s="17" t="str">
        <f>IF(SrcDB[[#This Row],[Pocet zmluv dodavatela]]&gt;3,SrcDB[[#This Row],[Dodavatel]],"Ostatné")</f>
        <v>Atos IT Solutions and Services s.r.o. / Eviden Slovakia, s.r.o.</v>
      </c>
    </row>
    <row r="795" spans="1:40" x14ac:dyDescent="0.3">
      <c r="A795" s="2" t="s">
        <v>998</v>
      </c>
      <c r="B795" s="2">
        <v>7073688</v>
      </c>
      <c r="C795" s="3" t="str">
        <f t="shared" si="853"/>
        <v>Nejasné</v>
      </c>
      <c r="D795" s="3" t="str">
        <f t="shared" si="854"/>
        <v>Nejasné</v>
      </c>
      <c r="E795" s="3" t="s">
        <v>48</v>
      </c>
      <c r="F795" s="3" t="s">
        <v>49</v>
      </c>
      <c r="G795" s="2" t="str">
        <f t="shared" si="855"/>
        <v>Malé zmluvy</v>
      </c>
      <c r="H795" s="5">
        <v>42499500</v>
      </c>
      <c r="I795" s="2" t="s">
        <v>464</v>
      </c>
      <c r="J795" s="2" t="s">
        <v>465</v>
      </c>
      <c r="K795" s="5">
        <v>45650276</v>
      </c>
      <c r="L795" s="2" t="s">
        <v>234</v>
      </c>
      <c r="M795" s="2" t="s">
        <v>696</v>
      </c>
      <c r="N795" s="6">
        <v>44868.609884259262</v>
      </c>
      <c r="O795" s="4">
        <v>278450</v>
      </c>
      <c r="P795" s="2">
        <v>114725</v>
      </c>
      <c r="Q795" s="2" t="s">
        <v>999</v>
      </c>
      <c r="R795" s="2" t="s">
        <v>1000</v>
      </c>
      <c r="S795" s="2" t="s">
        <v>73</v>
      </c>
      <c r="W795" s="4">
        <v>796.66</v>
      </c>
      <c r="X795" s="4">
        <v>955.99199999999996</v>
      </c>
      <c r="Y795" s="4">
        <f t="shared" ref="Y795" si="883">INDEX(InternalRates,MATCH($S795,InternalRates01,FALSE),2)</f>
        <v>278.98333333333335</v>
      </c>
      <c r="Z795" s="3" t="str">
        <f t="shared" si="818"/>
        <v>Nie</v>
      </c>
      <c r="AA795" s="3" t="str">
        <f t="shared" si="819"/>
        <v>SLA</v>
      </c>
      <c r="AB795" s="4">
        <v>50</v>
      </c>
      <c r="AC795" s="4">
        <v>400</v>
      </c>
      <c r="AD795" s="3" t="s">
        <v>49</v>
      </c>
      <c r="AE795" s="6">
        <v>44990</v>
      </c>
      <c r="AF795" s="3" t="s">
        <v>59</v>
      </c>
      <c r="AG795" s="3" t="s">
        <v>49</v>
      </c>
      <c r="AH795" s="3">
        <f>YEAR(SrcDB[[#This Row],[Datum_zverejnenia]])</f>
        <v>2022</v>
      </c>
      <c r="AI795" s="3" cm="1">
        <f t="array" ref="AI795">COUNT(_xlfn.UNIQUE(_xlfn._xlws.FILTER(SrcDB[ID],SrcDB[Objednavatel_ICO]=$H795)))</f>
        <v>25</v>
      </c>
      <c r="AJ795" s="3" cm="1">
        <f t="array" ref="AJ795">COUNT(_xlfn.UNIQUE(_xlfn._xlws.FILTER(SrcDB[ID],SrcDB[Dodavatel_ICO]=$K795)))</f>
        <v>12</v>
      </c>
      <c r="AK795" s="3">
        <f t="shared" si="859"/>
        <v>0</v>
      </c>
      <c r="AL795" s="3">
        <f t="shared" si="860"/>
        <v>0</v>
      </c>
      <c r="AM795" s="17" t="str">
        <f>IF(SrcDB[[#This Row],[Pocet zmluv objednavatela]]&gt;3,SrcDB[[#This Row],[Objednavatel]],"Ostatné")</f>
        <v>Finančné riaditeľstvo SR</v>
      </c>
      <c r="AN795" s="17" t="str">
        <f>IF(SrcDB[[#This Row],[Pocet zmluv dodavatela]]&gt;3,SrcDB[[#This Row],[Dodavatel]],"Ostatné")</f>
        <v>Atos IT Solutions and Services s.r.o. / Eviden Slovakia, s.r.o.</v>
      </c>
    </row>
    <row r="796" spans="1:40" x14ac:dyDescent="0.3">
      <c r="A796" s="2" t="s">
        <v>998</v>
      </c>
      <c r="B796" s="2">
        <v>7073688</v>
      </c>
      <c r="C796" s="3" t="str">
        <f t="shared" si="853"/>
        <v>Nejasné</v>
      </c>
      <c r="D796" s="3" t="str">
        <f t="shared" si="854"/>
        <v>Nejasné</v>
      </c>
      <c r="E796" s="3" t="s">
        <v>48</v>
      </c>
      <c r="F796" s="3" t="s">
        <v>49</v>
      </c>
      <c r="G796" s="2" t="str">
        <f t="shared" si="855"/>
        <v>Malé zmluvy</v>
      </c>
      <c r="H796" s="5">
        <v>42499500</v>
      </c>
      <c r="I796" s="2" t="s">
        <v>464</v>
      </c>
      <c r="J796" s="2" t="s">
        <v>465</v>
      </c>
      <c r="K796" s="5">
        <v>45650276</v>
      </c>
      <c r="L796" s="2" t="s">
        <v>234</v>
      </c>
      <c r="M796" s="2" t="s">
        <v>696</v>
      </c>
      <c r="N796" s="6">
        <v>44868.609884259262</v>
      </c>
      <c r="O796" s="4">
        <v>278450</v>
      </c>
      <c r="P796" s="2">
        <v>114725</v>
      </c>
      <c r="Q796" s="2" t="s">
        <v>999</v>
      </c>
      <c r="R796" s="2" t="s">
        <v>1000</v>
      </c>
      <c r="S796" s="2" t="s">
        <v>56</v>
      </c>
      <c r="T796" s="2" t="s">
        <v>94</v>
      </c>
      <c r="U796" s="2" t="s">
        <v>95</v>
      </c>
      <c r="W796" s="4">
        <v>796.28869999999995</v>
      </c>
      <c r="X796" s="4">
        <v>955.54643999999985</v>
      </c>
      <c r="Y796" s="4">
        <f t="shared" ref="Y796" si="884">INDEX(InternalRates,MATCH($S796,InternalRates01,FALSE),2)</f>
        <v>278.98333333333335</v>
      </c>
      <c r="Z796" s="3" t="str">
        <f t="shared" si="818"/>
        <v>Nie</v>
      </c>
      <c r="AA796" s="3" t="str">
        <f t="shared" si="819"/>
        <v>SLA</v>
      </c>
      <c r="AB796" s="4">
        <v>100</v>
      </c>
      <c r="AC796" s="4">
        <v>800</v>
      </c>
      <c r="AD796" s="3" t="s">
        <v>49</v>
      </c>
      <c r="AE796" s="6">
        <v>44990</v>
      </c>
      <c r="AF796" s="3" t="s">
        <v>59</v>
      </c>
      <c r="AG796" s="3" t="s">
        <v>49</v>
      </c>
      <c r="AH796" s="3">
        <f>YEAR(SrcDB[[#This Row],[Datum_zverejnenia]])</f>
        <v>2022</v>
      </c>
      <c r="AI796" s="3" cm="1">
        <f t="array" ref="AI796">COUNT(_xlfn.UNIQUE(_xlfn._xlws.FILTER(SrcDB[ID],SrcDB[Objednavatel_ICO]=$H796)))</f>
        <v>25</v>
      </c>
      <c r="AJ796" s="3" cm="1">
        <f t="array" ref="AJ796">COUNT(_xlfn.UNIQUE(_xlfn._xlws.FILTER(SrcDB[ID],SrcDB[Dodavatel_ICO]=$K796)))</f>
        <v>12</v>
      </c>
      <c r="AK796" s="3">
        <f t="shared" si="859"/>
        <v>0</v>
      </c>
      <c r="AL796" s="3">
        <f t="shared" si="860"/>
        <v>0</v>
      </c>
      <c r="AM796" s="17" t="str">
        <f>IF(SrcDB[[#This Row],[Pocet zmluv objednavatela]]&gt;3,SrcDB[[#This Row],[Objednavatel]],"Ostatné")</f>
        <v>Finančné riaditeľstvo SR</v>
      </c>
      <c r="AN796" s="17" t="str">
        <f>IF(SrcDB[[#This Row],[Pocet zmluv dodavatela]]&gt;3,SrcDB[[#This Row],[Dodavatel]],"Ostatné")</f>
        <v>Atos IT Solutions and Services s.r.o. / Eviden Slovakia, s.r.o.</v>
      </c>
    </row>
    <row r="797" spans="1:40" x14ac:dyDescent="0.3">
      <c r="A797" s="2" t="s">
        <v>998</v>
      </c>
      <c r="B797" s="2">
        <v>7073688</v>
      </c>
      <c r="C797" s="3" t="str">
        <f t="shared" si="853"/>
        <v>Nejasné</v>
      </c>
      <c r="D797" s="3" t="str">
        <f t="shared" si="854"/>
        <v>Nejasné</v>
      </c>
      <c r="E797" s="3" t="s">
        <v>48</v>
      </c>
      <c r="F797" s="3" t="s">
        <v>49</v>
      </c>
      <c r="G797" s="2" t="str">
        <f t="shared" si="855"/>
        <v>Malé zmluvy</v>
      </c>
      <c r="H797" s="5">
        <v>42499500</v>
      </c>
      <c r="I797" s="2" t="s">
        <v>464</v>
      </c>
      <c r="J797" s="2" t="s">
        <v>465</v>
      </c>
      <c r="K797" s="5">
        <v>45650276</v>
      </c>
      <c r="L797" s="2" t="s">
        <v>234</v>
      </c>
      <c r="M797" s="2" t="s">
        <v>696</v>
      </c>
      <c r="N797" s="6">
        <v>44868.609884259262</v>
      </c>
      <c r="O797" s="4">
        <v>278450</v>
      </c>
      <c r="P797" s="2">
        <v>114725</v>
      </c>
      <c r="Q797" s="2" t="s">
        <v>999</v>
      </c>
      <c r="R797" s="2" t="s">
        <v>1000</v>
      </c>
      <c r="S797" s="2" t="s">
        <v>98</v>
      </c>
      <c r="W797" s="4">
        <v>658.3</v>
      </c>
      <c r="X797" s="4">
        <v>789.95999999999992</v>
      </c>
      <c r="Y797" s="4">
        <f t="shared" ref="Y797" si="885">INDEX(InternalRates,MATCH($S797,InternalRates01,FALSE),2)</f>
        <v>278.98333333333335</v>
      </c>
      <c r="Z797" s="3" t="str">
        <f t="shared" si="818"/>
        <v>Nie</v>
      </c>
      <c r="AA797" s="3" t="str">
        <f t="shared" si="819"/>
        <v>SLA</v>
      </c>
      <c r="AB797" s="4">
        <v>15</v>
      </c>
      <c r="AC797" s="4">
        <v>120</v>
      </c>
      <c r="AD797" s="3" t="s">
        <v>49</v>
      </c>
      <c r="AE797" s="6">
        <v>44990</v>
      </c>
      <c r="AF797" s="3" t="s">
        <v>59</v>
      </c>
      <c r="AG797" s="3" t="s">
        <v>49</v>
      </c>
      <c r="AH797" s="3">
        <f>YEAR(SrcDB[[#This Row],[Datum_zverejnenia]])</f>
        <v>2022</v>
      </c>
      <c r="AI797" s="3" cm="1">
        <f t="array" ref="AI797">COUNT(_xlfn.UNIQUE(_xlfn._xlws.FILTER(SrcDB[ID],SrcDB[Objednavatel_ICO]=$H797)))</f>
        <v>25</v>
      </c>
      <c r="AJ797" s="3" cm="1">
        <f t="array" ref="AJ797">COUNT(_xlfn.UNIQUE(_xlfn._xlws.FILTER(SrcDB[ID],SrcDB[Dodavatel_ICO]=$K797)))</f>
        <v>12</v>
      </c>
      <c r="AK797" s="3">
        <f t="shared" si="859"/>
        <v>0</v>
      </c>
      <c r="AL797" s="3">
        <f t="shared" si="860"/>
        <v>0</v>
      </c>
      <c r="AM797" s="17" t="str">
        <f>IF(SrcDB[[#This Row],[Pocet zmluv objednavatela]]&gt;3,SrcDB[[#This Row],[Objednavatel]],"Ostatné")</f>
        <v>Finančné riaditeľstvo SR</v>
      </c>
      <c r="AN797" s="17" t="str">
        <f>IF(SrcDB[[#This Row],[Pocet zmluv dodavatela]]&gt;3,SrcDB[[#This Row],[Dodavatel]],"Ostatné")</f>
        <v>Atos IT Solutions and Services s.r.o. / Eviden Slovakia, s.r.o.</v>
      </c>
    </row>
    <row r="798" spans="1:40" x14ac:dyDescent="0.3">
      <c r="A798" s="2" t="s">
        <v>998</v>
      </c>
      <c r="B798" s="2">
        <v>7073688</v>
      </c>
      <c r="C798" s="3" t="str">
        <f t="shared" si="853"/>
        <v>Nejasné</v>
      </c>
      <c r="D798" s="3" t="str">
        <f t="shared" si="854"/>
        <v>Nejasné</v>
      </c>
      <c r="E798" s="3" t="s">
        <v>48</v>
      </c>
      <c r="F798" s="3" t="s">
        <v>49</v>
      </c>
      <c r="G798" s="2" t="str">
        <f t="shared" si="855"/>
        <v>Malé zmluvy</v>
      </c>
      <c r="H798" s="5">
        <v>42499500</v>
      </c>
      <c r="I798" s="2" t="s">
        <v>464</v>
      </c>
      <c r="J798" s="2" t="s">
        <v>465</v>
      </c>
      <c r="K798" s="5">
        <v>45650276</v>
      </c>
      <c r="L798" s="2" t="s">
        <v>234</v>
      </c>
      <c r="M798" s="2" t="s">
        <v>696</v>
      </c>
      <c r="N798" s="6">
        <v>44868.609884259262</v>
      </c>
      <c r="O798" s="4">
        <v>278450</v>
      </c>
      <c r="P798" s="2">
        <v>114725</v>
      </c>
      <c r="Q798" s="2" t="s">
        <v>999</v>
      </c>
      <c r="R798" s="2" t="s">
        <v>1000</v>
      </c>
      <c r="S798" s="2" t="s">
        <v>56</v>
      </c>
      <c r="T798" s="2" t="s">
        <v>522</v>
      </c>
      <c r="U798" s="2" t="s">
        <v>289</v>
      </c>
      <c r="W798" s="4">
        <v>658.3</v>
      </c>
      <c r="X798" s="4">
        <v>789.95999999999992</v>
      </c>
      <c r="Y798" s="4">
        <f t="shared" ref="Y798" si="886">INDEX(InternalRates,MATCH($S798,InternalRates01,FALSE),2)</f>
        <v>278.98333333333335</v>
      </c>
      <c r="Z798" s="3" t="str">
        <f t="shared" si="818"/>
        <v>Nie</v>
      </c>
      <c r="AA798" s="3" t="str">
        <f t="shared" si="819"/>
        <v>SLA</v>
      </c>
      <c r="AB798" s="4">
        <v>30</v>
      </c>
      <c r="AC798" s="4">
        <v>240</v>
      </c>
      <c r="AD798" s="3" t="s">
        <v>49</v>
      </c>
      <c r="AE798" s="6">
        <v>44990</v>
      </c>
      <c r="AF798" s="3" t="s">
        <v>59</v>
      </c>
      <c r="AG798" s="3" t="s">
        <v>49</v>
      </c>
      <c r="AH798" s="3">
        <f>YEAR(SrcDB[[#This Row],[Datum_zverejnenia]])</f>
        <v>2022</v>
      </c>
      <c r="AI798" s="3" cm="1">
        <f t="array" ref="AI798">COUNT(_xlfn.UNIQUE(_xlfn._xlws.FILTER(SrcDB[ID],SrcDB[Objednavatel_ICO]=$H798)))</f>
        <v>25</v>
      </c>
      <c r="AJ798" s="3" cm="1">
        <f t="array" ref="AJ798">COUNT(_xlfn.UNIQUE(_xlfn._xlws.FILTER(SrcDB[ID],SrcDB[Dodavatel_ICO]=$K798)))</f>
        <v>12</v>
      </c>
      <c r="AK798" s="3">
        <f t="shared" si="859"/>
        <v>0</v>
      </c>
      <c r="AL798" s="3">
        <f t="shared" si="860"/>
        <v>0</v>
      </c>
      <c r="AM798" s="17" t="str">
        <f>IF(SrcDB[[#This Row],[Pocet zmluv objednavatela]]&gt;3,SrcDB[[#This Row],[Objednavatel]],"Ostatné")</f>
        <v>Finančné riaditeľstvo SR</v>
      </c>
      <c r="AN798" s="17" t="str">
        <f>IF(SrcDB[[#This Row],[Pocet zmluv dodavatela]]&gt;3,SrcDB[[#This Row],[Dodavatel]],"Ostatné")</f>
        <v>Atos IT Solutions and Services s.r.o. / Eviden Slovakia, s.r.o.</v>
      </c>
    </row>
    <row r="799" spans="1:40" x14ac:dyDescent="0.3">
      <c r="A799" s="2" t="s">
        <v>998</v>
      </c>
      <c r="B799" s="2">
        <v>7073688</v>
      </c>
      <c r="C799" s="3" t="str">
        <f t="shared" si="853"/>
        <v>Nejasné</v>
      </c>
      <c r="D799" s="3" t="str">
        <f t="shared" si="854"/>
        <v>Nejasné</v>
      </c>
      <c r="E799" s="3" t="s">
        <v>48</v>
      </c>
      <c r="F799" s="3" t="s">
        <v>49</v>
      </c>
      <c r="G799" s="2" t="str">
        <f t="shared" si="855"/>
        <v>Malé zmluvy</v>
      </c>
      <c r="H799" s="5">
        <v>42499500</v>
      </c>
      <c r="I799" s="2" t="s">
        <v>464</v>
      </c>
      <c r="J799" s="2" t="s">
        <v>465</v>
      </c>
      <c r="K799" s="5">
        <v>45650276</v>
      </c>
      <c r="L799" s="2" t="s">
        <v>234</v>
      </c>
      <c r="M799" s="2" t="s">
        <v>696</v>
      </c>
      <c r="N799" s="6">
        <v>44868.609884259262</v>
      </c>
      <c r="O799" s="4">
        <v>278450</v>
      </c>
      <c r="P799" s="2">
        <v>114725</v>
      </c>
      <c r="Q799" s="2" t="s">
        <v>999</v>
      </c>
      <c r="R799" s="2" t="s">
        <v>1000</v>
      </c>
      <c r="S799" s="2" t="s">
        <v>160</v>
      </c>
      <c r="W799" s="4">
        <v>658.3</v>
      </c>
      <c r="X799" s="4">
        <v>789.95999999999992</v>
      </c>
      <c r="Y799" s="4">
        <f t="shared" ref="Y799" si="887">INDEX(InternalRates,MATCH($S799,InternalRates01,FALSE),2)</f>
        <v>231.85833333333335</v>
      </c>
      <c r="Z799" s="3" t="str">
        <f t="shared" si="818"/>
        <v>Nie</v>
      </c>
      <c r="AA799" s="3" t="str">
        <f t="shared" si="819"/>
        <v>SLA</v>
      </c>
      <c r="AB799" s="4">
        <v>30</v>
      </c>
      <c r="AC799" s="4">
        <v>240</v>
      </c>
      <c r="AD799" s="3" t="s">
        <v>49</v>
      </c>
      <c r="AE799" s="6">
        <v>44990</v>
      </c>
      <c r="AF799" s="3" t="s">
        <v>59</v>
      </c>
      <c r="AG799" s="3" t="s">
        <v>49</v>
      </c>
      <c r="AH799" s="3">
        <f>YEAR(SrcDB[[#This Row],[Datum_zverejnenia]])</f>
        <v>2022</v>
      </c>
      <c r="AI799" s="3" cm="1">
        <f t="array" ref="AI799">COUNT(_xlfn.UNIQUE(_xlfn._xlws.FILTER(SrcDB[ID],SrcDB[Objednavatel_ICO]=$H799)))</f>
        <v>25</v>
      </c>
      <c r="AJ799" s="3" cm="1">
        <f t="array" ref="AJ799">COUNT(_xlfn.UNIQUE(_xlfn._xlws.FILTER(SrcDB[ID],SrcDB[Dodavatel_ICO]=$K799)))</f>
        <v>12</v>
      </c>
      <c r="AK799" s="3">
        <f t="shared" si="859"/>
        <v>0</v>
      </c>
      <c r="AL799" s="3">
        <f t="shared" si="860"/>
        <v>0</v>
      </c>
      <c r="AM799" s="17" t="str">
        <f>IF(SrcDB[[#This Row],[Pocet zmluv objednavatela]]&gt;3,SrcDB[[#This Row],[Objednavatel]],"Ostatné")</f>
        <v>Finančné riaditeľstvo SR</v>
      </c>
      <c r="AN799" s="17" t="str">
        <f>IF(SrcDB[[#This Row],[Pocet zmluv dodavatela]]&gt;3,SrcDB[[#This Row],[Dodavatel]],"Ostatné")</f>
        <v>Atos IT Solutions and Services s.r.o. / Eviden Slovakia, s.r.o.</v>
      </c>
    </row>
    <row r="800" spans="1:40" x14ac:dyDescent="0.3">
      <c r="A800" s="2" t="s">
        <v>1001</v>
      </c>
      <c r="B800" s="2">
        <v>7084854</v>
      </c>
      <c r="C800" s="3" t="str">
        <f t="shared" si="853"/>
        <v>Nejasné</v>
      </c>
      <c r="D800" s="3" t="str">
        <f t="shared" si="854"/>
        <v>Nejasné</v>
      </c>
      <c r="E800" s="3" t="s">
        <v>48</v>
      </c>
      <c r="F800" s="3" t="s">
        <v>49</v>
      </c>
      <c r="G800" s="2" t="str">
        <f t="shared" si="855"/>
        <v>Malé zmluvy</v>
      </c>
      <c r="H800" s="5">
        <v>42499500</v>
      </c>
      <c r="I800" s="2" t="s">
        <v>464</v>
      </c>
      <c r="J800" s="2" t="s">
        <v>465</v>
      </c>
      <c r="K800" s="5">
        <v>35760419</v>
      </c>
      <c r="L800" s="2" t="s">
        <v>85</v>
      </c>
      <c r="M800" s="2" t="s">
        <v>696</v>
      </c>
      <c r="N800" s="6">
        <v>44872.565694444442</v>
      </c>
      <c r="O800" s="4">
        <v>191973.02</v>
      </c>
      <c r="P800" s="2">
        <v>114725</v>
      </c>
      <c r="Q800" s="2" t="s">
        <v>1002</v>
      </c>
      <c r="R800" s="2" t="s">
        <v>1003</v>
      </c>
      <c r="S800" s="2" t="s">
        <v>183</v>
      </c>
      <c r="T800" s="2" t="s">
        <v>183</v>
      </c>
      <c r="W800" s="4">
        <v>642.48</v>
      </c>
      <c r="X800" s="4">
        <v>770.976</v>
      </c>
      <c r="Y800" s="4">
        <f t="shared" ref="Y800" si="888">INDEX(InternalRates,MATCH($S800,InternalRates01,FALSE),2)</f>
        <v>278.98333333333335</v>
      </c>
      <c r="Z800" s="3" t="str">
        <f t="shared" ref="Z800:Z863" si="889">IF(W800&gt;0,IF(Y800&gt;W800,"Áno","Nie"),"Nie")</f>
        <v>Nie</v>
      </c>
      <c r="AA800" s="3" t="str">
        <f t="shared" ref="AA800:AA863" si="890">IF(E800="Nie","SLA",IF(F800="Nie","ZoD","SLA+ZoD"))</f>
        <v>SLA</v>
      </c>
      <c r="AB800" s="4">
        <v>249</v>
      </c>
      <c r="AC800" s="4">
        <v>245.45260275317548</v>
      </c>
      <c r="AD800" s="3" t="s">
        <v>48</v>
      </c>
      <c r="AE800" s="6">
        <v>44990</v>
      </c>
      <c r="AF800" s="3" t="s">
        <v>59</v>
      </c>
      <c r="AG800" s="3" t="s">
        <v>60</v>
      </c>
      <c r="AH800" s="3">
        <f>YEAR(SrcDB[[#This Row],[Datum_zverejnenia]])</f>
        <v>2022</v>
      </c>
      <c r="AI800" s="3" cm="1">
        <f t="array" ref="AI800">COUNT(_xlfn.UNIQUE(_xlfn._xlws.FILTER(SrcDB[ID],SrcDB[Objednavatel_ICO]=$H800)))</f>
        <v>25</v>
      </c>
      <c r="AJ800" s="3" cm="1">
        <f t="array" ref="AJ800">COUNT(_xlfn.UNIQUE(_xlfn._xlws.FILTER(SrcDB[ID],SrcDB[Dodavatel_ICO]=$K800)))</f>
        <v>34</v>
      </c>
      <c r="AK800" s="3">
        <f t="shared" si="859"/>
        <v>1</v>
      </c>
      <c r="AL800" s="3">
        <f t="shared" si="860"/>
        <v>1</v>
      </c>
      <c r="AM800" s="17" t="str">
        <f>IF(SrcDB[[#This Row],[Pocet zmluv objednavatela]]&gt;3,SrcDB[[#This Row],[Objednavatel]],"Ostatné")</f>
        <v>Finančné riaditeľstvo SR</v>
      </c>
      <c r="AN800" s="17" t="str">
        <f>IF(SrcDB[[#This Row],[Pocet zmluv dodavatela]]&gt;3,SrcDB[[#This Row],[Dodavatel]],"Ostatné")</f>
        <v>Asseco Central Europe, a.s.</v>
      </c>
    </row>
    <row r="801" spans="1:40" x14ac:dyDescent="0.3">
      <c r="A801" s="2" t="s">
        <v>1004</v>
      </c>
      <c r="B801" s="2">
        <v>7150370</v>
      </c>
      <c r="C801" s="3" t="str">
        <f t="shared" si="853"/>
        <v>Áno</v>
      </c>
      <c r="D801" s="3" t="str">
        <f t="shared" si="854"/>
        <v>Áno</v>
      </c>
      <c r="E801" s="3" t="s">
        <v>49</v>
      </c>
      <c r="F801" s="3" t="s">
        <v>48</v>
      </c>
      <c r="G801" s="2" t="str">
        <f t="shared" si="855"/>
        <v>Stredné zmluvy</v>
      </c>
      <c r="H801" s="5">
        <v>36076643</v>
      </c>
      <c r="I801" s="2" t="s">
        <v>1005</v>
      </c>
      <c r="J801" s="2" t="s">
        <v>1006</v>
      </c>
      <c r="K801" s="5">
        <v>35794950</v>
      </c>
      <c r="L801" s="2" t="s">
        <v>1007</v>
      </c>
      <c r="M801" s="2" t="s">
        <v>1008</v>
      </c>
      <c r="N801" s="6">
        <v>44889.608414351853</v>
      </c>
      <c r="O801" s="4">
        <v>2212800</v>
      </c>
      <c r="P801" s="2">
        <v>114571</v>
      </c>
      <c r="Q801" s="2" t="s">
        <v>1009</v>
      </c>
      <c r="R801" s="2" t="s">
        <v>1010</v>
      </c>
      <c r="S801" s="2" t="s">
        <v>183</v>
      </c>
      <c r="T801" s="2" t="s">
        <v>183</v>
      </c>
      <c r="W801" s="4">
        <v>400</v>
      </c>
      <c r="X801" s="4">
        <v>480</v>
      </c>
      <c r="Y801" s="4">
        <f t="shared" ref="Y801" si="891">INDEX(InternalRates,MATCH($S801,InternalRates01,FALSE),2)</f>
        <v>278.98333333333335</v>
      </c>
      <c r="Z801" s="3" t="str">
        <f t="shared" si="889"/>
        <v>Nie</v>
      </c>
      <c r="AA801" s="3" t="str">
        <f t="shared" si="890"/>
        <v>ZoD</v>
      </c>
      <c r="AB801" s="4">
        <v>500</v>
      </c>
      <c r="AC801" s="4">
        <v>82.278481012658318</v>
      </c>
      <c r="AD801" s="3" t="s">
        <v>49</v>
      </c>
      <c r="AE801" s="6">
        <v>45538</v>
      </c>
      <c r="AF801" s="3" t="s">
        <v>59</v>
      </c>
      <c r="AG801" s="3" t="s">
        <v>48</v>
      </c>
      <c r="AH801" s="3">
        <f>YEAR(SrcDB[[#This Row],[Datum_zverejnenia]])</f>
        <v>2022</v>
      </c>
      <c r="AI801" s="3" cm="1">
        <f t="array" ref="AI801">COUNT(_xlfn.UNIQUE(_xlfn._xlws.FILTER(SrcDB[ID],SrcDB[Objednavatel_ICO]=$H801)))</f>
        <v>1</v>
      </c>
      <c r="AJ801" s="3" cm="1">
        <f t="array" ref="AJ801">COUNT(_xlfn.UNIQUE(_xlfn._xlws.FILTER(SrcDB[ID],SrcDB[Dodavatel_ICO]=$K801)))</f>
        <v>1</v>
      </c>
      <c r="AK801" s="3">
        <f t="shared" si="859"/>
        <v>1</v>
      </c>
      <c r="AL801" s="3">
        <f t="shared" si="860"/>
        <v>1</v>
      </c>
      <c r="AM801" s="17" t="str">
        <f>IF(SrcDB[[#This Row],[Pocet zmluv objednavatela]]&gt;3,SrcDB[[#This Row],[Objednavatel]],"Ostatné")</f>
        <v>Ostatné</v>
      </c>
      <c r="AN801" s="17" t="str">
        <f>IF(SrcDB[[#This Row],[Pocet zmluv dodavatela]]&gt;3,SrcDB[[#This Row],[Dodavatel]],"Ostatné")</f>
        <v>Ostatné</v>
      </c>
    </row>
    <row r="802" spans="1:40" x14ac:dyDescent="0.3">
      <c r="A802" s="2" t="s">
        <v>1011</v>
      </c>
      <c r="B802" s="2">
        <v>7173527</v>
      </c>
      <c r="C802" s="3" t="str">
        <f t="shared" si="853"/>
        <v>Nejasné</v>
      </c>
      <c r="D802" s="3" t="str">
        <f t="shared" si="854"/>
        <v>Nejasné</v>
      </c>
      <c r="E802" s="3" t="s">
        <v>49</v>
      </c>
      <c r="F802" s="3" t="s">
        <v>48</v>
      </c>
      <c r="G802" s="2" t="str">
        <f t="shared" si="855"/>
        <v>Malé zmluvy</v>
      </c>
      <c r="H802" s="5" t="s">
        <v>1012</v>
      </c>
      <c r="I802" s="2" t="s">
        <v>1013</v>
      </c>
      <c r="J802" s="2" t="s">
        <v>1014</v>
      </c>
      <c r="K802" s="5">
        <v>35810408</v>
      </c>
      <c r="L802" s="2" t="s">
        <v>1015</v>
      </c>
      <c r="M802" s="2" t="s">
        <v>1016</v>
      </c>
      <c r="N802" s="6">
        <v>44895.588506944441</v>
      </c>
      <c r="O802" s="4">
        <v>463190</v>
      </c>
      <c r="P802" s="2">
        <v>114725</v>
      </c>
      <c r="Q802" s="2" t="s">
        <v>1017</v>
      </c>
      <c r="R802" s="2" t="s">
        <v>1018</v>
      </c>
      <c r="S802" s="2" t="s">
        <v>56</v>
      </c>
      <c r="T802" s="2" t="s">
        <v>96</v>
      </c>
      <c r="U802" s="2" t="s">
        <v>97</v>
      </c>
      <c r="W802" s="4">
        <v>660</v>
      </c>
      <c r="X802" s="4">
        <v>792</v>
      </c>
      <c r="Y802" s="4">
        <f t="shared" ref="Y802" si="892">INDEX(InternalRates,MATCH($S802,InternalRates01,FALSE),2)</f>
        <v>278.98333333333335</v>
      </c>
      <c r="Z802" s="3" t="str">
        <f t="shared" si="889"/>
        <v>Nie</v>
      </c>
      <c r="AA802" s="3" t="str">
        <f t="shared" si="890"/>
        <v>ZoD</v>
      </c>
      <c r="AB802" s="4">
        <v>10</v>
      </c>
      <c r="AC802" s="4">
        <v>2.2222222222222223</v>
      </c>
      <c r="AD802" s="3" t="s">
        <v>48</v>
      </c>
      <c r="AE802" s="6">
        <v>44987</v>
      </c>
      <c r="AF802" s="3" t="s">
        <v>59</v>
      </c>
      <c r="AG802" s="3" t="s">
        <v>48</v>
      </c>
      <c r="AH802" s="3">
        <f>YEAR(SrcDB[[#This Row],[Datum_zverejnenia]])</f>
        <v>2022</v>
      </c>
      <c r="AI802" s="3" cm="1">
        <f t="array" ref="AI802">COUNT(_xlfn.UNIQUE(_xlfn._xlws.FILTER(SrcDB[ID],SrcDB[Objednavatel_ICO]=$H802)))</f>
        <v>1</v>
      </c>
      <c r="AJ802" s="3" cm="1">
        <f t="array" ref="AJ802">COUNT(_xlfn.UNIQUE(_xlfn._xlws.FILTER(SrcDB[ID],SrcDB[Dodavatel_ICO]=$K802)))</f>
        <v>1</v>
      </c>
      <c r="AK802" s="3">
        <f t="shared" si="859"/>
        <v>1</v>
      </c>
      <c r="AL802" s="3">
        <f t="shared" si="860"/>
        <v>1</v>
      </c>
      <c r="AM802" s="17" t="str">
        <f>IF(SrcDB[[#This Row],[Pocet zmluv objednavatela]]&gt;3,SrcDB[[#This Row],[Objednavatel]],"Ostatné")</f>
        <v>Ostatné</v>
      </c>
      <c r="AN802" s="17" t="str">
        <f>IF(SrcDB[[#This Row],[Pocet zmluv dodavatela]]&gt;3,SrcDB[[#This Row],[Dodavatel]],"Ostatné")</f>
        <v>Ostatné</v>
      </c>
    </row>
    <row r="803" spans="1:40" x14ac:dyDescent="0.3">
      <c r="A803" s="2" t="s">
        <v>1019</v>
      </c>
      <c r="B803" s="2">
        <v>7176773</v>
      </c>
      <c r="C803" s="3" t="str">
        <f t="shared" si="853"/>
        <v>Nie</v>
      </c>
      <c r="D803" s="3" t="str">
        <f t="shared" si="854"/>
        <v>Áno</v>
      </c>
      <c r="E803" s="3" t="s">
        <v>48</v>
      </c>
      <c r="F803" s="3" t="s">
        <v>49</v>
      </c>
      <c r="G803" s="2" t="str">
        <f t="shared" si="855"/>
        <v>Malé zmluvy</v>
      </c>
      <c r="H803" s="5">
        <v>36252484</v>
      </c>
      <c r="I803" s="2" t="s">
        <v>1020</v>
      </c>
      <c r="J803" s="2" t="s">
        <v>1021</v>
      </c>
      <c r="K803" s="5">
        <v>36224278</v>
      </c>
      <c r="L803" s="2" t="s">
        <v>1022</v>
      </c>
      <c r="M803" s="2" t="s">
        <v>1023</v>
      </c>
      <c r="N803" s="6">
        <v>44896.298877314817</v>
      </c>
      <c r="O803" s="4">
        <v>140160</v>
      </c>
      <c r="P803" s="2">
        <v>6215909</v>
      </c>
      <c r="Q803" s="2" t="s">
        <v>1024</v>
      </c>
      <c r="R803" s="2" t="s">
        <v>1025</v>
      </c>
      <c r="S803" s="2" t="s">
        <v>183</v>
      </c>
      <c r="T803" s="2" t="s">
        <v>183</v>
      </c>
      <c r="W803" s="4">
        <v>600</v>
      </c>
      <c r="X803" s="4">
        <v>720</v>
      </c>
      <c r="Y803" s="4">
        <f t="shared" ref="Y803" si="893">INDEX(InternalRates,MATCH($S803,InternalRates01,FALSE),2)</f>
        <v>278.98333333333335</v>
      </c>
      <c r="Z803" s="3" t="str">
        <f t="shared" si="889"/>
        <v>Nie</v>
      </c>
      <c r="AA803" s="3" t="str">
        <f t="shared" si="890"/>
        <v>SLA</v>
      </c>
      <c r="AB803" s="4">
        <v>108</v>
      </c>
      <c r="AC803" s="4">
        <v>64.800000000000011</v>
      </c>
      <c r="AD803" s="3" t="s">
        <v>48</v>
      </c>
      <c r="AE803" s="6">
        <v>44991</v>
      </c>
      <c r="AF803" s="3" t="s">
        <v>59</v>
      </c>
      <c r="AG803" s="3" t="s">
        <v>60</v>
      </c>
      <c r="AH803" s="3">
        <f>YEAR(SrcDB[[#This Row],[Datum_zverejnenia]])</f>
        <v>2022</v>
      </c>
      <c r="AI803" s="3" cm="1">
        <f t="array" ref="AI803">COUNT(_xlfn.UNIQUE(_xlfn._xlws.FILTER(SrcDB[ID],SrcDB[Objednavatel_ICO]=$H803)))</f>
        <v>1</v>
      </c>
      <c r="AJ803" s="3" cm="1">
        <f t="array" ref="AJ803">COUNT(_xlfn.UNIQUE(_xlfn._xlws.FILTER(SrcDB[ID],SrcDB[Dodavatel_ICO]=$K803)))</f>
        <v>2</v>
      </c>
      <c r="AK803" s="3">
        <f t="shared" si="859"/>
        <v>1</v>
      </c>
      <c r="AL803" s="3">
        <f t="shared" si="860"/>
        <v>1</v>
      </c>
      <c r="AM803" s="17" t="str">
        <f>IF(SrcDB[[#This Row],[Pocet zmluv objednavatela]]&gt;3,SrcDB[[#This Row],[Objednavatel]],"Ostatné")</f>
        <v>Ostatné</v>
      </c>
      <c r="AN803" s="17" t="str">
        <f>IF(SrcDB[[#This Row],[Pocet zmluv dodavatela]]&gt;3,SrcDB[[#This Row],[Dodavatel]],"Ostatné")</f>
        <v>Ostatné</v>
      </c>
    </row>
    <row r="804" spans="1:40" x14ac:dyDescent="0.3">
      <c r="A804" s="2" t="s">
        <v>1026</v>
      </c>
      <c r="B804" s="2">
        <v>7201137</v>
      </c>
      <c r="C804" s="3" t="str">
        <f t="shared" si="853"/>
        <v>Áno</v>
      </c>
      <c r="D804" s="3" t="str">
        <f t="shared" si="854"/>
        <v>Áno</v>
      </c>
      <c r="E804" s="3" t="s">
        <v>49</v>
      </c>
      <c r="F804" s="3" t="s">
        <v>49</v>
      </c>
      <c r="G804" s="2" t="str">
        <f t="shared" si="855"/>
        <v>Stredné zmluvy</v>
      </c>
      <c r="H804" s="5">
        <v>50349287</v>
      </c>
      <c r="I804" s="2" t="s">
        <v>200</v>
      </c>
      <c r="J804" s="2" t="s">
        <v>1027</v>
      </c>
      <c r="K804" s="5">
        <v>35774720</v>
      </c>
      <c r="L804" s="2" t="s">
        <v>1028</v>
      </c>
      <c r="M804" s="2" t="s">
        <v>1029</v>
      </c>
      <c r="N804" s="6">
        <v>44902</v>
      </c>
      <c r="O804" s="4">
        <v>1229988</v>
      </c>
      <c r="P804" s="2">
        <v>2473554</v>
      </c>
      <c r="Q804" s="2" t="s">
        <v>1030</v>
      </c>
      <c r="R804" s="2" t="s">
        <v>1031</v>
      </c>
      <c r="S804" s="2" t="s">
        <v>73</v>
      </c>
      <c r="W804" s="4">
        <v>450</v>
      </c>
      <c r="X804" s="4">
        <v>540</v>
      </c>
      <c r="Y804" s="4">
        <f t="shared" ref="Y804" si="894">INDEX(InternalRates,MATCH($S804,InternalRates01,FALSE),2)</f>
        <v>278.98333333333335</v>
      </c>
      <c r="Z804" s="3" t="str">
        <f t="shared" si="889"/>
        <v>Nie</v>
      </c>
      <c r="AA804" s="3" t="str">
        <f t="shared" si="890"/>
        <v>SLA+ZoD</v>
      </c>
      <c r="AD804" s="3" t="s">
        <v>48</v>
      </c>
      <c r="AE804" s="6">
        <v>44986</v>
      </c>
      <c r="AF804" s="3" t="s">
        <v>59</v>
      </c>
      <c r="AG804" s="3" t="s">
        <v>49</v>
      </c>
      <c r="AH804" s="3">
        <f>YEAR(SrcDB[[#This Row],[Datum_zverejnenia]])</f>
        <v>2022</v>
      </c>
      <c r="AI804" s="3" cm="1">
        <f t="array" ref="AI804">COUNT(_xlfn.UNIQUE(_xlfn._xlws.FILTER(SrcDB[ID],SrcDB[Objednavatel_ICO]=$H804)))</f>
        <v>7</v>
      </c>
      <c r="AJ804" s="3" cm="1">
        <f t="array" ref="AJ804">COUNT(_xlfn.UNIQUE(_xlfn._xlws.FILTER(SrcDB[ID],SrcDB[Dodavatel_ICO]=$K804)))</f>
        <v>1</v>
      </c>
      <c r="AK804" s="3">
        <f t="shared" si="859"/>
        <v>1</v>
      </c>
      <c r="AL804" s="3">
        <f t="shared" si="860"/>
        <v>1</v>
      </c>
      <c r="AM804" s="17" t="str">
        <f>IF(SrcDB[[#This Row],[Pocet zmluv objednavatela]]&gt;3,SrcDB[[#This Row],[Objednavatel]],"Ostatné")</f>
        <v>Ministerstvo investícií, regionálneho rozvoja a informatizácie Slovenskej republiky</v>
      </c>
      <c r="AN804" s="17" t="str">
        <f>IF(SrcDB[[#This Row],[Pocet zmluv dodavatela]]&gt;3,SrcDB[[#This Row],[Dodavatel]],"Ostatné")</f>
        <v>Ostatné</v>
      </c>
    </row>
    <row r="805" spans="1:40" x14ac:dyDescent="0.3">
      <c r="A805" s="2" t="s">
        <v>1026</v>
      </c>
      <c r="B805" s="2">
        <v>7201137</v>
      </c>
      <c r="C805" s="3" t="str">
        <f t="shared" si="853"/>
        <v>Áno</v>
      </c>
      <c r="D805" s="3" t="str">
        <f t="shared" si="854"/>
        <v>Áno</v>
      </c>
      <c r="E805" s="3" t="s">
        <v>49</v>
      </c>
      <c r="F805" s="3" t="s">
        <v>49</v>
      </c>
      <c r="G805" s="2" t="str">
        <f t="shared" si="855"/>
        <v>Stredné zmluvy</v>
      </c>
      <c r="H805" s="5">
        <v>50349287</v>
      </c>
      <c r="I805" s="2" t="s">
        <v>200</v>
      </c>
      <c r="J805" s="2" t="s">
        <v>1027</v>
      </c>
      <c r="K805" s="5">
        <v>35774720</v>
      </c>
      <c r="L805" s="2" t="s">
        <v>1028</v>
      </c>
      <c r="M805" s="2" t="s">
        <v>1029</v>
      </c>
      <c r="N805" s="6">
        <v>44902</v>
      </c>
      <c r="O805" s="4">
        <v>1229988</v>
      </c>
      <c r="P805" s="2">
        <v>2473554</v>
      </c>
      <c r="Q805" s="2" t="s">
        <v>1030</v>
      </c>
      <c r="R805" s="2" t="s">
        <v>1031</v>
      </c>
      <c r="S805" s="2" t="s">
        <v>71</v>
      </c>
      <c r="W805" s="4">
        <v>500</v>
      </c>
      <c r="X805" s="4">
        <v>600</v>
      </c>
      <c r="Y805" s="4">
        <f t="shared" ref="Y805" si="895">INDEX(InternalRates,MATCH($S805,InternalRates01,FALSE),2)</f>
        <v>354.0333333333333</v>
      </c>
      <c r="Z805" s="3" t="str">
        <f t="shared" si="889"/>
        <v>Nie</v>
      </c>
      <c r="AA805" s="3" t="str">
        <f t="shared" si="890"/>
        <v>SLA+ZoD</v>
      </c>
      <c r="AD805" s="3" t="s">
        <v>48</v>
      </c>
      <c r="AE805" s="6">
        <v>44986</v>
      </c>
      <c r="AF805" s="3" t="s">
        <v>59</v>
      </c>
      <c r="AG805" s="3" t="s">
        <v>49</v>
      </c>
      <c r="AH805" s="3">
        <f>YEAR(SrcDB[[#This Row],[Datum_zverejnenia]])</f>
        <v>2022</v>
      </c>
      <c r="AI805" s="3" cm="1">
        <f t="array" ref="AI805">COUNT(_xlfn.UNIQUE(_xlfn._xlws.FILTER(SrcDB[ID],SrcDB[Objednavatel_ICO]=$H805)))</f>
        <v>7</v>
      </c>
      <c r="AJ805" s="3" cm="1">
        <f t="array" ref="AJ805">COUNT(_xlfn.UNIQUE(_xlfn._xlws.FILTER(SrcDB[ID],SrcDB[Dodavatel_ICO]=$K805)))</f>
        <v>1</v>
      </c>
      <c r="AK805" s="3">
        <f t="shared" si="859"/>
        <v>0</v>
      </c>
      <c r="AL805" s="3">
        <f t="shared" si="860"/>
        <v>0</v>
      </c>
      <c r="AM805" s="17" t="str">
        <f>IF(SrcDB[[#This Row],[Pocet zmluv objednavatela]]&gt;3,SrcDB[[#This Row],[Objednavatel]],"Ostatné")</f>
        <v>Ministerstvo investícií, regionálneho rozvoja a informatizácie Slovenskej republiky</v>
      </c>
      <c r="AN805" s="17" t="str">
        <f>IF(SrcDB[[#This Row],[Pocet zmluv dodavatela]]&gt;3,SrcDB[[#This Row],[Dodavatel]],"Ostatné")</f>
        <v>Ostatné</v>
      </c>
    </row>
    <row r="806" spans="1:40" x14ac:dyDescent="0.3">
      <c r="A806" s="2" t="s">
        <v>1026</v>
      </c>
      <c r="B806" s="2">
        <v>7201137</v>
      </c>
      <c r="C806" s="3" t="str">
        <f t="shared" si="853"/>
        <v>Áno</v>
      </c>
      <c r="D806" s="3" t="str">
        <f t="shared" si="854"/>
        <v>Áno</v>
      </c>
      <c r="E806" s="3" t="s">
        <v>49</v>
      </c>
      <c r="F806" s="3" t="s">
        <v>49</v>
      </c>
      <c r="G806" s="2" t="str">
        <f t="shared" si="855"/>
        <v>Stredné zmluvy</v>
      </c>
      <c r="H806" s="5">
        <v>50349287</v>
      </c>
      <c r="I806" s="2" t="s">
        <v>200</v>
      </c>
      <c r="J806" s="2" t="s">
        <v>1027</v>
      </c>
      <c r="K806" s="5">
        <v>35774720</v>
      </c>
      <c r="L806" s="2" t="s">
        <v>1028</v>
      </c>
      <c r="M806" s="2" t="s">
        <v>1029</v>
      </c>
      <c r="N806" s="6">
        <v>44902</v>
      </c>
      <c r="O806" s="4">
        <v>1229988</v>
      </c>
      <c r="P806" s="2">
        <v>2473554</v>
      </c>
      <c r="Q806" s="2" t="s">
        <v>1030</v>
      </c>
      <c r="R806" s="2" t="s">
        <v>1031</v>
      </c>
      <c r="S806" s="2" t="s">
        <v>77</v>
      </c>
      <c r="W806" s="4">
        <v>400</v>
      </c>
      <c r="X806" s="4">
        <v>480</v>
      </c>
      <c r="Y806" s="4">
        <f t="shared" ref="Y806" si="896">INDEX(InternalRates,MATCH($S806,InternalRates01,FALSE),2)</f>
        <v>278.98333333333335</v>
      </c>
      <c r="Z806" s="3" t="str">
        <f t="shared" si="889"/>
        <v>Nie</v>
      </c>
      <c r="AA806" s="3" t="str">
        <f t="shared" si="890"/>
        <v>SLA+ZoD</v>
      </c>
      <c r="AD806" s="3" t="s">
        <v>48</v>
      </c>
      <c r="AE806" s="6">
        <v>44986</v>
      </c>
      <c r="AF806" s="3" t="s">
        <v>59</v>
      </c>
      <c r="AG806" s="3" t="s">
        <v>49</v>
      </c>
      <c r="AH806" s="3">
        <f>YEAR(SrcDB[[#This Row],[Datum_zverejnenia]])</f>
        <v>2022</v>
      </c>
      <c r="AI806" s="3" cm="1">
        <f t="array" ref="AI806">COUNT(_xlfn.UNIQUE(_xlfn._xlws.FILTER(SrcDB[ID],SrcDB[Objednavatel_ICO]=$H806)))</f>
        <v>7</v>
      </c>
      <c r="AJ806" s="3" cm="1">
        <f t="array" ref="AJ806">COUNT(_xlfn.UNIQUE(_xlfn._xlws.FILTER(SrcDB[ID],SrcDB[Dodavatel_ICO]=$K806)))</f>
        <v>1</v>
      </c>
      <c r="AK806" s="3">
        <f t="shared" si="859"/>
        <v>0</v>
      </c>
      <c r="AL806" s="3">
        <f t="shared" si="860"/>
        <v>0</v>
      </c>
      <c r="AM806" s="17" t="str">
        <f>IF(SrcDB[[#This Row],[Pocet zmluv objednavatela]]&gt;3,SrcDB[[#This Row],[Objednavatel]],"Ostatné")</f>
        <v>Ministerstvo investícií, regionálneho rozvoja a informatizácie Slovenskej republiky</v>
      </c>
      <c r="AN806" s="17" t="str">
        <f>IF(SrcDB[[#This Row],[Pocet zmluv dodavatela]]&gt;3,SrcDB[[#This Row],[Dodavatel]],"Ostatné")</f>
        <v>Ostatné</v>
      </c>
    </row>
    <row r="807" spans="1:40" x14ac:dyDescent="0.3">
      <c r="A807" s="2" t="s">
        <v>1026</v>
      </c>
      <c r="B807" s="2">
        <v>7201137</v>
      </c>
      <c r="C807" s="3" t="str">
        <f t="shared" si="853"/>
        <v>Áno</v>
      </c>
      <c r="D807" s="3" t="str">
        <f t="shared" si="854"/>
        <v>Áno</v>
      </c>
      <c r="E807" s="3" t="s">
        <v>49</v>
      </c>
      <c r="F807" s="3" t="s">
        <v>49</v>
      </c>
      <c r="G807" s="2" t="str">
        <f t="shared" si="855"/>
        <v>Stredné zmluvy</v>
      </c>
      <c r="H807" s="5">
        <v>50349287</v>
      </c>
      <c r="I807" s="2" t="s">
        <v>200</v>
      </c>
      <c r="J807" s="2" t="s">
        <v>1027</v>
      </c>
      <c r="K807" s="5">
        <v>35774720</v>
      </c>
      <c r="L807" s="2" t="s">
        <v>1028</v>
      </c>
      <c r="M807" s="2" t="s">
        <v>1029</v>
      </c>
      <c r="N807" s="6">
        <v>44902</v>
      </c>
      <c r="O807" s="4">
        <v>1229988</v>
      </c>
      <c r="P807" s="2">
        <v>2473554</v>
      </c>
      <c r="Q807" s="2" t="s">
        <v>1030</v>
      </c>
      <c r="R807" s="2" t="s">
        <v>1031</v>
      </c>
      <c r="S807" s="2" t="s">
        <v>79</v>
      </c>
      <c r="W807" s="4">
        <v>380</v>
      </c>
      <c r="X807" s="4">
        <v>456</v>
      </c>
      <c r="Y807" s="4">
        <f t="shared" ref="Y807" si="897">INDEX(InternalRates,MATCH($S807,InternalRates01,FALSE),2)</f>
        <v>278.98333333333335</v>
      </c>
      <c r="Z807" s="3" t="str">
        <f t="shared" si="889"/>
        <v>Nie</v>
      </c>
      <c r="AA807" s="3" t="str">
        <f t="shared" si="890"/>
        <v>SLA+ZoD</v>
      </c>
      <c r="AD807" s="3" t="s">
        <v>48</v>
      </c>
      <c r="AE807" s="6">
        <v>44986</v>
      </c>
      <c r="AF807" s="3" t="s">
        <v>59</v>
      </c>
      <c r="AG807" s="3" t="s">
        <v>49</v>
      </c>
      <c r="AH807" s="3">
        <f>YEAR(SrcDB[[#This Row],[Datum_zverejnenia]])</f>
        <v>2022</v>
      </c>
      <c r="AI807" s="3" cm="1">
        <f t="array" ref="AI807">COUNT(_xlfn.UNIQUE(_xlfn._xlws.FILTER(SrcDB[ID],SrcDB[Objednavatel_ICO]=$H807)))</f>
        <v>7</v>
      </c>
      <c r="AJ807" s="3" cm="1">
        <f t="array" ref="AJ807">COUNT(_xlfn.UNIQUE(_xlfn._xlws.FILTER(SrcDB[ID],SrcDB[Dodavatel_ICO]=$K807)))</f>
        <v>1</v>
      </c>
      <c r="AK807" s="3">
        <f t="shared" si="859"/>
        <v>0</v>
      </c>
      <c r="AL807" s="3">
        <f t="shared" si="860"/>
        <v>0</v>
      </c>
      <c r="AM807" s="17" t="str">
        <f>IF(SrcDB[[#This Row],[Pocet zmluv objednavatela]]&gt;3,SrcDB[[#This Row],[Objednavatel]],"Ostatné")</f>
        <v>Ministerstvo investícií, regionálneho rozvoja a informatizácie Slovenskej republiky</v>
      </c>
      <c r="AN807" s="17" t="str">
        <f>IF(SrcDB[[#This Row],[Pocet zmluv dodavatela]]&gt;3,SrcDB[[#This Row],[Dodavatel]],"Ostatné")</f>
        <v>Ostatné</v>
      </c>
    </row>
    <row r="808" spans="1:40" x14ac:dyDescent="0.3">
      <c r="A808" s="2" t="s">
        <v>1026</v>
      </c>
      <c r="B808" s="2">
        <v>7201137</v>
      </c>
      <c r="C808" s="3" t="str">
        <f t="shared" si="853"/>
        <v>Áno</v>
      </c>
      <c r="D808" s="3" t="str">
        <f t="shared" si="854"/>
        <v>Áno</v>
      </c>
      <c r="E808" s="3" t="s">
        <v>49</v>
      </c>
      <c r="F808" s="3" t="s">
        <v>49</v>
      </c>
      <c r="G808" s="2" t="str">
        <f t="shared" si="855"/>
        <v>Stredné zmluvy</v>
      </c>
      <c r="H808" s="5">
        <v>50349287</v>
      </c>
      <c r="I808" s="2" t="s">
        <v>200</v>
      </c>
      <c r="J808" s="2" t="s">
        <v>1027</v>
      </c>
      <c r="K808" s="5">
        <v>35774720</v>
      </c>
      <c r="L808" s="2" t="s">
        <v>1028</v>
      </c>
      <c r="M808" s="2" t="s">
        <v>1029</v>
      </c>
      <c r="N808" s="6">
        <v>44902</v>
      </c>
      <c r="O808" s="4">
        <v>1229988</v>
      </c>
      <c r="P808" s="2">
        <v>2473554</v>
      </c>
      <c r="Q808" s="2" t="s">
        <v>1030</v>
      </c>
      <c r="R808" s="2" t="s">
        <v>1031</v>
      </c>
      <c r="S808" s="2" t="s">
        <v>56</v>
      </c>
      <c r="T808" s="2" t="s">
        <v>448</v>
      </c>
      <c r="U808" s="2" t="s">
        <v>449</v>
      </c>
      <c r="W808" s="4">
        <v>464.16666666666669</v>
      </c>
      <c r="X808" s="4">
        <v>557</v>
      </c>
      <c r="Y808" s="4">
        <f t="shared" ref="Y808" si="898">INDEX(InternalRates,MATCH($S808,InternalRates01,FALSE),2)</f>
        <v>278.98333333333335</v>
      </c>
      <c r="Z808" s="3" t="str">
        <f t="shared" si="889"/>
        <v>Nie</v>
      </c>
      <c r="AA808" s="3" t="str">
        <f t="shared" si="890"/>
        <v>SLA+ZoD</v>
      </c>
      <c r="AD808" s="3" t="s">
        <v>48</v>
      </c>
      <c r="AE808" s="6">
        <v>44986</v>
      </c>
      <c r="AF808" s="3" t="s">
        <v>59</v>
      </c>
      <c r="AG808" s="3" t="s">
        <v>49</v>
      </c>
      <c r="AH808" s="3">
        <f>YEAR(SrcDB[[#This Row],[Datum_zverejnenia]])</f>
        <v>2022</v>
      </c>
      <c r="AI808" s="3" cm="1">
        <f t="array" ref="AI808">COUNT(_xlfn.UNIQUE(_xlfn._xlws.FILTER(SrcDB[ID],SrcDB[Objednavatel_ICO]=$H808)))</f>
        <v>7</v>
      </c>
      <c r="AJ808" s="3" cm="1">
        <f t="array" ref="AJ808">COUNT(_xlfn.UNIQUE(_xlfn._xlws.FILTER(SrcDB[ID],SrcDB[Dodavatel_ICO]=$K808)))</f>
        <v>1</v>
      </c>
      <c r="AK808" s="3">
        <f t="shared" si="859"/>
        <v>0</v>
      </c>
      <c r="AL808" s="3">
        <f t="shared" si="860"/>
        <v>0</v>
      </c>
      <c r="AM808" s="17" t="str">
        <f>IF(SrcDB[[#This Row],[Pocet zmluv objednavatela]]&gt;3,SrcDB[[#This Row],[Objednavatel]],"Ostatné")</f>
        <v>Ministerstvo investícií, regionálneho rozvoja a informatizácie Slovenskej republiky</v>
      </c>
      <c r="AN808" s="17" t="str">
        <f>IF(SrcDB[[#This Row],[Pocet zmluv dodavatela]]&gt;3,SrcDB[[#This Row],[Dodavatel]],"Ostatné")</f>
        <v>Ostatné</v>
      </c>
    </row>
    <row r="809" spans="1:40" x14ac:dyDescent="0.3">
      <c r="A809" s="2" t="s">
        <v>1026</v>
      </c>
      <c r="B809" s="2">
        <v>7201137</v>
      </c>
      <c r="C809" s="3" t="str">
        <f t="shared" si="853"/>
        <v>Áno</v>
      </c>
      <c r="D809" s="3" t="str">
        <f t="shared" si="854"/>
        <v>Áno</v>
      </c>
      <c r="E809" s="3" t="s">
        <v>49</v>
      </c>
      <c r="F809" s="3" t="s">
        <v>49</v>
      </c>
      <c r="G809" s="2" t="str">
        <f t="shared" si="855"/>
        <v>Stredné zmluvy</v>
      </c>
      <c r="H809" s="5">
        <v>50349287</v>
      </c>
      <c r="I809" s="2" t="s">
        <v>200</v>
      </c>
      <c r="J809" s="2" t="s">
        <v>1027</v>
      </c>
      <c r="K809" s="5">
        <v>35774720</v>
      </c>
      <c r="L809" s="2" t="s">
        <v>1028</v>
      </c>
      <c r="M809" s="2" t="s">
        <v>1029</v>
      </c>
      <c r="N809" s="6">
        <v>44902</v>
      </c>
      <c r="O809" s="4">
        <v>1229988</v>
      </c>
      <c r="P809" s="2">
        <v>2473554</v>
      </c>
      <c r="Q809" s="2" t="s">
        <v>1030</v>
      </c>
      <c r="R809" s="2" t="s">
        <v>1031</v>
      </c>
      <c r="S809" s="2" t="s">
        <v>69</v>
      </c>
      <c r="T809" s="2" t="s">
        <v>70</v>
      </c>
      <c r="W809" s="4">
        <v>500</v>
      </c>
      <c r="X809" s="4">
        <v>600</v>
      </c>
      <c r="Y809" s="4">
        <f t="shared" ref="Y809" si="899">INDEX(InternalRates,MATCH($S809,InternalRates01,FALSE),2)</f>
        <v>278.98333333333335</v>
      </c>
      <c r="Z809" s="3" t="str">
        <f t="shared" si="889"/>
        <v>Nie</v>
      </c>
      <c r="AA809" s="3" t="str">
        <f t="shared" si="890"/>
        <v>SLA+ZoD</v>
      </c>
      <c r="AD809" s="3" t="s">
        <v>48</v>
      </c>
      <c r="AE809" s="6">
        <v>44986</v>
      </c>
      <c r="AF809" s="3" t="s">
        <v>59</v>
      </c>
      <c r="AG809" s="3" t="s">
        <v>49</v>
      </c>
      <c r="AH809" s="3">
        <f>YEAR(SrcDB[[#This Row],[Datum_zverejnenia]])</f>
        <v>2022</v>
      </c>
      <c r="AI809" s="3" cm="1">
        <f t="array" ref="AI809">COUNT(_xlfn.UNIQUE(_xlfn._xlws.FILTER(SrcDB[ID],SrcDB[Objednavatel_ICO]=$H809)))</f>
        <v>7</v>
      </c>
      <c r="AJ809" s="3" cm="1">
        <f t="array" ref="AJ809">COUNT(_xlfn.UNIQUE(_xlfn._xlws.FILTER(SrcDB[ID],SrcDB[Dodavatel_ICO]=$K809)))</f>
        <v>1</v>
      </c>
      <c r="AK809" s="3">
        <f t="shared" si="859"/>
        <v>0</v>
      </c>
      <c r="AL809" s="3">
        <f t="shared" si="860"/>
        <v>0</v>
      </c>
      <c r="AM809" s="17" t="str">
        <f>IF(SrcDB[[#This Row],[Pocet zmluv objednavatela]]&gt;3,SrcDB[[#This Row],[Objednavatel]],"Ostatné")</f>
        <v>Ministerstvo investícií, regionálneho rozvoja a informatizácie Slovenskej republiky</v>
      </c>
      <c r="AN809" s="17" t="str">
        <f>IF(SrcDB[[#This Row],[Pocet zmluv dodavatela]]&gt;3,SrcDB[[#This Row],[Dodavatel]],"Ostatné")</f>
        <v>Ostatné</v>
      </c>
    </row>
    <row r="810" spans="1:40" x14ac:dyDescent="0.3">
      <c r="A810" s="2" t="s">
        <v>1026</v>
      </c>
      <c r="B810" s="2">
        <v>7201137</v>
      </c>
      <c r="C810" s="3" t="str">
        <f t="shared" si="853"/>
        <v>Áno</v>
      </c>
      <c r="D810" s="3" t="str">
        <f t="shared" si="854"/>
        <v>Áno</v>
      </c>
      <c r="E810" s="3" t="s">
        <v>49</v>
      </c>
      <c r="F810" s="3" t="s">
        <v>49</v>
      </c>
      <c r="G810" s="2" t="str">
        <f t="shared" si="855"/>
        <v>Stredné zmluvy</v>
      </c>
      <c r="H810" s="5">
        <v>50349287</v>
      </c>
      <c r="I810" s="2" t="s">
        <v>200</v>
      </c>
      <c r="J810" s="2" t="s">
        <v>1027</v>
      </c>
      <c r="K810" s="5">
        <v>35774720</v>
      </c>
      <c r="L810" s="2" t="s">
        <v>1028</v>
      </c>
      <c r="M810" s="2" t="s">
        <v>1029</v>
      </c>
      <c r="N810" s="6">
        <v>44902</v>
      </c>
      <c r="O810" s="4">
        <v>1229988</v>
      </c>
      <c r="P810" s="2">
        <v>2473554</v>
      </c>
      <c r="Q810" s="2" t="s">
        <v>1030</v>
      </c>
      <c r="R810" s="2" t="s">
        <v>1031</v>
      </c>
      <c r="S810" s="2" t="s">
        <v>56</v>
      </c>
      <c r="T810" s="2" t="s">
        <v>522</v>
      </c>
      <c r="U810" s="2" t="s">
        <v>289</v>
      </c>
      <c r="W810" s="4">
        <v>464.16666666666669</v>
      </c>
      <c r="X810" s="4">
        <v>557</v>
      </c>
      <c r="Y810" s="4">
        <f t="shared" ref="Y810" si="900">INDEX(InternalRates,MATCH($S810,InternalRates01,FALSE),2)</f>
        <v>278.98333333333335</v>
      </c>
      <c r="Z810" s="3" t="str">
        <f t="shared" si="889"/>
        <v>Nie</v>
      </c>
      <c r="AA810" s="3" t="str">
        <f t="shared" si="890"/>
        <v>SLA+ZoD</v>
      </c>
      <c r="AD810" s="3" t="s">
        <v>48</v>
      </c>
      <c r="AE810" s="6">
        <v>44986</v>
      </c>
      <c r="AF810" s="3" t="s">
        <v>638</v>
      </c>
      <c r="AG810" s="3" t="s">
        <v>49</v>
      </c>
      <c r="AH810" s="3">
        <f>YEAR(SrcDB[[#This Row],[Datum_zverejnenia]])</f>
        <v>2022</v>
      </c>
      <c r="AI810" s="3" cm="1">
        <f t="array" ref="AI810">COUNT(_xlfn.UNIQUE(_xlfn._xlws.FILTER(SrcDB[ID],SrcDB[Objednavatel_ICO]=$H810)))</f>
        <v>7</v>
      </c>
      <c r="AJ810" s="3" cm="1">
        <f t="array" ref="AJ810">COUNT(_xlfn.UNIQUE(_xlfn._xlws.FILTER(SrcDB[ID],SrcDB[Dodavatel_ICO]=$K810)))</f>
        <v>1</v>
      </c>
      <c r="AK810" s="3">
        <f t="shared" si="859"/>
        <v>0</v>
      </c>
      <c r="AL810" s="3">
        <f t="shared" si="860"/>
        <v>0</v>
      </c>
      <c r="AM810" s="17" t="str">
        <f>IF(SrcDB[[#This Row],[Pocet zmluv objednavatela]]&gt;3,SrcDB[[#This Row],[Objednavatel]],"Ostatné")</f>
        <v>Ministerstvo investícií, regionálneho rozvoja a informatizácie Slovenskej republiky</v>
      </c>
      <c r="AN810" s="17" t="str">
        <f>IF(SrcDB[[#This Row],[Pocet zmluv dodavatela]]&gt;3,SrcDB[[#This Row],[Dodavatel]],"Ostatné")</f>
        <v>Ostatné</v>
      </c>
    </row>
    <row r="811" spans="1:40" x14ac:dyDescent="0.3">
      <c r="A811" s="2" t="s">
        <v>1026</v>
      </c>
      <c r="B811" s="2">
        <v>7201137</v>
      </c>
      <c r="C811" s="3" t="str">
        <f t="shared" si="853"/>
        <v>Áno</v>
      </c>
      <c r="D811" s="3" t="str">
        <f t="shared" si="854"/>
        <v>Áno</v>
      </c>
      <c r="E811" s="3" t="s">
        <v>49</v>
      </c>
      <c r="F811" s="3" t="s">
        <v>49</v>
      </c>
      <c r="G811" s="2" t="str">
        <f t="shared" si="855"/>
        <v>Stredné zmluvy</v>
      </c>
      <c r="H811" s="5">
        <v>50349287</v>
      </c>
      <c r="I811" s="2" t="s">
        <v>200</v>
      </c>
      <c r="J811" s="2" t="s">
        <v>1027</v>
      </c>
      <c r="K811" s="5">
        <v>35774720</v>
      </c>
      <c r="L811" s="2" t="s">
        <v>1028</v>
      </c>
      <c r="M811" s="2" t="s">
        <v>1029</v>
      </c>
      <c r="N811" s="6">
        <v>44902</v>
      </c>
      <c r="O811" s="4">
        <v>1229988</v>
      </c>
      <c r="P811" s="2">
        <v>2473554</v>
      </c>
      <c r="Q811" s="2" t="s">
        <v>1030</v>
      </c>
      <c r="R811" s="2" t="s">
        <v>1031</v>
      </c>
      <c r="S811" s="2" t="s">
        <v>56</v>
      </c>
      <c r="T811" s="2" t="s">
        <v>94</v>
      </c>
      <c r="U811" s="2" t="s">
        <v>95</v>
      </c>
      <c r="W811" s="4">
        <v>464.16666666666669</v>
      </c>
      <c r="X811" s="4">
        <v>557</v>
      </c>
      <c r="Y811" s="4">
        <f t="shared" ref="Y811" si="901">INDEX(InternalRates,MATCH($S811,InternalRates01,FALSE),2)</f>
        <v>278.98333333333335</v>
      </c>
      <c r="Z811" s="3" t="str">
        <f t="shared" si="889"/>
        <v>Nie</v>
      </c>
      <c r="AA811" s="3" t="str">
        <f t="shared" si="890"/>
        <v>SLA+ZoD</v>
      </c>
      <c r="AD811" s="3" t="s">
        <v>48</v>
      </c>
      <c r="AE811" s="6">
        <v>44986</v>
      </c>
      <c r="AF811" s="3" t="s">
        <v>59</v>
      </c>
      <c r="AG811" s="3" t="s">
        <v>49</v>
      </c>
      <c r="AH811" s="3">
        <f>YEAR(SrcDB[[#This Row],[Datum_zverejnenia]])</f>
        <v>2022</v>
      </c>
      <c r="AI811" s="3" cm="1">
        <f t="array" ref="AI811">COUNT(_xlfn.UNIQUE(_xlfn._xlws.FILTER(SrcDB[ID],SrcDB[Objednavatel_ICO]=$H811)))</f>
        <v>7</v>
      </c>
      <c r="AJ811" s="3" cm="1">
        <f t="array" ref="AJ811">COUNT(_xlfn.UNIQUE(_xlfn._xlws.FILTER(SrcDB[ID],SrcDB[Dodavatel_ICO]=$K811)))</f>
        <v>1</v>
      </c>
      <c r="AK811" s="3">
        <f t="shared" si="859"/>
        <v>0</v>
      </c>
      <c r="AL811" s="3">
        <f t="shared" si="860"/>
        <v>0</v>
      </c>
      <c r="AM811" s="17" t="str">
        <f>IF(SrcDB[[#This Row],[Pocet zmluv objednavatela]]&gt;3,SrcDB[[#This Row],[Objednavatel]],"Ostatné")</f>
        <v>Ministerstvo investícií, regionálneho rozvoja a informatizácie Slovenskej republiky</v>
      </c>
      <c r="AN811" s="17" t="str">
        <f>IF(SrcDB[[#This Row],[Pocet zmluv dodavatela]]&gt;3,SrcDB[[#This Row],[Dodavatel]],"Ostatné")</f>
        <v>Ostatné</v>
      </c>
    </row>
    <row r="812" spans="1:40" x14ac:dyDescent="0.3">
      <c r="A812" s="2" t="s">
        <v>1026</v>
      </c>
      <c r="B812" s="2">
        <v>7201137</v>
      </c>
      <c r="C812" s="3" t="str">
        <f t="shared" si="853"/>
        <v>Áno</v>
      </c>
      <c r="D812" s="3" t="str">
        <f t="shared" si="854"/>
        <v>Áno</v>
      </c>
      <c r="E812" s="3" t="s">
        <v>49</v>
      </c>
      <c r="F812" s="3" t="s">
        <v>49</v>
      </c>
      <c r="G812" s="2" t="str">
        <f t="shared" si="855"/>
        <v>Stredné zmluvy</v>
      </c>
      <c r="H812" s="5">
        <v>50349287</v>
      </c>
      <c r="I812" s="2" t="s">
        <v>200</v>
      </c>
      <c r="J812" s="2" t="s">
        <v>1027</v>
      </c>
      <c r="K812" s="5">
        <v>35774720</v>
      </c>
      <c r="L812" s="2" t="s">
        <v>1028</v>
      </c>
      <c r="M812" s="2" t="s">
        <v>1029</v>
      </c>
      <c r="N812" s="6">
        <v>44902.457372685189</v>
      </c>
      <c r="O812" s="4">
        <v>1229988</v>
      </c>
      <c r="P812" s="2">
        <v>2473554</v>
      </c>
      <c r="Q812" s="2" t="s">
        <v>1032</v>
      </c>
      <c r="R812" s="2" t="s">
        <v>1031</v>
      </c>
      <c r="S812" s="2" t="s">
        <v>73</v>
      </c>
      <c r="T812" s="2" t="s">
        <v>90</v>
      </c>
      <c r="W812" s="4">
        <v>420</v>
      </c>
      <c r="X812" s="4">
        <v>504</v>
      </c>
      <c r="Y812" s="4">
        <f t="shared" ref="Y812" si="902">INDEX(InternalRates,MATCH($S812,InternalRates01,FALSE),2)</f>
        <v>278.98333333333335</v>
      </c>
      <c r="Z812" s="3" t="str">
        <f t="shared" si="889"/>
        <v>Nie</v>
      </c>
      <c r="AA812" s="3" t="str">
        <f t="shared" si="890"/>
        <v>SLA+ZoD</v>
      </c>
      <c r="AB812" s="4">
        <v>632</v>
      </c>
      <c r="AC812" s="4">
        <v>126.4</v>
      </c>
      <c r="AD812" s="3" t="s">
        <v>49</v>
      </c>
      <c r="AE812" s="6">
        <v>45538</v>
      </c>
      <c r="AF812" s="3" t="s">
        <v>59</v>
      </c>
      <c r="AG812" s="3" t="s">
        <v>49</v>
      </c>
      <c r="AH812" s="3">
        <f>YEAR(SrcDB[[#This Row],[Datum_zverejnenia]])</f>
        <v>2022</v>
      </c>
      <c r="AI812" s="3" cm="1">
        <f t="array" ref="AI812">COUNT(_xlfn.UNIQUE(_xlfn._xlws.FILTER(SrcDB[ID],SrcDB[Objednavatel_ICO]=$H812)))</f>
        <v>7</v>
      </c>
      <c r="AJ812" s="3" cm="1">
        <f t="array" ref="AJ812">COUNT(_xlfn.UNIQUE(_xlfn._xlws.FILTER(SrcDB[ID],SrcDB[Dodavatel_ICO]=$K812)))</f>
        <v>1</v>
      </c>
      <c r="AK812" s="3">
        <f t="shared" si="859"/>
        <v>0</v>
      </c>
      <c r="AL812" s="3">
        <f t="shared" si="860"/>
        <v>0</v>
      </c>
      <c r="AM812" s="17" t="str">
        <f>IF(SrcDB[[#This Row],[Pocet zmluv objednavatela]]&gt;3,SrcDB[[#This Row],[Objednavatel]],"Ostatné")</f>
        <v>Ministerstvo investícií, regionálneho rozvoja a informatizácie Slovenskej republiky</v>
      </c>
      <c r="AN812" s="17" t="str">
        <f>IF(SrcDB[[#This Row],[Pocet zmluv dodavatela]]&gt;3,SrcDB[[#This Row],[Dodavatel]],"Ostatné")</f>
        <v>Ostatné</v>
      </c>
    </row>
    <row r="813" spans="1:40" x14ac:dyDescent="0.3">
      <c r="A813" s="2" t="s">
        <v>1026</v>
      </c>
      <c r="B813" s="2">
        <v>7201137</v>
      </c>
      <c r="C813" s="3" t="str">
        <f t="shared" si="853"/>
        <v>Áno</v>
      </c>
      <c r="D813" s="3" t="str">
        <f t="shared" si="854"/>
        <v>Áno</v>
      </c>
      <c r="E813" s="3" t="s">
        <v>49</v>
      </c>
      <c r="F813" s="3" t="s">
        <v>49</v>
      </c>
      <c r="G813" s="2" t="str">
        <f t="shared" si="855"/>
        <v>Stredné zmluvy</v>
      </c>
      <c r="H813" s="5">
        <v>50349287</v>
      </c>
      <c r="I813" s="2" t="s">
        <v>200</v>
      </c>
      <c r="J813" s="2" t="s">
        <v>1027</v>
      </c>
      <c r="K813" s="5">
        <v>35774720</v>
      </c>
      <c r="L813" s="2" t="s">
        <v>1028</v>
      </c>
      <c r="M813" s="2" t="s">
        <v>1029</v>
      </c>
      <c r="N813" s="6">
        <v>44902.457372685189</v>
      </c>
      <c r="O813" s="4">
        <v>1229988</v>
      </c>
      <c r="P813" s="2">
        <v>2473554</v>
      </c>
      <c r="Q813" s="2" t="s">
        <v>1032</v>
      </c>
      <c r="R813" s="2" t="s">
        <v>1031</v>
      </c>
      <c r="S813" s="2" t="s">
        <v>71</v>
      </c>
      <c r="T813" s="2" t="s">
        <v>196</v>
      </c>
      <c r="W813" s="4">
        <v>420</v>
      </c>
      <c r="X813" s="4">
        <v>504</v>
      </c>
      <c r="Y813" s="4">
        <f t="shared" ref="Y813" si="903">INDEX(InternalRates,MATCH($S813,InternalRates01,FALSE),2)</f>
        <v>354.0333333333333</v>
      </c>
      <c r="Z813" s="3" t="str">
        <f t="shared" si="889"/>
        <v>Nie</v>
      </c>
      <c r="AA813" s="3" t="str">
        <f t="shared" si="890"/>
        <v>SLA+ZoD</v>
      </c>
      <c r="AB813" s="4">
        <v>180</v>
      </c>
      <c r="AC813" s="4">
        <v>36</v>
      </c>
      <c r="AD813" s="3" t="s">
        <v>49</v>
      </c>
      <c r="AE813" s="6">
        <v>45538</v>
      </c>
      <c r="AF813" s="3" t="s">
        <v>59</v>
      </c>
      <c r="AG813" s="3" t="s">
        <v>49</v>
      </c>
      <c r="AH813" s="3">
        <f>YEAR(SrcDB[[#This Row],[Datum_zverejnenia]])</f>
        <v>2022</v>
      </c>
      <c r="AI813" s="3" cm="1">
        <f t="array" ref="AI813">COUNT(_xlfn.UNIQUE(_xlfn._xlws.FILTER(SrcDB[ID],SrcDB[Objednavatel_ICO]=$H813)))</f>
        <v>7</v>
      </c>
      <c r="AJ813" s="3" cm="1">
        <f t="array" ref="AJ813">COUNT(_xlfn.UNIQUE(_xlfn._xlws.FILTER(SrcDB[ID],SrcDB[Dodavatel_ICO]=$K813)))</f>
        <v>1</v>
      </c>
      <c r="AK813" s="3">
        <f t="shared" si="859"/>
        <v>0</v>
      </c>
      <c r="AL813" s="3">
        <f t="shared" si="860"/>
        <v>0</v>
      </c>
      <c r="AM813" s="17" t="str">
        <f>IF(SrcDB[[#This Row],[Pocet zmluv objednavatela]]&gt;3,SrcDB[[#This Row],[Objednavatel]],"Ostatné")</f>
        <v>Ministerstvo investícií, regionálneho rozvoja a informatizácie Slovenskej republiky</v>
      </c>
      <c r="AN813" s="17" t="str">
        <f>IF(SrcDB[[#This Row],[Pocet zmluv dodavatela]]&gt;3,SrcDB[[#This Row],[Dodavatel]],"Ostatné")</f>
        <v>Ostatné</v>
      </c>
    </row>
    <row r="814" spans="1:40" x14ac:dyDescent="0.3">
      <c r="A814" s="2" t="s">
        <v>1026</v>
      </c>
      <c r="B814" s="2">
        <v>7201137</v>
      </c>
      <c r="C814" s="3" t="str">
        <f t="shared" si="853"/>
        <v>Áno</v>
      </c>
      <c r="D814" s="3" t="str">
        <f t="shared" si="854"/>
        <v>Áno</v>
      </c>
      <c r="E814" s="3" t="s">
        <v>49</v>
      </c>
      <c r="F814" s="3" t="s">
        <v>49</v>
      </c>
      <c r="G814" s="2" t="str">
        <f t="shared" si="855"/>
        <v>Stredné zmluvy</v>
      </c>
      <c r="H814" s="5">
        <v>50349287</v>
      </c>
      <c r="I814" s="2" t="s">
        <v>200</v>
      </c>
      <c r="J814" s="2" t="s">
        <v>1027</v>
      </c>
      <c r="K814" s="5">
        <v>35774720</v>
      </c>
      <c r="L814" s="2" t="s">
        <v>1028</v>
      </c>
      <c r="M814" s="2" t="s">
        <v>1029</v>
      </c>
      <c r="N814" s="6">
        <v>44902.457372685189</v>
      </c>
      <c r="O814" s="4">
        <v>1229988</v>
      </c>
      <c r="P814" s="2">
        <v>2473554</v>
      </c>
      <c r="Q814" s="2" t="s">
        <v>1032</v>
      </c>
      <c r="R814" s="2" t="s">
        <v>1031</v>
      </c>
      <c r="S814" s="2" t="s">
        <v>77</v>
      </c>
      <c r="T814" s="2" t="s">
        <v>1033</v>
      </c>
      <c r="W814" s="4">
        <v>400</v>
      </c>
      <c r="X814" s="4">
        <v>480</v>
      </c>
      <c r="Y814" s="4">
        <f t="shared" ref="Y814" si="904">INDEX(InternalRates,MATCH($S814,InternalRates01,FALSE),2)</f>
        <v>278.98333333333335</v>
      </c>
      <c r="Z814" s="3" t="str">
        <f t="shared" si="889"/>
        <v>Nie</v>
      </c>
      <c r="AA814" s="3" t="str">
        <f t="shared" si="890"/>
        <v>SLA+ZoD</v>
      </c>
      <c r="AB814" s="4">
        <v>1314</v>
      </c>
      <c r="AC814" s="4">
        <v>262.8</v>
      </c>
      <c r="AD814" s="3" t="s">
        <v>49</v>
      </c>
      <c r="AE814" s="6">
        <v>45538</v>
      </c>
      <c r="AF814" s="3" t="s">
        <v>59</v>
      </c>
      <c r="AG814" s="3" t="s">
        <v>49</v>
      </c>
      <c r="AH814" s="3">
        <f>YEAR(SrcDB[[#This Row],[Datum_zverejnenia]])</f>
        <v>2022</v>
      </c>
      <c r="AI814" s="3" cm="1">
        <f t="array" ref="AI814">COUNT(_xlfn.UNIQUE(_xlfn._xlws.FILTER(SrcDB[ID],SrcDB[Objednavatel_ICO]=$H814)))</f>
        <v>7</v>
      </c>
      <c r="AJ814" s="3" cm="1">
        <f t="array" ref="AJ814">COUNT(_xlfn.UNIQUE(_xlfn._xlws.FILTER(SrcDB[ID],SrcDB[Dodavatel_ICO]=$K814)))</f>
        <v>1</v>
      </c>
      <c r="AK814" s="3">
        <f t="shared" si="859"/>
        <v>0</v>
      </c>
      <c r="AL814" s="3">
        <f t="shared" si="860"/>
        <v>0</v>
      </c>
      <c r="AM814" s="17" t="str">
        <f>IF(SrcDB[[#This Row],[Pocet zmluv objednavatela]]&gt;3,SrcDB[[#This Row],[Objednavatel]],"Ostatné")</f>
        <v>Ministerstvo investícií, regionálneho rozvoja a informatizácie Slovenskej republiky</v>
      </c>
      <c r="AN814" s="17" t="str">
        <f>IF(SrcDB[[#This Row],[Pocet zmluv dodavatela]]&gt;3,SrcDB[[#This Row],[Dodavatel]],"Ostatné")</f>
        <v>Ostatné</v>
      </c>
    </row>
    <row r="815" spans="1:40" x14ac:dyDescent="0.3">
      <c r="A815" s="2" t="s">
        <v>1026</v>
      </c>
      <c r="B815" s="2">
        <v>7201137</v>
      </c>
      <c r="C815" s="3" t="str">
        <f t="shared" si="853"/>
        <v>Áno</v>
      </c>
      <c r="D815" s="3" t="str">
        <f t="shared" si="854"/>
        <v>Áno</v>
      </c>
      <c r="E815" s="3" t="s">
        <v>49</v>
      </c>
      <c r="F815" s="3" t="s">
        <v>49</v>
      </c>
      <c r="G815" s="2" t="str">
        <f t="shared" si="855"/>
        <v>Stredné zmluvy</v>
      </c>
      <c r="H815" s="5">
        <v>50349287</v>
      </c>
      <c r="I815" s="2" t="s">
        <v>200</v>
      </c>
      <c r="J815" s="2" t="s">
        <v>1027</v>
      </c>
      <c r="K815" s="5">
        <v>35774720</v>
      </c>
      <c r="L815" s="2" t="s">
        <v>1028</v>
      </c>
      <c r="M815" s="2" t="s">
        <v>1029</v>
      </c>
      <c r="N815" s="6">
        <v>44902.457372685189</v>
      </c>
      <c r="O815" s="4">
        <v>1229988</v>
      </c>
      <c r="P815" s="2">
        <v>2473554</v>
      </c>
      <c r="Q815" s="2" t="s">
        <v>1032</v>
      </c>
      <c r="R815" s="2" t="s">
        <v>1031</v>
      </c>
      <c r="S815" s="2" t="s">
        <v>69</v>
      </c>
      <c r="T815" s="2" t="s">
        <v>285</v>
      </c>
      <c r="W815" s="4">
        <v>450</v>
      </c>
      <c r="X815" s="4">
        <v>540</v>
      </c>
      <c r="Y815" s="4">
        <f t="shared" ref="Y815" si="905">INDEX(InternalRates,MATCH($S815,InternalRates01,FALSE),2)</f>
        <v>278.98333333333335</v>
      </c>
      <c r="Z815" s="3" t="str">
        <f t="shared" si="889"/>
        <v>Nie</v>
      </c>
      <c r="AA815" s="3" t="str">
        <f t="shared" si="890"/>
        <v>SLA+ZoD</v>
      </c>
      <c r="AB815" s="4">
        <v>117</v>
      </c>
      <c r="AC815" s="4">
        <v>23.4</v>
      </c>
      <c r="AD815" s="3" t="s">
        <v>49</v>
      </c>
      <c r="AE815" s="6">
        <v>45538</v>
      </c>
      <c r="AF815" s="3" t="s">
        <v>59</v>
      </c>
      <c r="AG815" s="3" t="s">
        <v>49</v>
      </c>
      <c r="AH815" s="3">
        <f>YEAR(SrcDB[[#This Row],[Datum_zverejnenia]])</f>
        <v>2022</v>
      </c>
      <c r="AI815" s="3" cm="1">
        <f t="array" ref="AI815">COUNT(_xlfn.UNIQUE(_xlfn._xlws.FILTER(SrcDB[ID],SrcDB[Objednavatel_ICO]=$H815)))</f>
        <v>7</v>
      </c>
      <c r="AJ815" s="3" cm="1">
        <f t="array" ref="AJ815">COUNT(_xlfn.UNIQUE(_xlfn._xlws.FILTER(SrcDB[ID],SrcDB[Dodavatel_ICO]=$K815)))</f>
        <v>1</v>
      </c>
      <c r="AK815" s="3">
        <f t="shared" si="859"/>
        <v>0</v>
      </c>
      <c r="AL815" s="3">
        <f t="shared" si="860"/>
        <v>0</v>
      </c>
      <c r="AM815" s="17" t="str">
        <f>IF(SrcDB[[#This Row],[Pocet zmluv objednavatela]]&gt;3,SrcDB[[#This Row],[Objednavatel]],"Ostatné")</f>
        <v>Ministerstvo investícií, regionálneho rozvoja a informatizácie Slovenskej republiky</v>
      </c>
      <c r="AN815" s="17" t="str">
        <f>IF(SrcDB[[#This Row],[Pocet zmluv dodavatela]]&gt;3,SrcDB[[#This Row],[Dodavatel]],"Ostatné")</f>
        <v>Ostatné</v>
      </c>
    </row>
    <row r="816" spans="1:40" x14ac:dyDescent="0.3">
      <c r="A816" s="2" t="s">
        <v>1026</v>
      </c>
      <c r="B816" s="2">
        <v>7201137</v>
      </c>
      <c r="C816" s="3" t="str">
        <f t="shared" si="853"/>
        <v>Áno</v>
      </c>
      <c r="D816" s="3" t="str">
        <f t="shared" si="854"/>
        <v>Áno</v>
      </c>
      <c r="E816" s="3" t="s">
        <v>49</v>
      </c>
      <c r="F816" s="3" t="s">
        <v>49</v>
      </c>
      <c r="G816" s="2" t="str">
        <f t="shared" si="855"/>
        <v>Stredné zmluvy</v>
      </c>
      <c r="H816" s="5">
        <v>50349287</v>
      </c>
      <c r="I816" s="2" t="s">
        <v>200</v>
      </c>
      <c r="J816" s="2" t="s">
        <v>1027</v>
      </c>
      <c r="K816" s="5">
        <v>35774720</v>
      </c>
      <c r="L816" s="2" t="s">
        <v>1028</v>
      </c>
      <c r="M816" s="2" t="s">
        <v>1029</v>
      </c>
      <c r="N816" s="6">
        <v>44902.457372685189</v>
      </c>
      <c r="O816" s="4">
        <v>1229988</v>
      </c>
      <c r="P816" s="2">
        <v>2473554</v>
      </c>
      <c r="Q816" s="2" t="s">
        <v>1032</v>
      </c>
      <c r="R816" s="2" t="s">
        <v>1031</v>
      </c>
      <c r="S816" s="2" t="s">
        <v>56</v>
      </c>
      <c r="T816" s="2" t="s">
        <v>1034</v>
      </c>
      <c r="U816" s="2" t="s">
        <v>289</v>
      </c>
      <c r="W816" s="4">
        <v>420</v>
      </c>
      <c r="X816" s="4">
        <v>504</v>
      </c>
      <c r="Y816" s="4">
        <f t="shared" ref="Y816" si="906">INDEX(InternalRates,MATCH($S816,InternalRates01,FALSE),2)</f>
        <v>278.98333333333335</v>
      </c>
      <c r="Z816" s="3" t="str">
        <f t="shared" si="889"/>
        <v>Nie</v>
      </c>
      <c r="AA816" s="3" t="str">
        <f t="shared" si="890"/>
        <v>SLA+ZoD</v>
      </c>
      <c r="AB816" s="4">
        <v>51</v>
      </c>
      <c r="AC816" s="4">
        <v>10.199999999999999</v>
      </c>
      <c r="AD816" s="3" t="s">
        <v>49</v>
      </c>
      <c r="AE816" s="6">
        <v>45538</v>
      </c>
      <c r="AF816" s="3" t="s">
        <v>638</v>
      </c>
      <c r="AG816" s="3" t="s">
        <v>49</v>
      </c>
      <c r="AH816" s="3">
        <f>YEAR(SrcDB[[#This Row],[Datum_zverejnenia]])</f>
        <v>2022</v>
      </c>
      <c r="AI816" s="3" cm="1">
        <f t="array" ref="AI816">COUNT(_xlfn.UNIQUE(_xlfn._xlws.FILTER(SrcDB[ID],SrcDB[Objednavatel_ICO]=$H816)))</f>
        <v>7</v>
      </c>
      <c r="AJ816" s="3" cm="1">
        <f t="array" ref="AJ816">COUNT(_xlfn.UNIQUE(_xlfn._xlws.FILTER(SrcDB[ID],SrcDB[Dodavatel_ICO]=$K816)))</f>
        <v>1</v>
      </c>
      <c r="AK816" s="3">
        <f t="shared" si="859"/>
        <v>0</v>
      </c>
      <c r="AL816" s="3">
        <f t="shared" si="860"/>
        <v>0</v>
      </c>
      <c r="AM816" s="17" t="str">
        <f>IF(SrcDB[[#This Row],[Pocet zmluv objednavatela]]&gt;3,SrcDB[[#This Row],[Objednavatel]],"Ostatné")</f>
        <v>Ministerstvo investícií, regionálneho rozvoja a informatizácie Slovenskej republiky</v>
      </c>
      <c r="AN816" s="17" t="str">
        <f>IF(SrcDB[[#This Row],[Pocet zmluv dodavatela]]&gt;3,SrcDB[[#This Row],[Dodavatel]],"Ostatné")</f>
        <v>Ostatné</v>
      </c>
    </row>
    <row r="817" spans="1:40" x14ac:dyDescent="0.3">
      <c r="A817" s="2" t="s">
        <v>1026</v>
      </c>
      <c r="B817" s="2">
        <v>7201137</v>
      </c>
      <c r="C817" s="3" t="str">
        <f t="shared" si="853"/>
        <v>Áno</v>
      </c>
      <c r="D817" s="3" t="str">
        <f t="shared" si="854"/>
        <v>Áno</v>
      </c>
      <c r="E817" s="3" t="s">
        <v>49</v>
      </c>
      <c r="F817" s="3" t="s">
        <v>49</v>
      </c>
      <c r="G817" s="2" t="str">
        <f t="shared" si="855"/>
        <v>Stredné zmluvy</v>
      </c>
      <c r="H817" s="5">
        <v>50349287</v>
      </c>
      <c r="I817" s="2" t="s">
        <v>200</v>
      </c>
      <c r="J817" s="2" t="s">
        <v>1027</v>
      </c>
      <c r="K817" s="5">
        <v>35774720</v>
      </c>
      <c r="L817" s="2" t="s">
        <v>1028</v>
      </c>
      <c r="M817" s="2" t="s">
        <v>1029</v>
      </c>
      <c r="N817" s="6">
        <v>44902.457372685189</v>
      </c>
      <c r="O817" s="4">
        <v>1229988</v>
      </c>
      <c r="P817" s="2">
        <v>2473554</v>
      </c>
      <c r="Q817" s="2" t="s">
        <v>1032</v>
      </c>
      <c r="R817" s="2" t="s">
        <v>1031</v>
      </c>
      <c r="S817" s="2" t="s">
        <v>56</v>
      </c>
      <c r="T817" s="2" t="s">
        <v>198</v>
      </c>
      <c r="U817" s="2" t="s">
        <v>95</v>
      </c>
      <c r="W817" s="4">
        <v>420</v>
      </c>
      <c r="X817" s="4">
        <v>504</v>
      </c>
      <c r="Y817" s="4">
        <f t="shared" ref="Y817" si="907">INDEX(InternalRates,MATCH($S817,InternalRates01,FALSE),2)</f>
        <v>278.98333333333335</v>
      </c>
      <c r="Z817" s="3" t="str">
        <f t="shared" si="889"/>
        <v>Nie</v>
      </c>
      <c r="AA817" s="3" t="str">
        <f t="shared" si="890"/>
        <v>SLA+ZoD</v>
      </c>
      <c r="AB817" s="4">
        <v>128</v>
      </c>
      <c r="AC817" s="4">
        <v>25.6</v>
      </c>
      <c r="AD817" s="3" t="s">
        <v>49</v>
      </c>
      <c r="AE817" s="6">
        <v>45538</v>
      </c>
      <c r="AF817" s="3" t="s">
        <v>59</v>
      </c>
      <c r="AG817" s="3" t="s">
        <v>49</v>
      </c>
      <c r="AH817" s="3">
        <f>YEAR(SrcDB[[#This Row],[Datum_zverejnenia]])</f>
        <v>2022</v>
      </c>
      <c r="AI817" s="3" cm="1">
        <f t="array" ref="AI817">COUNT(_xlfn.UNIQUE(_xlfn._xlws.FILTER(SrcDB[ID],SrcDB[Objednavatel_ICO]=$H817)))</f>
        <v>7</v>
      </c>
      <c r="AJ817" s="3" cm="1">
        <f t="array" ref="AJ817">COUNT(_xlfn.UNIQUE(_xlfn._xlws.FILTER(SrcDB[ID],SrcDB[Dodavatel_ICO]=$K817)))</f>
        <v>1</v>
      </c>
      <c r="AK817" s="3">
        <f t="shared" si="859"/>
        <v>0</v>
      </c>
      <c r="AL817" s="3">
        <f t="shared" si="860"/>
        <v>0</v>
      </c>
      <c r="AM817" s="17" t="str">
        <f>IF(SrcDB[[#This Row],[Pocet zmluv objednavatela]]&gt;3,SrcDB[[#This Row],[Objednavatel]],"Ostatné")</f>
        <v>Ministerstvo investícií, regionálneho rozvoja a informatizácie Slovenskej republiky</v>
      </c>
      <c r="AN817" s="17" t="str">
        <f>IF(SrcDB[[#This Row],[Pocet zmluv dodavatela]]&gt;3,SrcDB[[#This Row],[Dodavatel]],"Ostatné")</f>
        <v>Ostatné</v>
      </c>
    </row>
    <row r="818" spans="1:40" x14ac:dyDescent="0.3">
      <c r="A818" s="2" t="s">
        <v>1026</v>
      </c>
      <c r="B818" s="2">
        <v>7201137</v>
      </c>
      <c r="C818" s="3" t="str">
        <f t="shared" si="853"/>
        <v>Áno</v>
      </c>
      <c r="D818" s="3" t="str">
        <f t="shared" si="854"/>
        <v>Áno</v>
      </c>
      <c r="E818" s="3" t="s">
        <v>49</v>
      </c>
      <c r="F818" s="3" t="s">
        <v>49</v>
      </c>
      <c r="G818" s="2" t="str">
        <f t="shared" si="855"/>
        <v>Stredné zmluvy</v>
      </c>
      <c r="H818" s="5">
        <v>50349287</v>
      </c>
      <c r="I818" s="2" t="s">
        <v>200</v>
      </c>
      <c r="J818" s="2" t="s">
        <v>1027</v>
      </c>
      <c r="K818" s="5">
        <v>35774720</v>
      </c>
      <c r="L818" s="2" t="s">
        <v>1028</v>
      </c>
      <c r="M818" s="2" t="s">
        <v>1029</v>
      </c>
      <c r="N818" s="6">
        <v>44902.457372685189</v>
      </c>
      <c r="O818" s="4">
        <v>1229988</v>
      </c>
      <c r="P818" s="2">
        <v>2473554</v>
      </c>
      <c r="Q818" s="2" t="s">
        <v>1032</v>
      </c>
      <c r="R818" s="2" t="s">
        <v>1031</v>
      </c>
      <c r="S818" s="2" t="s">
        <v>79</v>
      </c>
      <c r="T818" s="2" t="s">
        <v>93</v>
      </c>
      <c r="W818" s="4">
        <v>450</v>
      </c>
      <c r="X818" s="4">
        <v>540</v>
      </c>
      <c r="Y818" s="4">
        <f t="shared" ref="Y818" si="908">INDEX(InternalRates,MATCH($S818,InternalRates01,FALSE),2)</f>
        <v>278.98333333333335</v>
      </c>
      <c r="Z818" s="3" t="str">
        <f t="shared" si="889"/>
        <v>Nie</v>
      </c>
      <c r="AA818" s="3" t="str">
        <f t="shared" si="890"/>
        <v>SLA+ZoD</v>
      </c>
      <c r="AB818" s="4">
        <v>361</v>
      </c>
      <c r="AC818" s="4">
        <v>72.2</v>
      </c>
      <c r="AD818" s="3" t="s">
        <v>49</v>
      </c>
      <c r="AE818" s="6">
        <v>45538</v>
      </c>
      <c r="AF818" s="3" t="s">
        <v>59</v>
      </c>
      <c r="AG818" s="3" t="s">
        <v>49</v>
      </c>
      <c r="AH818" s="3">
        <f>YEAR(SrcDB[[#This Row],[Datum_zverejnenia]])</f>
        <v>2022</v>
      </c>
      <c r="AI818" s="3" cm="1">
        <f t="array" ref="AI818">COUNT(_xlfn.UNIQUE(_xlfn._xlws.FILTER(SrcDB[ID],SrcDB[Objednavatel_ICO]=$H818)))</f>
        <v>7</v>
      </c>
      <c r="AJ818" s="3" cm="1">
        <f t="array" ref="AJ818">COUNT(_xlfn.UNIQUE(_xlfn._xlws.FILTER(SrcDB[ID],SrcDB[Dodavatel_ICO]=$K818)))</f>
        <v>1</v>
      </c>
      <c r="AK818" s="3">
        <f t="shared" si="859"/>
        <v>0</v>
      </c>
      <c r="AL818" s="3">
        <f t="shared" si="860"/>
        <v>0</v>
      </c>
      <c r="AM818" s="17" t="str">
        <f>IF(SrcDB[[#This Row],[Pocet zmluv objednavatela]]&gt;3,SrcDB[[#This Row],[Objednavatel]],"Ostatné")</f>
        <v>Ministerstvo investícií, regionálneho rozvoja a informatizácie Slovenskej republiky</v>
      </c>
      <c r="AN818" s="17" t="str">
        <f>IF(SrcDB[[#This Row],[Pocet zmluv dodavatela]]&gt;3,SrcDB[[#This Row],[Dodavatel]],"Ostatné")</f>
        <v>Ostatné</v>
      </c>
    </row>
    <row r="819" spans="1:40" x14ac:dyDescent="0.3">
      <c r="A819" s="2" t="s">
        <v>1026</v>
      </c>
      <c r="B819" s="2">
        <v>7201137</v>
      </c>
      <c r="C819" s="3" t="str">
        <f t="shared" si="853"/>
        <v>Áno</v>
      </c>
      <c r="D819" s="3" t="str">
        <f t="shared" si="854"/>
        <v>Áno</v>
      </c>
      <c r="E819" s="3" t="s">
        <v>49</v>
      </c>
      <c r="F819" s="3" t="s">
        <v>49</v>
      </c>
      <c r="G819" s="2" t="str">
        <f t="shared" si="855"/>
        <v>Stredné zmluvy</v>
      </c>
      <c r="H819" s="5">
        <v>50349287</v>
      </c>
      <c r="I819" s="2" t="s">
        <v>200</v>
      </c>
      <c r="J819" s="2" t="s">
        <v>1027</v>
      </c>
      <c r="K819" s="5">
        <v>35774720</v>
      </c>
      <c r="L819" s="2" t="s">
        <v>1028</v>
      </c>
      <c r="M819" s="2" t="s">
        <v>1029</v>
      </c>
      <c r="N819" s="6">
        <v>44902.457372685189</v>
      </c>
      <c r="O819" s="4">
        <v>1229988</v>
      </c>
      <c r="P819" s="2">
        <v>2473554</v>
      </c>
      <c r="Q819" s="2" t="s">
        <v>1032</v>
      </c>
      <c r="R819" s="2" t="s">
        <v>1031</v>
      </c>
      <c r="S819" s="2" t="s">
        <v>56</v>
      </c>
      <c r="T819" s="2" t="s">
        <v>448</v>
      </c>
      <c r="U819" s="2" t="s">
        <v>449</v>
      </c>
      <c r="W819" s="4">
        <v>400</v>
      </c>
      <c r="X819" s="4">
        <v>480</v>
      </c>
      <c r="Y819" s="4">
        <f t="shared" ref="Y819" si="909">INDEX(InternalRates,MATCH($S819,InternalRates01,FALSE),2)</f>
        <v>278.98333333333335</v>
      </c>
      <c r="Z819" s="3" t="str">
        <f t="shared" si="889"/>
        <v>Nie</v>
      </c>
      <c r="AA819" s="3" t="str">
        <f t="shared" si="890"/>
        <v>SLA+ZoD</v>
      </c>
      <c r="AB819" s="4">
        <v>70</v>
      </c>
      <c r="AC819" s="4">
        <v>14</v>
      </c>
      <c r="AD819" s="3" t="s">
        <v>49</v>
      </c>
      <c r="AE819" s="6">
        <v>45538</v>
      </c>
      <c r="AF819" s="3" t="s">
        <v>59</v>
      </c>
      <c r="AG819" s="3" t="s">
        <v>49</v>
      </c>
      <c r="AH819" s="3">
        <f>YEAR(SrcDB[[#This Row],[Datum_zverejnenia]])</f>
        <v>2022</v>
      </c>
      <c r="AI819" s="3" cm="1">
        <f t="array" ref="AI819">COUNT(_xlfn.UNIQUE(_xlfn._xlws.FILTER(SrcDB[ID],SrcDB[Objednavatel_ICO]=$H819)))</f>
        <v>7</v>
      </c>
      <c r="AJ819" s="3" cm="1">
        <f t="array" ref="AJ819">COUNT(_xlfn.UNIQUE(_xlfn._xlws.FILTER(SrcDB[ID],SrcDB[Dodavatel_ICO]=$K819)))</f>
        <v>1</v>
      </c>
      <c r="AK819" s="3">
        <f t="shared" si="859"/>
        <v>0</v>
      </c>
      <c r="AL819" s="3">
        <f t="shared" si="860"/>
        <v>0</v>
      </c>
      <c r="AM819" s="17" t="str">
        <f>IF(SrcDB[[#This Row],[Pocet zmluv objednavatela]]&gt;3,SrcDB[[#This Row],[Objednavatel]],"Ostatné")</f>
        <v>Ministerstvo investícií, regionálneho rozvoja a informatizácie Slovenskej republiky</v>
      </c>
      <c r="AN819" s="17" t="str">
        <f>IF(SrcDB[[#This Row],[Pocet zmluv dodavatela]]&gt;3,SrcDB[[#This Row],[Dodavatel]],"Ostatné")</f>
        <v>Ostatné</v>
      </c>
    </row>
    <row r="820" spans="1:40" x14ac:dyDescent="0.3">
      <c r="A820" s="2" t="s">
        <v>1026</v>
      </c>
      <c r="B820" s="2">
        <v>7201137</v>
      </c>
      <c r="C820" s="3" t="str">
        <f t="shared" si="853"/>
        <v>Áno</v>
      </c>
      <c r="D820" s="3" t="str">
        <f t="shared" si="854"/>
        <v>Áno</v>
      </c>
      <c r="E820" s="3" t="s">
        <v>49</v>
      </c>
      <c r="F820" s="3" t="s">
        <v>49</v>
      </c>
      <c r="G820" s="2" t="str">
        <f t="shared" si="855"/>
        <v>Stredné zmluvy</v>
      </c>
      <c r="H820" s="5">
        <v>50349287</v>
      </c>
      <c r="I820" s="2" t="s">
        <v>200</v>
      </c>
      <c r="J820" s="2" t="s">
        <v>1027</v>
      </c>
      <c r="K820" s="5">
        <v>35774720</v>
      </c>
      <c r="L820" s="2" t="s">
        <v>1028</v>
      </c>
      <c r="M820" s="2" t="s">
        <v>1029</v>
      </c>
      <c r="N820" s="6">
        <v>44902.457372685189</v>
      </c>
      <c r="O820" s="4">
        <v>1229988</v>
      </c>
      <c r="P820" s="2">
        <v>2473554</v>
      </c>
      <c r="Q820" s="2" t="s">
        <v>1032</v>
      </c>
      <c r="R820" s="2" t="s">
        <v>1031</v>
      </c>
      <c r="S820" s="2" t="s">
        <v>56</v>
      </c>
      <c r="T820" s="2" t="s">
        <v>1035</v>
      </c>
      <c r="U820" s="2" t="s">
        <v>208</v>
      </c>
      <c r="W820" s="4">
        <v>420</v>
      </c>
      <c r="X820" s="4">
        <v>504</v>
      </c>
      <c r="Y820" s="4">
        <f t="shared" ref="Y820" si="910">INDEX(InternalRates,MATCH($S820,InternalRates01,FALSE),2)</f>
        <v>278.98333333333335</v>
      </c>
      <c r="Z820" s="3" t="str">
        <f t="shared" si="889"/>
        <v>Nie</v>
      </c>
      <c r="AA820" s="3" t="str">
        <f t="shared" si="890"/>
        <v>SLA+ZoD</v>
      </c>
      <c r="AB820" s="4">
        <v>30</v>
      </c>
      <c r="AC820" s="4">
        <v>6</v>
      </c>
      <c r="AD820" s="3" t="s">
        <v>49</v>
      </c>
      <c r="AE820" s="6">
        <v>45538</v>
      </c>
      <c r="AF820" s="3" t="s">
        <v>59</v>
      </c>
      <c r="AG820" s="3" t="s">
        <v>49</v>
      </c>
      <c r="AH820" s="3">
        <f>YEAR(SrcDB[[#This Row],[Datum_zverejnenia]])</f>
        <v>2022</v>
      </c>
      <c r="AI820" s="3" cm="1">
        <f t="array" ref="AI820">COUNT(_xlfn.UNIQUE(_xlfn._xlws.FILTER(SrcDB[ID],SrcDB[Objednavatel_ICO]=$H820)))</f>
        <v>7</v>
      </c>
      <c r="AJ820" s="3" cm="1">
        <f t="array" ref="AJ820">COUNT(_xlfn.UNIQUE(_xlfn._xlws.FILTER(SrcDB[ID],SrcDB[Dodavatel_ICO]=$K820)))</f>
        <v>1</v>
      </c>
      <c r="AK820" s="3">
        <f t="shared" si="859"/>
        <v>0</v>
      </c>
      <c r="AL820" s="3">
        <f t="shared" si="860"/>
        <v>0</v>
      </c>
      <c r="AM820" s="17" t="str">
        <f>IF(SrcDB[[#This Row],[Pocet zmluv objednavatela]]&gt;3,SrcDB[[#This Row],[Objednavatel]],"Ostatné")</f>
        <v>Ministerstvo investícií, regionálneho rozvoja a informatizácie Slovenskej republiky</v>
      </c>
      <c r="AN820" s="17" t="str">
        <f>IF(SrcDB[[#This Row],[Pocet zmluv dodavatela]]&gt;3,SrcDB[[#This Row],[Dodavatel]],"Ostatné")</f>
        <v>Ostatné</v>
      </c>
    </row>
    <row r="821" spans="1:40" x14ac:dyDescent="0.3">
      <c r="A821" s="2" t="s">
        <v>1026</v>
      </c>
      <c r="B821" s="2">
        <v>7201137</v>
      </c>
      <c r="C821" s="3" t="str">
        <f t="shared" si="853"/>
        <v>Áno</v>
      </c>
      <c r="D821" s="3" t="str">
        <f t="shared" si="854"/>
        <v>Áno</v>
      </c>
      <c r="E821" s="3" t="s">
        <v>49</v>
      </c>
      <c r="F821" s="3" t="s">
        <v>49</v>
      </c>
      <c r="G821" s="2" t="str">
        <f t="shared" si="855"/>
        <v>Stredné zmluvy</v>
      </c>
      <c r="H821" s="5">
        <v>50349287</v>
      </c>
      <c r="I821" s="2" t="s">
        <v>200</v>
      </c>
      <c r="J821" s="2" t="s">
        <v>1027</v>
      </c>
      <c r="K821" s="5">
        <v>35774720</v>
      </c>
      <c r="L821" s="2" t="s">
        <v>1028</v>
      </c>
      <c r="M821" s="2" t="s">
        <v>1029</v>
      </c>
      <c r="N821" s="6">
        <v>44902.457372685189</v>
      </c>
      <c r="O821" s="4">
        <v>1229988</v>
      </c>
      <c r="P821" s="2">
        <v>2473554</v>
      </c>
      <c r="Q821" s="2" t="s">
        <v>1032</v>
      </c>
      <c r="R821" s="2" t="s">
        <v>1031</v>
      </c>
      <c r="S821" s="2" t="s">
        <v>56</v>
      </c>
      <c r="T821" s="2" t="s">
        <v>1036</v>
      </c>
      <c r="U821" s="2" t="s">
        <v>58</v>
      </c>
      <c r="W821" s="4">
        <v>400</v>
      </c>
      <c r="X821" s="4">
        <v>480</v>
      </c>
      <c r="Y821" s="4">
        <f t="shared" ref="Y821" si="911">INDEX(InternalRates,MATCH($S821,InternalRates01,FALSE),2)</f>
        <v>278.98333333333335</v>
      </c>
      <c r="Z821" s="3" t="str">
        <f t="shared" si="889"/>
        <v>Nie</v>
      </c>
      <c r="AA821" s="3" t="str">
        <f t="shared" si="890"/>
        <v>SLA+ZoD</v>
      </c>
      <c r="AB821" s="4">
        <v>50</v>
      </c>
      <c r="AC821" s="4">
        <v>10</v>
      </c>
      <c r="AD821" s="3" t="s">
        <v>49</v>
      </c>
      <c r="AE821" s="6">
        <v>45538</v>
      </c>
      <c r="AF821" s="3" t="s">
        <v>59</v>
      </c>
      <c r="AG821" s="3" t="s">
        <v>49</v>
      </c>
      <c r="AH821" s="3">
        <f>YEAR(SrcDB[[#This Row],[Datum_zverejnenia]])</f>
        <v>2022</v>
      </c>
      <c r="AI821" s="3" cm="1">
        <f t="array" ref="AI821">COUNT(_xlfn.UNIQUE(_xlfn._xlws.FILTER(SrcDB[ID],SrcDB[Objednavatel_ICO]=$H821)))</f>
        <v>7</v>
      </c>
      <c r="AJ821" s="3" cm="1">
        <f t="array" ref="AJ821">COUNT(_xlfn.UNIQUE(_xlfn._xlws.FILTER(SrcDB[ID],SrcDB[Dodavatel_ICO]=$K821)))</f>
        <v>1</v>
      </c>
      <c r="AK821" s="3">
        <f t="shared" si="859"/>
        <v>0</v>
      </c>
      <c r="AL821" s="3">
        <f t="shared" si="860"/>
        <v>0</v>
      </c>
      <c r="AM821" s="17" t="str">
        <f>IF(SrcDB[[#This Row],[Pocet zmluv objednavatela]]&gt;3,SrcDB[[#This Row],[Objednavatel]],"Ostatné")</f>
        <v>Ministerstvo investícií, regionálneho rozvoja a informatizácie Slovenskej republiky</v>
      </c>
      <c r="AN821" s="17" t="str">
        <f>IF(SrcDB[[#This Row],[Pocet zmluv dodavatela]]&gt;3,SrcDB[[#This Row],[Dodavatel]],"Ostatné")</f>
        <v>Ostatné</v>
      </c>
    </row>
    <row r="822" spans="1:40" x14ac:dyDescent="0.3">
      <c r="A822" s="2" t="s">
        <v>1026</v>
      </c>
      <c r="B822" s="2">
        <v>7201137</v>
      </c>
      <c r="C822" s="3" t="str">
        <f t="shared" si="853"/>
        <v>Áno</v>
      </c>
      <c r="D822" s="3" t="str">
        <f t="shared" si="854"/>
        <v>Áno</v>
      </c>
      <c r="E822" s="3" t="s">
        <v>49</v>
      </c>
      <c r="F822" s="3" t="s">
        <v>49</v>
      </c>
      <c r="G822" s="2" t="str">
        <f t="shared" si="855"/>
        <v>Stredné zmluvy</v>
      </c>
      <c r="H822" s="5">
        <v>50349287</v>
      </c>
      <c r="I822" s="2" t="s">
        <v>200</v>
      </c>
      <c r="J822" s="2" t="s">
        <v>1027</v>
      </c>
      <c r="K822" s="5">
        <v>35774720</v>
      </c>
      <c r="L822" s="2" t="s">
        <v>1028</v>
      </c>
      <c r="M822" s="2" t="s">
        <v>1029</v>
      </c>
      <c r="N822" s="6">
        <v>44902.457372685189</v>
      </c>
      <c r="O822" s="4">
        <v>1229988</v>
      </c>
      <c r="P822" s="2">
        <v>2473554</v>
      </c>
      <c r="Q822" s="2" t="s">
        <v>1032</v>
      </c>
      <c r="R822" s="2" t="s">
        <v>1031</v>
      </c>
      <c r="S822" s="2" t="s">
        <v>102</v>
      </c>
      <c r="T822" s="2" t="s">
        <v>1037</v>
      </c>
      <c r="W822" s="4">
        <v>420</v>
      </c>
      <c r="X822" s="4">
        <v>504</v>
      </c>
      <c r="Y822" s="4">
        <f t="shared" ref="Y822" si="912">INDEX(InternalRates,MATCH($S822,InternalRates01,FALSE),2)</f>
        <v>278.98333333333335</v>
      </c>
      <c r="Z822" s="3" t="str">
        <f t="shared" si="889"/>
        <v>Nie</v>
      </c>
      <c r="AA822" s="3" t="str">
        <f t="shared" si="890"/>
        <v>SLA+ZoD</v>
      </c>
      <c r="AB822" s="4">
        <v>28</v>
      </c>
      <c r="AC822" s="4">
        <v>5.6</v>
      </c>
      <c r="AD822" s="3" t="s">
        <v>49</v>
      </c>
      <c r="AE822" s="6">
        <v>45538</v>
      </c>
      <c r="AF822" s="3" t="s">
        <v>59</v>
      </c>
      <c r="AG822" s="3" t="s">
        <v>49</v>
      </c>
      <c r="AH822" s="3">
        <f>YEAR(SrcDB[[#This Row],[Datum_zverejnenia]])</f>
        <v>2022</v>
      </c>
      <c r="AI822" s="3" cm="1">
        <f t="array" ref="AI822">COUNT(_xlfn.UNIQUE(_xlfn._xlws.FILTER(SrcDB[ID],SrcDB[Objednavatel_ICO]=$H822)))</f>
        <v>7</v>
      </c>
      <c r="AJ822" s="3" cm="1">
        <f t="array" ref="AJ822">COUNT(_xlfn.UNIQUE(_xlfn._xlws.FILTER(SrcDB[ID],SrcDB[Dodavatel_ICO]=$K822)))</f>
        <v>1</v>
      </c>
      <c r="AK822" s="3">
        <f t="shared" si="859"/>
        <v>0</v>
      </c>
      <c r="AL822" s="3">
        <f t="shared" si="860"/>
        <v>0</v>
      </c>
      <c r="AM822" s="17" t="str">
        <f>IF(SrcDB[[#This Row],[Pocet zmluv objednavatela]]&gt;3,SrcDB[[#This Row],[Objednavatel]],"Ostatné")</f>
        <v>Ministerstvo investícií, regionálneho rozvoja a informatizácie Slovenskej republiky</v>
      </c>
      <c r="AN822" s="17" t="str">
        <f>IF(SrcDB[[#This Row],[Pocet zmluv dodavatela]]&gt;3,SrcDB[[#This Row],[Dodavatel]],"Ostatné")</f>
        <v>Ostatné</v>
      </c>
    </row>
    <row r="823" spans="1:40" x14ac:dyDescent="0.3">
      <c r="A823" s="2" t="s">
        <v>1026</v>
      </c>
      <c r="B823" s="2">
        <v>7201137</v>
      </c>
      <c r="C823" s="3" t="str">
        <f t="shared" si="853"/>
        <v>Áno</v>
      </c>
      <c r="D823" s="3" t="str">
        <f t="shared" si="854"/>
        <v>Áno</v>
      </c>
      <c r="E823" s="3" t="s">
        <v>49</v>
      </c>
      <c r="F823" s="3" t="s">
        <v>49</v>
      </c>
      <c r="G823" s="2" t="str">
        <f t="shared" si="855"/>
        <v>Stredné zmluvy</v>
      </c>
      <c r="H823" s="5">
        <v>50349287</v>
      </c>
      <c r="I823" s="2" t="s">
        <v>200</v>
      </c>
      <c r="J823" s="2" t="s">
        <v>1027</v>
      </c>
      <c r="K823" s="5">
        <v>35774720</v>
      </c>
      <c r="L823" s="2" t="s">
        <v>1028</v>
      </c>
      <c r="M823" s="2" t="s">
        <v>1029</v>
      </c>
      <c r="N823" s="6">
        <v>44902.457372685189</v>
      </c>
      <c r="O823" s="4">
        <v>1229988</v>
      </c>
      <c r="P823" s="2">
        <v>2473554</v>
      </c>
      <c r="Q823" s="2" t="s">
        <v>1032</v>
      </c>
      <c r="R823" s="2" t="s">
        <v>1031</v>
      </c>
      <c r="S823" s="2" t="s">
        <v>98</v>
      </c>
      <c r="T823" s="2" t="s">
        <v>98</v>
      </c>
      <c r="W823" s="4">
        <v>400</v>
      </c>
      <c r="X823" s="4">
        <v>480</v>
      </c>
      <c r="Y823" s="4">
        <f t="shared" ref="Y823" si="913">INDEX(InternalRates,MATCH($S823,InternalRates01,FALSE),2)</f>
        <v>278.98333333333335</v>
      </c>
      <c r="Z823" s="3" t="str">
        <f t="shared" si="889"/>
        <v>Nie</v>
      </c>
      <c r="AA823" s="3" t="str">
        <f t="shared" si="890"/>
        <v>SLA+ZoD</v>
      </c>
      <c r="AB823" s="4">
        <v>22</v>
      </c>
      <c r="AC823" s="4">
        <v>4.4000000000000004</v>
      </c>
      <c r="AD823" s="3" t="s">
        <v>49</v>
      </c>
      <c r="AE823" s="6">
        <v>45538</v>
      </c>
      <c r="AF823" s="3" t="s">
        <v>59</v>
      </c>
      <c r="AG823" s="3" t="s">
        <v>49</v>
      </c>
      <c r="AH823" s="3">
        <f>YEAR(SrcDB[[#This Row],[Datum_zverejnenia]])</f>
        <v>2022</v>
      </c>
      <c r="AI823" s="3" cm="1">
        <f t="array" ref="AI823">COUNT(_xlfn.UNIQUE(_xlfn._xlws.FILTER(SrcDB[ID],SrcDB[Objednavatel_ICO]=$H823)))</f>
        <v>7</v>
      </c>
      <c r="AJ823" s="3" cm="1">
        <f t="array" ref="AJ823">COUNT(_xlfn.UNIQUE(_xlfn._xlws.FILTER(SrcDB[ID],SrcDB[Dodavatel_ICO]=$K823)))</f>
        <v>1</v>
      </c>
      <c r="AK823" s="3">
        <f t="shared" si="859"/>
        <v>0</v>
      </c>
      <c r="AL823" s="3">
        <f t="shared" si="860"/>
        <v>0</v>
      </c>
      <c r="AM823" s="17" t="str">
        <f>IF(SrcDB[[#This Row],[Pocet zmluv objednavatela]]&gt;3,SrcDB[[#This Row],[Objednavatel]],"Ostatné")</f>
        <v>Ministerstvo investícií, regionálneho rozvoja a informatizácie Slovenskej republiky</v>
      </c>
      <c r="AN823" s="17" t="str">
        <f>IF(SrcDB[[#This Row],[Pocet zmluv dodavatela]]&gt;3,SrcDB[[#This Row],[Dodavatel]],"Ostatné")</f>
        <v>Ostatné</v>
      </c>
    </row>
    <row r="824" spans="1:40" x14ac:dyDescent="0.3">
      <c r="A824" s="2" t="s">
        <v>1038</v>
      </c>
      <c r="B824" s="2">
        <v>7202796</v>
      </c>
      <c r="C824" s="3" t="str">
        <f t="shared" si="853"/>
        <v>Nie</v>
      </c>
      <c r="D824" s="3" t="str">
        <f t="shared" si="854"/>
        <v>Áno</v>
      </c>
      <c r="E824" s="3" t="s">
        <v>48</v>
      </c>
      <c r="F824" s="3" t="s">
        <v>49</v>
      </c>
      <c r="G824" s="2" t="str">
        <f t="shared" si="855"/>
        <v>Malé zmluvy</v>
      </c>
      <c r="H824" s="5">
        <v>35778458</v>
      </c>
      <c r="I824" s="2" t="s">
        <v>1039</v>
      </c>
      <c r="J824" s="2" t="s">
        <v>1040</v>
      </c>
      <c r="K824" s="5">
        <v>31354882</v>
      </c>
      <c r="L824" s="2" t="s">
        <v>1041</v>
      </c>
      <c r="M824" s="2" t="s">
        <v>1042</v>
      </c>
      <c r="N824" s="6">
        <v>44902.589988425927</v>
      </c>
      <c r="O824" s="4">
        <v>237492</v>
      </c>
      <c r="P824" s="2">
        <v>114573</v>
      </c>
      <c r="Q824" s="2" t="s">
        <v>1043</v>
      </c>
      <c r="R824" s="2" t="s">
        <v>1044</v>
      </c>
      <c r="S824" s="2" t="s">
        <v>123</v>
      </c>
      <c r="V824" s="2" t="s">
        <v>58</v>
      </c>
      <c r="W824" s="4">
        <v>360</v>
      </c>
      <c r="X824" s="4">
        <v>432</v>
      </c>
      <c r="Y824" s="4">
        <f t="shared" ref="Y824" si="914">INDEX(InternalRates,MATCH($S824,InternalRates01,FALSE),2)</f>
        <v>231.85833333333335</v>
      </c>
      <c r="Z824" s="3" t="str">
        <f t="shared" si="889"/>
        <v>Nie</v>
      </c>
      <c r="AA824" s="3" t="str">
        <f t="shared" si="890"/>
        <v>SLA</v>
      </c>
      <c r="AD824" s="3" t="s">
        <v>48</v>
      </c>
      <c r="AE824" s="6">
        <v>44991</v>
      </c>
      <c r="AF824" s="3" t="s">
        <v>59</v>
      </c>
      <c r="AG824" s="3" t="s">
        <v>60</v>
      </c>
      <c r="AH824" s="3">
        <f>YEAR(SrcDB[[#This Row],[Datum_zverejnenia]])</f>
        <v>2022</v>
      </c>
      <c r="AI824" s="3" cm="1">
        <f t="array" ref="AI824">COUNT(_xlfn.UNIQUE(_xlfn._xlws.FILTER(SrcDB[ID],SrcDB[Objednavatel_ICO]=$H824)))</f>
        <v>3</v>
      </c>
      <c r="AJ824" s="3" cm="1">
        <f t="array" ref="AJ824">COUNT(_xlfn.UNIQUE(_xlfn._xlws.FILTER(SrcDB[ID],SrcDB[Dodavatel_ICO]=$K824)))</f>
        <v>1</v>
      </c>
      <c r="AK824" s="3">
        <f t="shared" si="859"/>
        <v>1</v>
      </c>
      <c r="AL824" s="3">
        <f t="shared" si="860"/>
        <v>1</v>
      </c>
      <c r="AM824" s="17" t="str">
        <f>IF(SrcDB[[#This Row],[Pocet zmluv objednavatela]]&gt;3,SrcDB[[#This Row],[Objednavatel]],"Ostatné")</f>
        <v>Ostatné</v>
      </c>
      <c r="AN824" s="17" t="str">
        <f>IF(SrcDB[[#This Row],[Pocet zmluv dodavatela]]&gt;3,SrcDB[[#This Row],[Dodavatel]],"Ostatné")</f>
        <v>Ostatné</v>
      </c>
    </row>
    <row r="825" spans="1:40" x14ac:dyDescent="0.3">
      <c r="A825" s="2" t="s">
        <v>1038</v>
      </c>
      <c r="B825" s="2">
        <v>7202796</v>
      </c>
      <c r="C825" s="3" t="str">
        <f t="shared" si="853"/>
        <v>Nie</v>
      </c>
      <c r="D825" s="3" t="str">
        <f t="shared" si="854"/>
        <v>Áno</v>
      </c>
      <c r="E825" s="3" t="s">
        <v>48</v>
      </c>
      <c r="F825" s="3" t="s">
        <v>49</v>
      </c>
      <c r="G825" s="2" t="str">
        <f t="shared" si="855"/>
        <v>Malé zmluvy</v>
      </c>
      <c r="H825" s="5">
        <v>35778458</v>
      </c>
      <c r="I825" s="2" t="s">
        <v>1039</v>
      </c>
      <c r="J825" s="2" t="s">
        <v>1040</v>
      </c>
      <c r="K825" s="5">
        <v>31354882</v>
      </c>
      <c r="L825" s="2" t="s">
        <v>1041</v>
      </c>
      <c r="M825" s="2" t="s">
        <v>1042</v>
      </c>
      <c r="N825" s="6">
        <v>44902.589988425927</v>
      </c>
      <c r="O825" s="4">
        <v>237492</v>
      </c>
      <c r="P825" s="2">
        <v>114573</v>
      </c>
      <c r="Q825" s="2" t="s">
        <v>1043</v>
      </c>
      <c r="R825" s="2" t="s">
        <v>1044</v>
      </c>
      <c r="S825" s="2" t="s">
        <v>77</v>
      </c>
      <c r="W825" s="4">
        <v>360</v>
      </c>
      <c r="X825" s="4">
        <v>432</v>
      </c>
      <c r="Y825" s="4">
        <f t="shared" ref="Y825" si="915">INDEX(InternalRates,MATCH($S825,InternalRates01,FALSE),2)</f>
        <v>278.98333333333335</v>
      </c>
      <c r="Z825" s="3" t="str">
        <f t="shared" si="889"/>
        <v>Nie</v>
      </c>
      <c r="AA825" s="3" t="str">
        <f t="shared" si="890"/>
        <v>SLA</v>
      </c>
      <c r="AD825" s="3" t="s">
        <v>48</v>
      </c>
      <c r="AE825" s="6">
        <v>44991</v>
      </c>
      <c r="AF825" s="3" t="s">
        <v>59</v>
      </c>
      <c r="AG825" s="3" t="s">
        <v>60</v>
      </c>
      <c r="AH825" s="3">
        <f>YEAR(SrcDB[[#This Row],[Datum_zverejnenia]])</f>
        <v>2022</v>
      </c>
      <c r="AI825" s="3" cm="1">
        <f t="array" ref="AI825">COUNT(_xlfn.UNIQUE(_xlfn._xlws.FILTER(SrcDB[ID],SrcDB[Objednavatel_ICO]=$H825)))</f>
        <v>3</v>
      </c>
      <c r="AJ825" s="3" cm="1">
        <f t="array" ref="AJ825">COUNT(_xlfn.UNIQUE(_xlfn._xlws.FILTER(SrcDB[ID],SrcDB[Dodavatel_ICO]=$K825)))</f>
        <v>1</v>
      </c>
      <c r="AK825" s="3">
        <f t="shared" si="859"/>
        <v>0</v>
      </c>
      <c r="AL825" s="3">
        <f t="shared" si="860"/>
        <v>0</v>
      </c>
      <c r="AM825" s="17" t="str">
        <f>IF(SrcDB[[#This Row],[Pocet zmluv objednavatela]]&gt;3,SrcDB[[#This Row],[Objednavatel]],"Ostatné")</f>
        <v>Ostatné</v>
      </c>
      <c r="AN825" s="17" t="str">
        <f>IF(SrcDB[[#This Row],[Pocet zmluv dodavatela]]&gt;3,SrcDB[[#This Row],[Dodavatel]],"Ostatné")</f>
        <v>Ostatné</v>
      </c>
    </row>
    <row r="826" spans="1:40" x14ac:dyDescent="0.3">
      <c r="A826" s="2" t="s">
        <v>1038</v>
      </c>
      <c r="B826" s="2">
        <v>7202796</v>
      </c>
      <c r="C826" s="3" t="str">
        <f t="shared" si="853"/>
        <v>Nie</v>
      </c>
      <c r="D826" s="3" t="str">
        <f t="shared" si="854"/>
        <v>Áno</v>
      </c>
      <c r="E826" s="3" t="s">
        <v>48</v>
      </c>
      <c r="F826" s="3" t="s">
        <v>49</v>
      </c>
      <c r="G826" s="2" t="str">
        <f t="shared" si="855"/>
        <v>Malé zmluvy</v>
      </c>
      <c r="H826" s="5">
        <v>35778458</v>
      </c>
      <c r="I826" s="2" t="s">
        <v>1039</v>
      </c>
      <c r="J826" s="2" t="s">
        <v>1040</v>
      </c>
      <c r="K826" s="5">
        <v>31354882</v>
      </c>
      <c r="L826" s="2" t="s">
        <v>1041</v>
      </c>
      <c r="M826" s="2" t="s">
        <v>1042</v>
      </c>
      <c r="N826" s="6">
        <v>44902.589988425927</v>
      </c>
      <c r="O826" s="4">
        <v>237492</v>
      </c>
      <c r="P826" s="2">
        <v>114573</v>
      </c>
      <c r="Q826" s="2" t="s">
        <v>1043</v>
      </c>
      <c r="R826" s="2" t="s">
        <v>1044</v>
      </c>
      <c r="S826" s="2" t="s">
        <v>162</v>
      </c>
      <c r="W826" s="4">
        <v>480</v>
      </c>
      <c r="X826" s="4">
        <v>576</v>
      </c>
      <c r="Y826" s="4">
        <f t="shared" ref="Y826" si="916">INDEX(InternalRates,MATCH($S826,InternalRates01,FALSE),2)</f>
        <v>231.85833333333335</v>
      </c>
      <c r="Z826" s="3" t="str">
        <f t="shared" si="889"/>
        <v>Nie</v>
      </c>
      <c r="AA826" s="3" t="str">
        <f t="shared" si="890"/>
        <v>SLA</v>
      </c>
      <c r="AD826" s="3" t="s">
        <v>48</v>
      </c>
      <c r="AE826" s="6">
        <v>44991</v>
      </c>
      <c r="AF826" s="3" t="s">
        <v>59</v>
      </c>
      <c r="AG826" s="3" t="s">
        <v>60</v>
      </c>
      <c r="AH826" s="3">
        <f>YEAR(SrcDB[[#This Row],[Datum_zverejnenia]])</f>
        <v>2022</v>
      </c>
      <c r="AI826" s="3" cm="1">
        <f t="array" ref="AI826">COUNT(_xlfn.UNIQUE(_xlfn._xlws.FILTER(SrcDB[ID],SrcDB[Objednavatel_ICO]=$H826)))</f>
        <v>3</v>
      </c>
      <c r="AJ826" s="3" cm="1">
        <f t="array" ref="AJ826">COUNT(_xlfn.UNIQUE(_xlfn._xlws.FILTER(SrcDB[ID],SrcDB[Dodavatel_ICO]=$K826)))</f>
        <v>1</v>
      </c>
      <c r="AK826" s="3">
        <f t="shared" si="859"/>
        <v>0</v>
      </c>
      <c r="AL826" s="3">
        <f t="shared" si="860"/>
        <v>0</v>
      </c>
      <c r="AM826" s="17" t="str">
        <f>IF(SrcDB[[#This Row],[Pocet zmluv objednavatela]]&gt;3,SrcDB[[#This Row],[Objednavatel]],"Ostatné")</f>
        <v>Ostatné</v>
      </c>
      <c r="AN826" s="17" t="str">
        <f>IF(SrcDB[[#This Row],[Pocet zmluv dodavatela]]&gt;3,SrcDB[[#This Row],[Dodavatel]],"Ostatné")</f>
        <v>Ostatné</v>
      </c>
    </row>
    <row r="827" spans="1:40" x14ac:dyDescent="0.3">
      <c r="A827" s="2" t="s">
        <v>1038</v>
      </c>
      <c r="B827" s="2">
        <v>7202796</v>
      </c>
      <c r="C827" s="3" t="str">
        <f t="shared" si="853"/>
        <v>Nie</v>
      </c>
      <c r="D827" s="3" t="str">
        <f t="shared" si="854"/>
        <v>Áno</v>
      </c>
      <c r="E827" s="3" t="s">
        <v>48</v>
      </c>
      <c r="F827" s="3" t="s">
        <v>49</v>
      </c>
      <c r="G827" s="2" t="str">
        <f t="shared" si="855"/>
        <v>Malé zmluvy</v>
      </c>
      <c r="H827" s="5">
        <v>35778458</v>
      </c>
      <c r="I827" s="2" t="s">
        <v>1039</v>
      </c>
      <c r="J827" s="2" t="s">
        <v>1040</v>
      </c>
      <c r="K827" s="5">
        <v>31354882</v>
      </c>
      <c r="L827" s="2" t="s">
        <v>1041</v>
      </c>
      <c r="M827" s="2" t="s">
        <v>1042</v>
      </c>
      <c r="N827" s="6">
        <v>44902.589988425927</v>
      </c>
      <c r="O827" s="4">
        <v>237492</v>
      </c>
      <c r="P827" s="2">
        <v>114573</v>
      </c>
      <c r="Q827" s="2" t="s">
        <v>1043</v>
      </c>
      <c r="R827" s="2" t="s">
        <v>1044</v>
      </c>
      <c r="S827" s="2" t="s">
        <v>73</v>
      </c>
      <c r="W827" s="4">
        <v>480</v>
      </c>
      <c r="X827" s="4">
        <v>576</v>
      </c>
      <c r="Y827" s="4">
        <f t="shared" ref="Y827" si="917">INDEX(InternalRates,MATCH($S827,InternalRates01,FALSE),2)</f>
        <v>278.98333333333335</v>
      </c>
      <c r="Z827" s="3" t="str">
        <f t="shared" si="889"/>
        <v>Nie</v>
      </c>
      <c r="AA827" s="3" t="str">
        <f t="shared" si="890"/>
        <v>SLA</v>
      </c>
      <c r="AD827" s="3" t="s">
        <v>48</v>
      </c>
      <c r="AE827" s="6">
        <v>44991</v>
      </c>
      <c r="AF827" s="3" t="s">
        <v>59</v>
      </c>
      <c r="AG827" s="3" t="s">
        <v>60</v>
      </c>
      <c r="AH827" s="3">
        <f>YEAR(SrcDB[[#This Row],[Datum_zverejnenia]])</f>
        <v>2022</v>
      </c>
      <c r="AI827" s="3" cm="1">
        <f t="array" ref="AI827">COUNT(_xlfn.UNIQUE(_xlfn._xlws.FILTER(SrcDB[ID],SrcDB[Objednavatel_ICO]=$H827)))</f>
        <v>3</v>
      </c>
      <c r="AJ827" s="3" cm="1">
        <f t="array" ref="AJ827">COUNT(_xlfn.UNIQUE(_xlfn._xlws.FILTER(SrcDB[ID],SrcDB[Dodavatel_ICO]=$K827)))</f>
        <v>1</v>
      </c>
      <c r="AK827" s="3">
        <f t="shared" si="859"/>
        <v>0</v>
      </c>
      <c r="AL827" s="3">
        <f t="shared" si="860"/>
        <v>0</v>
      </c>
      <c r="AM827" s="17" t="str">
        <f>IF(SrcDB[[#This Row],[Pocet zmluv objednavatela]]&gt;3,SrcDB[[#This Row],[Objednavatel]],"Ostatné")</f>
        <v>Ostatné</v>
      </c>
      <c r="AN827" s="17" t="str">
        <f>IF(SrcDB[[#This Row],[Pocet zmluv dodavatela]]&gt;3,SrcDB[[#This Row],[Dodavatel]],"Ostatné")</f>
        <v>Ostatné</v>
      </c>
    </row>
    <row r="828" spans="1:40" x14ac:dyDescent="0.3">
      <c r="A828" s="2" t="s">
        <v>1038</v>
      </c>
      <c r="B828" s="2">
        <v>7202796</v>
      </c>
      <c r="C828" s="3" t="str">
        <f t="shared" si="853"/>
        <v>Nie</v>
      </c>
      <c r="D828" s="3" t="str">
        <f t="shared" si="854"/>
        <v>Áno</v>
      </c>
      <c r="E828" s="3" t="s">
        <v>48</v>
      </c>
      <c r="F828" s="3" t="s">
        <v>49</v>
      </c>
      <c r="G828" s="2" t="str">
        <f t="shared" si="855"/>
        <v>Malé zmluvy</v>
      </c>
      <c r="H828" s="5">
        <v>35778458</v>
      </c>
      <c r="I828" s="2" t="s">
        <v>1039</v>
      </c>
      <c r="J828" s="2" t="s">
        <v>1040</v>
      </c>
      <c r="K828" s="5">
        <v>31354882</v>
      </c>
      <c r="L828" s="2" t="s">
        <v>1041</v>
      </c>
      <c r="M828" s="2" t="s">
        <v>1042</v>
      </c>
      <c r="N828" s="6">
        <v>44902.589988425927</v>
      </c>
      <c r="O828" s="4">
        <v>237492</v>
      </c>
      <c r="P828" s="2">
        <v>114573</v>
      </c>
      <c r="Q828" s="2" t="s">
        <v>1043</v>
      </c>
      <c r="R828" s="2" t="s">
        <v>1044</v>
      </c>
      <c r="S828" s="2" t="s">
        <v>71</v>
      </c>
      <c r="W828" s="4">
        <v>600</v>
      </c>
      <c r="X828" s="4">
        <v>720</v>
      </c>
      <c r="Y828" s="4">
        <f t="shared" ref="Y828" si="918">INDEX(InternalRates,MATCH($S828,InternalRates01,FALSE),2)</f>
        <v>354.0333333333333</v>
      </c>
      <c r="Z828" s="3" t="str">
        <f t="shared" si="889"/>
        <v>Nie</v>
      </c>
      <c r="AA828" s="3" t="str">
        <f t="shared" si="890"/>
        <v>SLA</v>
      </c>
      <c r="AD828" s="3" t="s">
        <v>48</v>
      </c>
      <c r="AE828" s="6">
        <v>44991</v>
      </c>
      <c r="AF828" s="3" t="s">
        <v>59</v>
      </c>
      <c r="AG828" s="3" t="s">
        <v>60</v>
      </c>
      <c r="AH828" s="3">
        <f>YEAR(SrcDB[[#This Row],[Datum_zverejnenia]])</f>
        <v>2022</v>
      </c>
      <c r="AI828" s="3" cm="1">
        <f t="array" ref="AI828">COUNT(_xlfn.UNIQUE(_xlfn._xlws.FILTER(SrcDB[ID],SrcDB[Objednavatel_ICO]=$H828)))</f>
        <v>3</v>
      </c>
      <c r="AJ828" s="3" cm="1">
        <f t="array" ref="AJ828">COUNT(_xlfn.UNIQUE(_xlfn._xlws.FILTER(SrcDB[ID],SrcDB[Dodavatel_ICO]=$K828)))</f>
        <v>1</v>
      </c>
      <c r="AK828" s="3">
        <f t="shared" si="859"/>
        <v>0</v>
      </c>
      <c r="AL828" s="3">
        <f t="shared" si="860"/>
        <v>0</v>
      </c>
      <c r="AM828" s="17" t="str">
        <f>IF(SrcDB[[#This Row],[Pocet zmluv objednavatela]]&gt;3,SrcDB[[#This Row],[Objednavatel]],"Ostatné")</f>
        <v>Ostatné</v>
      </c>
      <c r="AN828" s="17" t="str">
        <f>IF(SrcDB[[#This Row],[Pocet zmluv dodavatela]]&gt;3,SrcDB[[#This Row],[Dodavatel]],"Ostatné")</f>
        <v>Ostatné</v>
      </c>
    </row>
    <row r="829" spans="1:40" x14ac:dyDescent="0.3">
      <c r="A829" s="2" t="s">
        <v>1038</v>
      </c>
      <c r="B829" s="2">
        <v>7202796</v>
      </c>
      <c r="C829" s="3" t="str">
        <f t="shared" si="853"/>
        <v>Nie</v>
      </c>
      <c r="D829" s="3" t="str">
        <f t="shared" si="854"/>
        <v>Áno</v>
      </c>
      <c r="E829" s="3" t="s">
        <v>48</v>
      </c>
      <c r="F829" s="3" t="s">
        <v>49</v>
      </c>
      <c r="G829" s="2" t="str">
        <f t="shared" si="855"/>
        <v>Malé zmluvy</v>
      </c>
      <c r="H829" s="5">
        <v>35778458</v>
      </c>
      <c r="I829" s="2" t="s">
        <v>1039</v>
      </c>
      <c r="J829" s="2" t="s">
        <v>1040</v>
      </c>
      <c r="K829" s="5">
        <v>31354882</v>
      </c>
      <c r="L829" s="2" t="s">
        <v>1041</v>
      </c>
      <c r="M829" s="2" t="s">
        <v>1042</v>
      </c>
      <c r="N829" s="6">
        <v>44902.589988425927</v>
      </c>
      <c r="O829" s="4">
        <v>237492</v>
      </c>
      <c r="P829" s="2">
        <v>114573</v>
      </c>
      <c r="Q829" s="2" t="s">
        <v>1043</v>
      </c>
      <c r="R829" s="2" t="s">
        <v>1044</v>
      </c>
      <c r="S829" s="2" t="s">
        <v>69</v>
      </c>
      <c r="T829" s="2" t="s">
        <v>70</v>
      </c>
      <c r="W829" s="4">
        <v>600</v>
      </c>
      <c r="X829" s="4">
        <v>720</v>
      </c>
      <c r="Y829" s="4">
        <f t="shared" ref="Y829" si="919">INDEX(InternalRates,MATCH($S829,InternalRates01,FALSE),2)</f>
        <v>278.98333333333335</v>
      </c>
      <c r="Z829" s="3" t="str">
        <f t="shared" si="889"/>
        <v>Nie</v>
      </c>
      <c r="AA829" s="3" t="str">
        <f t="shared" si="890"/>
        <v>SLA</v>
      </c>
      <c r="AD829" s="3" t="s">
        <v>48</v>
      </c>
      <c r="AE829" s="6">
        <v>44991</v>
      </c>
      <c r="AF829" s="3" t="s">
        <v>59</v>
      </c>
      <c r="AG829" s="3" t="s">
        <v>60</v>
      </c>
      <c r="AH829" s="3">
        <f>YEAR(SrcDB[[#This Row],[Datum_zverejnenia]])</f>
        <v>2022</v>
      </c>
      <c r="AI829" s="3" cm="1">
        <f t="array" ref="AI829">COUNT(_xlfn.UNIQUE(_xlfn._xlws.FILTER(SrcDB[ID],SrcDB[Objednavatel_ICO]=$H829)))</f>
        <v>3</v>
      </c>
      <c r="AJ829" s="3" cm="1">
        <f t="array" ref="AJ829">COUNT(_xlfn.UNIQUE(_xlfn._xlws.FILTER(SrcDB[ID],SrcDB[Dodavatel_ICO]=$K829)))</f>
        <v>1</v>
      </c>
      <c r="AK829" s="3">
        <f t="shared" si="859"/>
        <v>0</v>
      </c>
      <c r="AL829" s="3">
        <f t="shared" si="860"/>
        <v>0</v>
      </c>
      <c r="AM829" s="17" t="str">
        <f>IF(SrcDB[[#This Row],[Pocet zmluv objednavatela]]&gt;3,SrcDB[[#This Row],[Objednavatel]],"Ostatné")</f>
        <v>Ostatné</v>
      </c>
      <c r="AN829" s="17" t="str">
        <f>IF(SrcDB[[#This Row],[Pocet zmluv dodavatela]]&gt;3,SrcDB[[#This Row],[Dodavatel]],"Ostatné")</f>
        <v>Ostatné</v>
      </c>
    </row>
    <row r="830" spans="1:40" x14ac:dyDescent="0.3">
      <c r="A830" s="2" t="s">
        <v>523</v>
      </c>
      <c r="B830" s="2">
        <v>7238029</v>
      </c>
      <c r="C830" s="3" t="str">
        <f t="shared" si="853"/>
        <v>Nejasné</v>
      </c>
      <c r="D830" s="3" t="str">
        <f t="shared" si="854"/>
        <v>Nejasné</v>
      </c>
      <c r="E830" s="3" t="s">
        <v>48</v>
      </c>
      <c r="F830" s="3" t="s">
        <v>49</v>
      </c>
      <c r="G830" s="2" t="str">
        <f t="shared" si="855"/>
        <v>Malé zmluvy</v>
      </c>
      <c r="H830" s="5">
        <v>30807484</v>
      </c>
      <c r="I830" s="2" t="s">
        <v>50</v>
      </c>
      <c r="J830" s="2" t="s">
        <v>51</v>
      </c>
      <c r="K830" s="5">
        <v>35785306</v>
      </c>
      <c r="L830" s="2" t="s">
        <v>118</v>
      </c>
      <c r="M830" s="2" t="s">
        <v>604</v>
      </c>
      <c r="N830" s="6">
        <v>44909.995011574072</v>
      </c>
      <c r="O830" s="4">
        <v>253699.20000000001</v>
      </c>
      <c r="P830" s="2">
        <v>114493</v>
      </c>
      <c r="Q830" s="2" t="s">
        <v>1045</v>
      </c>
      <c r="R830" s="2" t="s">
        <v>1046</v>
      </c>
      <c r="S830" s="2" t="s">
        <v>183</v>
      </c>
      <c r="T830" s="2" t="s">
        <v>183</v>
      </c>
      <c r="W830" s="4">
        <v>585</v>
      </c>
      <c r="X830" s="4">
        <v>702</v>
      </c>
      <c r="Y830" s="4">
        <f t="shared" ref="Y830" si="920">INDEX(InternalRates,MATCH($S830,InternalRates01,FALSE),2)</f>
        <v>278.98333333333335</v>
      </c>
      <c r="Z830" s="3" t="str">
        <f t="shared" si="889"/>
        <v>Nie</v>
      </c>
      <c r="AA830" s="3" t="str">
        <f t="shared" si="890"/>
        <v>SLA</v>
      </c>
      <c r="AB830" s="4">
        <v>300</v>
      </c>
      <c r="AC830" s="4">
        <v>600</v>
      </c>
      <c r="AD830" s="3" t="s">
        <v>48</v>
      </c>
      <c r="AE830" s="6">
        <v>44988</v>
      </c>
      <c r="AF830" s="3" t="s">
        <v>59</v>
      </c>
      <c r="AG830" s="3" t="s">
        <v>49</v>
      </c>
      <c r="AH830" s="3">
        <f>YEAR(SrcDB[[#This Row],[Datum_zverejnenia]])</f>
        <v>2022</v>
      </c>
      <c r="AI830" s="3" cm="1">
        <f t="array" ref="AI830">COUNT(_xlfn.UNIQUE(_xlfn._xlws.FILTER(SrcDB[ID],SrcDB[Objednavatel_ICO]=$H830)))</f>
        <v>14</v>
      </c>
      <c r="AJ830" s="3" cm="1">
        <f t="array" ref="AJ830">COUNT(_xlfn.UNIQUE(_xlfn._xlws.FILTER(SrcDB[ID],SrcDB[Dodavatel_ICO]=$K830)))</f>
        <v>9</v>
      </c>
      <c r="AK830" s="3">
        <f t="shared" si="859"/>
        <v>1</v>
      </c>
      <c r="AL830" s="3">
        <f t="shared" si="860"/>
        <v>1</v>
      </c>
      <c r="AM830" s="17" t="str">
        <f>IF(SrcDB[[#This Row],[Pocet zmluv objednavatela]]&gt;3,SrcDB[[#This Row],[Objednavatel]],"Ostatné")</f>
        <v>Sociálna poisťovňa, ústredie</v>
      </c>
      <c r="AN830" s="17" t="str">
        <f>IF(SrcDB[[#This Row],[Pocet zmluv dodavatela]]&gt;3,SrcDB[[#This Row],[Dodavatel]],"Ostatné")</f>
        <v>DXC Technology Slovakia s.r.o.</v>
      </c>
    </row>
    <row r="831" spans="1:40" x14ac:dyDescent="0.3">
      <c r="A831" s="2" t="s">
        <v>1047</v>
      </c>
      <c r="B831" s="2">
        <v>7264087</v>
      </c>
      <c r="C831" s="3" t="str">
        <f t="shared" si="853"/>
        <v>Nejasné</v>
      </c>
      <c r="D831" s="3" t="str">
        <f t="shared" si="854"/>
        <v>Nejasné</v>
      </c>
      <c r="E831" s="3" t="s">
        <v>49</v>
      </c>
      <c r="F831" s="3" t="s">
        <v>48</v>
      </c>
      <c r="G831" s="2" t="str">
        <f t="shared" si="855"/>
        <v>Malé zmluvy</v>
      </c>
      <c r="H831" s="5">
        <v>36856096</v>
      </c>
      <c r="I831" s="2" t="s">
        <v>1048</v>
      </c>
      <c r="J831" s="2" t="s">
        <v>1049</v>
      </c>
      <c r="K831" s="5">
        <v>31387811</v>
      </c>
      <c r="L831" s="2" t="s">
        <v>1050</v>
      </c>
      <c r="M831" s="2" t="s">
        <v>1051</v>
      </c>
      <c r="N831" s="6">
        <v>44914.659849537034</v>
      </c>
      <c r="O831" s="4">
        <v>659942.04</v>
      </c>
      <c r="P831" s="2">
        <v>114727</v>
      </c>
      <c r="Q831" s="2" t="s">
        <v>1052</v>
      </c>
      <c r="R831" s="2" t="s">
        <v>1053</v>
      </c>
      <c r="S831" s="2" t="s">
        <v>73</v>
      </c>
      <c r="W831" s="4">
        <v>672</v>
      </c>
      <c r="X831" s="4">
        <v>806.4</v>
      </c>
      <c r="Y831" s="4">
        <f t="shared" ref="Y831" si="921">INDEX(InternalRates,MATCH($S831,InternalRates01,FALSE),2)</f>
        <v>278.98333333333335</v>
      </c>
      <c r="Z831" s="3" t="str">
        <f t="shared" si="889"/>
        <v>Nie</v>
      </c>
      <c r="AA831" s="3" t="str">
        <f t="shared" si="890"/>
        <v>ZoD</v>
      </c>
      <c r="AB831" s="4">
        <v>599.25</v>
      </c>
      <c r="AD831" s="3" t="s">
        <v>48</v>
      </c>
      <c r="AE831" s="6">
        <v>44991</v>
      </c>
      <c r="AF831" s="3" t="s">
        <v>638</v>
      </c>
      <c r="AG831" s="3" t="s">
        <v>60</v>
      </c>
      <c r="AH831" s="3">
        <f>YEAR(SrcDB[[#This Row],[Datum_zverejnenia]])</f>
        <v>2022</v>
      </c>
      <c r="AI831" s="3" cm="1">
        <f t="array" ref="AI831">COUNT(_xlfn.UNIQUE(_xlfn._xlws.FILTER(SrcDB[ID],SrcDB[Objednavatel_ICO]=$H831)))</f>
        <v>2</v>
      </c>
      <c r="AJ831" s="3" cm="1">
        <f t="array" ref="AJ831">COUNT(_xlfn.UNIQUE(_xlfn._xlws.FILTER(SrcDB[ID],SrcDB[Dodavatel_ICO]=$K831)))</f>
        <v>3</v>
      </c>
      <c r="AK831" s="3">
        <f t="shared" si="859"/>
        <v>1</v>
      </c>
      <c r="AL831" s="3">
        <f t="shared" si="860"/>
        <v>1</v>
      </c>
      <c r="AM831" s="17" t="str">
        <f>IF(SrcDB[[#This Row],[Pocet zmluv objednavatela]]&gt;3,SrcDB[[#This Row],[Objednavatel]],"Ostatné")</f>
        <v>Ostatné</v>
      </c>
      <c r="AN831" s="17" t="str">
        <f>IF(SrcDB[[#This Row],[Pocet zmluv dodavatela]]&gt;3,SrcDB[[#This Row],[Dodavatel]],"Ostatné")</f>
        <v>Ostatné</v>
      </c>
    </row>
    <row r="832" spans="1:40" x14ac:dyDescent="0.3">
      <c r="A832" s="2" t="s">
        <v>1047</v>
      </c>
      <c r="B832" s="2">
        <v>7264087</v>
      </c>
      <c r="C832" s="3" t="str">
        <f t="shared" si="853"/>
        <v>Nejasné</v>
      </c>
      <c r="D832" s="3" t="str">
        <f t="shared" si="854"/>
        <v>Nejasné</v>
      </c>
      <c r="E832" s="3" t="s">
        <v>49</v>
      </c>
      <c r="F832" s="3" t="s">
        <v>48</v>
      </c>
      <c r="G832" s="2" t="str">
        <f t="shared" si="855"/>
        <v>Malé zmluvy</v>
      </c>
      <c r="H832" s="5">
        <v>36856096</v>
      </c>
      <c r="I832" s="2" t="s">
        <v>1048</v>
      </c>
      <c r="J832" s="2" t="s">
        <v>1049</v>
      </c>
      <c r="K832" s="5">
        <v>31387811</v>
      </c>
      <c r="L832" s="2" t="s">
        <v>1050</v>
      </c>
      <c r="M832" s="2" t="s">
        <v>1051</v>
      </c>
      <c r="N832" s="6">
        <v>44914.659849537034</v>
      </c>
      <c r="O832" s="4">
        <v>659942.04</v>
      </c>
      <c r="P832" s="2">
        <v>114727</v>
      </c>
      <c r="Q832" s="2" t="s">
        <v>1052</v>
      </c>
      <c r="R832" s="2" t="s">
        <v>1053</v>
      </c>
      <c r="S832" s="2" t="s">
        <v>73</v>
      </c>
      <c r="W832" s="4">
        <v>528</v>
      </c>
      <c r="X832" s="4">
        <v>633.6</v>
      </c>
      <c r="Y832" s="4">
        <f t="shared" ref="Y832" si="922">INDEX(InternalRates,MATCH($S832,InternalRates01,FALSE),2)</f>
        <v>278.98333333333335</v>
      </c>
      <c r="Z832" s="3" t="str">
        <f t="shared" si="889"/>
        <v>Nie</v>
      </c>
      <c r="AA832" s="3" t="str">
        <f t="shared" si="890"/>
        <v>ZoD</v>
      </c>
      <c r="AB832" s="4">
        <v>359.55</v>
      </c>
      <c r="AD832" s="3" t="s">
        <v>48</v>
      </c>
      <c r="AE832" s="6">
        <v>44991</v>
      </c>
      <c r="AF832" s="3" t="s">
        <v>639</v>
      </c>
      <c r="AG832" s="3" t="s">
        <v>60</v>
      </c>
      <c r="AH832" s="3">
        <f>YEAR(SrcDB[[#This Row],[Datum_zverejnenia]])</f>
        <v>2022</v>
      </c>
      <c r="AI832" s="3" cm="1">
        <f t="array" ref="AI832">COUNT(_xlfn.UNIQUE(_xlfn._xlws.FILTER(SrcDB[ID],SrcDB[Objednavatel_ICO]=$H832)))</f>
        <v>2</v>
      </c>
      <c r="AJ832" s="3" cm="1">
        <f t="array" ref="AJ832">COUNT(_xlfn.UNIQUE(_xlfn._xlws.FILTER(SrcDB[ID],SrcDB[Dodavatel_ICO]=$K832)))</f>
        <v>3</v>
      </c>
      <c r="AK832" s="3">
        <f t="shared" si="859"/>
        <v>0</v>
      </c>
      <c r="AL832" s="3">
        <f t="shared" si="860"/>
        <v>0</v>
      </c>
      <c r="AM832" s="17" t="str">
        <f>IF(SrcDB[[#This Row],[Pocet zmluv objednavatela]]&gt;3,SrcDB[[#This Row],[Objednavatel]],"Ostatné")</f>
        <v>Ostatné</v>
      </c>
      <c r="AN832" s="17" t="str">
        <f>IF(SrcDB[[#This Row],[Pocet zmluv dodavatela]]&gt;3,SrcDB[[#This Row],[Dodavatel]],"Ostatné")</f>
        <v>Ostatné</v>
      </c>
    </row>
    <row r="833" spans="1:40" x14ac:dyDescent="0.3">
      <c r="A833" s="2" t="s">
        <v>1047</v>
      </c>
      <c r="B833" s="2">
        <v>7264087</v>
      </c>
      <c r="C833" s="3" t="str">
        <f t="shared" si="853"/>
        <v>Nejasné</v>
      </c>
      <c r="D833" s="3" t="str">
        <f t="shared" si="854"/>
        <v>Nejasné</v>
      </c>
      <c r="E833" s="3" t="s">
        <v>49</v>
      </c>
      <c r="F833" s="3" t="s">
        <v>48</v>
      </c>
      <c r="G833" s="2" t="str">
        <f t="shared" si="855"/>
        <v>Malé zmluvy</v>
      </c>
      <c r="H833" s="5">
        <v>36856096</v>
      </c>
      <c r="I833" s="2" t="s">
        <v>1048</v>
      </c>
      <c r="J833" s="2" t="s">
        <v>1049</v>
      </c>
      <c r="K833" s="5">
        <v>31387811</v>
      </c>
      <c r="L833" s="2" t="s">
        <v>1050</v>
      </c>
      <c r="M833" s="2" t="s">
        <v>1051</v>
      </c>
      <c r="N833" s="6">
        <v>44914.659849537034</v>
      </c>
      <c r="O833" s="4">
        <v>659942.04</v>
      </c>
      <c r="P833" s="2">
        <v>114727</v>
      </c>
      <c r="Q833" s="2" t="s">
        <v>1052</v>
      </c>
      <c r="R833" s="2" t="s">
        <v>1053</v>
      </c>
      <c r="S833" s="2" t="s">
        <v>56</v>
      </c>
      <c r="T833" s="2" t="s">
        <v>522</v>
      </c>
      <c r="U833" s="2" t="s">
        <v>289</v>
      </c>
      <c r="W833" s="4">
        <v>688</v>
      </c>
      <c r="X833" s="4">
        <v>825.6</v>
      </c>
      <c r="Y833" s="4">
        <f t="shared" ref="Y833" si="923">INDEX(InternalRates,MATCH($S833,InternalRates01,FALSE),2)</f>
        <v>278.98333333333335</v>
      </c>
      <c r="Z833" s="3" t="str">
        <f t="shared" si="889"/>
        <v>Nie</v>
      </c>
      <c r="AA833" s="3" t="str">
        <f t="shared" si="890"/>
        <v>ZoD</v>
      </c>
      <c r="AB833" s="4">
        <v>199.75</v>
      </c>
      <c r="AD833" s="3" t="s">
        <v>48</v>
      </c>
      <c r="AE833" s="6">
        <v>44991</v>
      </c>
      <c r="AF833" s="3" t="s">
        <v>638</v>
      </c>
      <c r="AG833" s="3" t="s">
        <v>60</v>
      </c>
      <c r="AH833" s="3">
        <f>YEAR(SrcDB[[#This Row],[Datum_zverejnenia]])</f>
        <v>2022</v>
      </c>
      <c r="AI833" s="3" cm="1">
        <f t="array" ref="AI833">COUNT(_xlfn.UNIQUE(_xlfn._xlws.FILTER(SrcDB[ID],SrcDB[Objednavatel_ICO]=$H833)))</f>
        <v>2</v>
      </c>
      <c r="AJ833" s="3" cm="1">
        <f t="array" ref="AJ833">COUNT(_xlfn.UNIQUE(_xlfn._xlws.FILTER(SrcDB[ID],SrcDB[Dodavatel_ICO]=$K833)))</f>
        <v>3</v>
      </c>
      <c r="AK833" s="3">
        <f t="shared" si="859"/>
        <v>0</v>
      </c>
      <c r="AL833" s="3">
        <f t="shared" si="860"/>
        <v>0</v>
      </c>
      <c r="AM833" s="17" t="str">
        <f>IF(SrcDB[[#This Row],[Pocet zmluv objednavatela]]&gt;3,SrcDB[[#This Row],[Objednavatel]],"Ostatné")</f>
        <v>Ostatné</v>
      </c>
      <c r="AN833" s="17" t="str">
        <f>IF(SrcDB[[#This Row],[Pocet zmluv dodavatela]]&gt;3,SrcDB[[#This Row],[Dodavatel]],"Ostatné")</f>
        <v>Ostatné</v>
      </c>
    </row>
    <row r="834" spans="1:40" x14ac:dyDescent="0.3">
      <c r="A834" s="2" t="s">
        <v>1047</v>
      </c>
      <c r="B834" s="2">
        <v>7264087</v>
      </c>
      <c r="C834" s="3" t="str">
        <f t="shared" ref="C834:C897" si="924">IF(OR(NOT(ISERROR(FIND("O DIEL",UPPER($A834)))),NOT(ISERROR(FIND("O IMPLEM",UPPER($A834)))))=TRUE,"Áno",IF(OR(NOT(ISERROR(FIND("PODPOR",UPPER($A834)))),NOT(ISERROR(FIND("SLA",UPPER($A834)))),NOT(ISERROR(FIND("SERVIS",UPPER($A834)))))=TRUE,"Nie","Nejasné"))</f>
        <v>Nejasné</v>
      </c>
      <c r="D834" s="3" t="str">
        <f t="shared" ref="D834:D897" si="925">IF(OR(NOT(ISERROR(FIND("PODPOR",UPPER($A834)))),NOT(ISERROR(FIND("SLA",UPPER($A834)))),NOT(ISERROR(FIND("SERVIS",UPPER($A834)))))=TRUE,"Áno",IF(OR(NOT(ISERROR(FIND("O DIEL",UPPER($A834)))),NOT(ISERROR(FIND("O IMPLEM",UPPER($A834)))))=TRUE,"Nie","Nejasné"))</f>
        <v>Nejasné</v>
      </c>
      <c r="E834" s="3" t="s">
        <v>49</v>
      </c>
      <c r="F834" s="3" t="s">
        <v>48</v>
      </c>
      <c r="G834" s="2" t="str">
        <f t="shared" ref="G834:G897" si="926">IF($O834&gt;=8000000,"Veľké zmluvy",IF($O834&gt;=1000000,"Stredné zmluvy","Malé zmluvy"))</f>
        <v>Malé zmluvy</v>
      </c>
      <c r="H834" s="5">
        <v>36856096</v>
      </c>
      <c r="I834" s="2" t="s">
        <v>1048</v>
      </c>
      <c r="J834" s="2" t="s">
        <v>1049</v>
      </c>
      <c r="K834" s="5">
        <v>31387811</v>
      </c>
      <c r="L834" s="2" t="s">
        <v>1050</v>
      </c>
      <c r="M834" s="2" t="s">
        <v>1051</v>
      </c>
      <c r="N834" s="6">
        <v>44914.659849537034</v>
      </c>
      <c r="O834" s="4">
        <v>659942.04</v>
      </c>
      <c r="P834" s="2">
        <v>114727</v>
      </c>
      <c r="Q834" s="2" t="s">
        <v>1052</v>
      </c>
      <c r="R834" s="2" t="s">
        <v>1053</v>
      </c>
      <c r="S834" s="2" t="s">
        <v>56</v>
      </c>
      <c r="T834" s="2" t="s">
        <v>522</v>
      </c>
      <c r="U834" s="2" t="s">
        <v>289</v>
      </c>
      <c r="W834" s="4">
        <v>560</v>
      </c>
      <c r="X834" s="4">
        <v>672</v>
      </c>
      <c r="Y834" s="4">
        <f t="shared" ref="Y834" si="927">INDEX(InternalRates,MATCH($S834,InternalRates01,FALSE),2)</f>
        <v>278.98333333333335</v>
      </c>
      <c r="Z834" s="3" t="str">
        <f t="shared" si="889"/>
        <v>Nie</v>
      </c>
      <c r="AA834" s="3" t="str">
        <f t="shared" si="890"/>
        <v>ZoD</v>
      </c>
      <c r="AB834" s="4">
        <v>199.75</v>
      </c>
      <c r="AD834" s="3" t="s">
        <v>48</v>
      </c>
      <c r="AE834" s="6">
        <v>44991</v>
      </c>
      <c r="AF834" s="3" t="s">
        <v>639</v>
      </c>
      <c r="AG834" s="3" t="s">
        <v>60</v>
      </c>
      <c r="AH834" s="3">
        <f>YEAR(SrcDB[[#This Row],[Datum_zverejnenia]])</f>
        <v>2022</v>
      </c>
      <c r="AI834" s="3" cm="1">
        <f t="array" ref="AI834">COUNT(_xlfn.UNIQUE(_xlfn._xlws.FILTER(SrcDB[ID],SrcDB[Objednavatel_ICO]=$H834)))</f>
        <v>2</v>
      </c>
      <c r="AJ834" s="3" cm="1">
        <f t="array" ref="AJ834">COUNT(_xlfn.UNIQUE(_xlfn._xlws.FILTER(SrcDB[ID],SrcDB[Dodavatel_ICO]=$K834)))</f>
        <v>3</v>
      </c>
      <c r="AK834" s="3">
        <f t="shared" si="859"/>
        <v>0</v>
      </c>
      <c r="AL834" s="3">
        <f t="shared" si="860"/>
        <v>0</v>
      </c>
      <c r="AM834" s="17" t="str">
        <f>IF(SrcDB[[#This Row],[Pocet zmluv objednavatela]]&gt;3,SrcDB[[#This Row],[Objednavatel]],"Ostatné")</f>
        <v>Ostatné</v>
      </c>
      <c r="AN834" s="17" t="str">
        <f>IF(SrcDB[[#This Row],[Pocet zmluv dodavatela]]&gt;3,SrcDB[[#This Row],[Dodavatel]],"Ostatné")</f>
        <v>Ostatné</v>
      </c>
    </row>
    <row r="835" spans="1:40" x14ac:dyDescent="0.3">
      <c r="A835" s="2" t="s">
        <v>1047</v>
      </c>
      <c r="B835" s="2">
        <v>7264087</v>
      </c>
      <c r="C835" s="3" t="str">
        <f t="shared" si="924"/>
        <v>Nejasné</v>
      </c>
      <c r="D835" s="3" t="str">
        <f t="shared" si="925"/>
        <v>Nejasné</v>
      </c>
      <c r="E835" s="3" t="s">
        <v>49</v>
      </c>
      <c r="F835" s="3" t="s">
        <v>48</v>
      </c>
      <c r="G835" s="2" t="str">
        <f t="shared" si="926"/>
        <v>Malé zmluvy</v>
      </c>
      <c r="H835" s="5">
        <v>36856096</v>
      </c>
      <c r="I835" s="2" t="s">
        <v>1048</v>
      </c>
      <c r="J835" s="2" t="s">
        <v>1049</v>
      </c>
      <c r="K835" s="5">
        <v>31387811</v>
      </c>
      <c r="L835" s="2" t="s">
        <v>1050</v>
      </c>
      <c r="M835" s="2" t="s">
        <v>1051</v>
      </c>
      <c r="N835" s="6">
        <v>44914.659849537034</v>
      </c>
      <c r="O835" s="4">
        <v>659942.04</v>
      </c>
      <c r="P835" s="2">
        <v>114727</v>
      </c>
      <c r="Q835" s="2" t="s">
        <v>1052</v>
      </c>
      <c r="R835" s="2" t="s">
        <v>1053</v>
      </c>
      <c r="S835" s="2" t="s">
        <v>56</v>
      </c>
      <c r="T835" s="2" t="s">
        <v>75</v>
      </c>
      <c r="U835" s="2" t="s">
        <v>76</v>
      </c>
      <c r="W835" s="4">
        <v>680</v>
      </c>
      <c r="X835" s="4">
        <v>816</v>
      </c>
      <c r="Y835" s="4">
        <f t="shared" ref="Y835" si="928">INDEX(InternalRates,MATCH($S835,InternalRates01,FALSE),2)</f>
        <v>278.98333333333335</v>
      </c>
      <c r="Z835" s="3" t="str">
        <f t="shared" si="889"/>
        <v>Nie</v>
      </c>
      <c r="AA835" s="3" t="str">
        <f t="shared" si="890"/>
        <v>ZoD</v>
      </c>
      <c r="AB835" s="4">
        <v>79.900000000000006</v>
      </c>
      <c r="AD835" s="3" t="s">
        <v>48</v>
      </c>
      <c r="AE835" s="6">
        <v>44991</v>
      </c>
      <c r="AF835" s="3" t="s">
        <v>638</v>
      </c>
      <c r="AG835" s="3" t="s">
        <v>60</v>
      </c>
      <c r="AH835" s="3">
        <f>YEAR(SrcDB[[#This Row],[Datum_zverejnenia]])</f>
        <v>2022</v>
      </c>
      <c r="AI835" s="3" cm="1">
        <f t="array" ref="AI835">COUNT(_xlfn.UNIQUE(_xlfn._xlws.FILTER(SrcDB[ID],SrcDB[Objednavatel_ICO]=$H835)))</f>
        <v>2</v>
      </c>
      <c r="AJ835" s="3" cm="1">
        <f t="array" ref="AJ835">COUNT(_xlfn.UNIQUE(_xlfn._xlws.FILTER(SrcDB[ID],SrcDB[Dodavatel_ICO]=$K835)))</f>
        <v>3</v>
      </c>
      <c r="AK835" s="3">
        <f t="shared" si="859"/>
        <v>0</v>
      </c>
      <c r="AL835" s="3">
        <f t="shared" si="860"/>
        <v>0</v>
      </c>
      <c r="AM835" s="17" t="str">
        <f>IF(SrcDB[[#This Row],[Pocet zmluv objednavatela]]&gt;3,SrcDB[[#This Row],[Objednavatel]],"Ostatné")</f>
        <v>Ostatné</v>
      </c>
      <c r="AN835" s="17" t="str">
        <f>IF(SrcDB[[#This Row],[Pocet zmluv dodavatela]]&gt;3,SrcDB[[#This Row],[Dodavatel]],"Ostatné")</f>
        <v>Ostatné</v>
      </c>
    </row>
    <row r="836" spans="1:40" x14ac:dyDescent="0.3">
      <c r="A836" s="2" t="s">
        <v>1047</v>
      </c>
      <c r="B836" s="2">
        <v>7264087</v>
      </c>
      <c r="C836" s="3" t="str">
        <f t="shared" si="924"/>
        <v>Nejasné</v>
      </c>
      <c r="D836" s="3" t="str">
        <f t="shared" si="925"/>
        <v>Nejasné</v>
      </c>
      <c r="E836" s="3" t="s">
        <v>49</v>
      </c>
      <c r="F836" s="3" t="s">
        <v>48</v>
      </c>
      <c r="G836" s="2" t="str">
        <f t="shared" si="926"/>
        <v>Malé zmluvy</v>
      </c>
      <c r="H836" s="5">
        <v>36856096</v>
      </c>
      <c r="I836" s="2" t="s">
        <v>1048</v>
      </c>
      <c r="J836" s="2" t="s">
        <v>1049</v>
      </c>
      <c r="K836" s="5">
        <v>31387811</v>
      </c>
      <c r="L836" s="2" t="s">
        <v>1050</v>
      </c>
      <c r="M836" s="2" t="s">
        <v>1051</v>
      </c>
      <c r="N836" s="6">
        <v>44914.659849537034</v>
      </c>
      <c r="O836" s="4">
        <v>659942.04</v>
      </c>
      <c r="P836" s="2">
        <v>114727</v>
      </c>
      <c r="Q836" s="2" t="s">
        <v>1052</v>
      </c>
      <c r="R836" s="2" t="s">
        <v>1053</v>
      </c>
      <c r="S836" s="2" t="s">
        <v>77</v>
      </c>
      <c r="W836" s="4">
        <v>560</v>
      </c>
      <c r="X836" s="4">
        <v>672</v>
      </c>
      <c r="Y836" s="4">
        <f t="shared" ref="Y836" si="929">INDEX(InternalRates,MATCH($S836,InternalRates01,FALSE),2)</f>
        <v>278.98333333333335</v>
      </c>
      <c r="Z836" s="3" t="str">
        <f t="shared" si="889"/>
        <v>Nie</v>
      </c>
      <c r="AA836" s="3" t="str">
        <f t="shared" si="890"/>
        <v>ZoD</v>
      </c>
      <c r="AB836" s="4">
        <v>958.8</v>
      </c>
      <c r="AD836" s="3" t="s">
        <v>48</v>
      </c>
      <c r="AE836" s="6">
        <v>44991</v>
      </c>
      <c r="AF836" s="3" t="s">
        <v>638</v>
      </c>
      <c r="AG836" s="3" t="s">
        <v>60</v>
      </c>
      <c r="AH836" s="3">
        <f>YEAR(SrcDB[[#This Row],[Datum_zverejnenia]])</f>
        <v>2022</v>
      </c>
      <c r="AI836" s="3" cm="1">
        <f t="array" ref="AI836">COUNT(_xlfn.UNIQUE(_xlfn._xlws.FILTER(SrcDB[ID],SrcDB[Objednavatel_ICO]=$H836)))</f>
        <v>2</v>
      </c>
      <c r="AJ836" s="3" cm="1">
        <f t="array" ref="AJ836">COUNT(_xlfn.UNIQUE(_xlfn._xlws.FILTER(SrcDB[ID],SrcDB[Dodavatel_ICO]=$K836)))</f>
        <v>3</v>
      </c>
      <c r="AK836" s="3">
        <f t="shared" ref="AK836:AK899" si="930">IF($H835&lt;&gt;$H836,1,IF($B835&lt;&gt;$B836,1,0))</f>
        <v>0</v>
      </c>
      <c r="AL836" s="3">
        <f t="shared" ref="AL836:AL899" si="931">IF($K835&lt;&gt;$K836,1,IF($B835&lt;&gt;$B836,1,0))</f>
        <v>0</v>
      </c>
      <c r="AM836" s="17" t="str">
        <f>IF(SrcDB[[#This Row],[Pocet zmluv objednavatela]]&gt;3,SrcDB[[#This Row],[Objednavatel]],"Ostatné")</f>
        <v>Ostatné</v>
      </c>
      <c r="AN836" s="17" t="str">
        <f>IF(SrcDB[[#This Row],[Pocet zmluv dodavatela]]&gt;3,SrcDB[[#This Row],[Dodavatel]],"Ostatné")</f>
        <v>Ostatné</v>
      </c>
    </row>
    <row r="837" spans="1:40" x14ac:dyDescent="0.3">
      <c r="A837" s="2" t="s">
        <v>1047</v>
      </c>
      <c r="B837" s="2">
        <v>7264087</v>
      </c>
      <c r="C837" s="3" t="str">
        <f t="shared" si="924"/>
        <v>Nejasné</v>
      </c>
      <c r="D837" s="3" t="str">
        <f t="shared" si="925"/>
        <v>Nejasné</v>
      </c>
      <c r="E837" s="3" t="s">
        <v>49</v>
      </c>
      <c r="F837" s="3" t="s">
        <v>48</v>
      </c>
      <c r="G837" s="2" t="str">
        <f t="shared" si="926"/>
        <v>Malé zmluvy</v>
      </c>
      <c r="H837" s="5">
        <v>36856096</v>
      </c>
      <c r="I837" s="2" t="s">
        <v>1048</v>
      </c>
      <c r="J837" s="2" t="s">
        <v>1049</v>
      </c>
      <c r="K837" s="5">
        <v>31387811</v>
      </c>
      <c r="L837" s="2" t="s">
        <v>1050</v>
      </c>
      <c r="M837" s="2" t="s">
        <v>1051</v>
      </c>
      <c r="N837" s="6">
        <v>44914.659849537034</v>
      </c>
      <c r="O837" s="4">
        <v>659942.04</v>
      </c>
      <c r="P837" s="2">
        <v>114727</v>
      </c>
      <c r="Q837" s="2" t="s">
        <v>1052</v>
      </c>
      <c r="R837" s="2" t="s">
        <v>1053</v>
      </c>
      <c r="S837" s="2" t="s">
        <v>77</v>
      </c>
      <c r="W837" s="4">
        <v>440</v>
      </c>
      <c r="X837" s="4">
        <v>528</v>
      </c>
      <c r="Y837" s="4">
        <f t="shared" ref="Y837" si="932">INDEX(InternalRates,MATCH($S837,InternalRates01,FALSE),2)</f>
        <v>278.98333333333335</v>
      </c>
      <c r="Z837" s="3" t="str">
        <f t="shared" si="889"/>
        <v>Nie</v>
      </c>
      <c r="AA837" s="3" t="str">
        <f t="shared" si="890"/>
        <v>ZoD</v>
      </c>
      <c r="AB837" s="4">
        <v>439.45</v>
      </c>
      <c r="AD837" s="3" t="s">
        <v>48</v>
      </c>
      <c r="AE837" s="6">
        <v>44991</v>
      </c>
      <c r="AF837" s="3" t="s">
        <v>639</v>
      </c>
      <c r="AG837" s="3" t="s">
        <v>60</v>
      </c>
      <c r="AH837" s="3">
        <f>YEAR(SrcDB[[#This Row],[Datum_zverejnenia]])</f>
        <v>2022</v>
      </c>
      <c r="AI837" s="3" cm="1">
        <f t="array" ref="AI837">COUNT(_xlfn.UNIQUE(_xlfn._xlws.FILTER(SrcDB[ID],SrcDB[Objednavatel_ICO]=$H837)))</f>
        <v>2</v>
      </c>
      <c r="AJ837" s="3" cm="1">
        <f t="array" ref="AJ837">COUNT(_xlfn.UNIQUE(_xlfn._xlws.FILTER(SrcDB[ID],SrcDB[Dodavatel_ICO]=$K837)))</f>
        <v>3</v>
      </c>
      <c r="AK837" s="3">
        <f t="shared" si="930"/>
        <v>0</v>
      </c>
      <c r="AL837" s="3">
        <f t="shared" si="931"/>
        <v>0</v>
      </c>
      <c r="AM837" s="17" t="str">
        <f>IF(SrcDB[[#This Row],[Pocet zmluv objednavatela]]&gt;3,SrcDB[[#This Row],[Objednavatel]],"Ostatné")</f>
        <v>Ostatné</v>
      </c>
      <c r="AN837" s="17" t="str">
        <f>IF(SrcDB[[#This Row],[Pocet zmluv dodavatela]]&gt;3,SrcDB[[#This Row],[Dodavatel]],"Ostatné")</f>
        <v>Ostatné</v>
      </c>
    </row>
    <row r="838" spans="1:40" x14ac:dyDescent="0.3">
      <c r="A838" s="2" t="s">
        <v>1047</v>
      </c>
      <c r="B838" s="2">
        <v>7264087</v>
      </c>
      <c r="C838" s="3" t="str">
        <f t="shared" si="924"/>
        <v>Nejasné</v>
      </c>
      <c r="D838" s="3" t="str">
        <f t="shared" si="925"/>
        <v>Nejasné</v>
      </c>
      <c r="E838" s="3" t="s">
        <v>49</v>
      </c>
      <c r="F838" s="3" t="s">
        <v>48</v>
      </c>
      <c r="G838" s="2" t="str">
        <f t="shared" si="926"/>
        <v>Malé zmluvy</v>
      </c>
      <c r="H838" s="5">
        <v>36856096</v>
      </c>
      <c r="I838" s="2" t="s">
        <v>1048</v>
      </c>
      <c r="J838" s="2" t="s">
        <v>1049</v>
      </c>
      <c r="K838" s="5">
        <v>31387811</v>
      </c>
      <c r="L838" s="2" t="s">
        <v>1050</v>
      </c>
      <c r="M838" s="2" t="s">
        <v>1051</v>
      </c>
      <c r="N838" s="6">
        <v>44914.659849537034</v>
      </c>
      <c r="O838" s="4">
        <v>659942.04</v>
      </c>
      <c r="P838" s="2">
        <v>114727</v>
      </c>
      <c r="Q838" s="2" t="s">
        <v>1052</v>
      </c>
      <c r="R838" s="2" t="s">
        <v>1053</v>
      </c>
      <c r="S838" s="2" t="s">
        <v>56</v>
      </c>
      <c r="T838" s="2" t="s">
        <v>997</v>
      </c>
      <c r="U838" s="2" t="s">
        <v>58</v>
      </c>
      <c r="W838" s="4">
        <v>816</v>
      </c>
      <c r="X838" s="4">
        <v>979.19999999999993</v>
      </c>
      <c r="Y838" s="4">
        <f t="shared" ref="Y838" si="933">INDEX(InternalRates,MATCH($S838,InternalRates01,FALSE),2)</f>
        <v>278.98333333333335</v>
      </c>
      <c r="Z838" s="3" t="str">
        <f t="shared" si="889"/>
        <v>Nie</v>
      </c>
      <c r="AA838" s="3" t="str">
        <f t="shared" si="890"/>
        <v>ZoD</v>
      </c>
      <c r="AB838" s="4">
        <v>319.60000000000002</v>
      </c>
      <c r="AD838" s="3" t="s">
        <v>48</v>
      </c>
      <c r="AE838" s="6">
        <v>44991</v>
      </c>
      <c r="AF838" s="3" t="s">
        <v>638</v>
      </c>
      <c r="AG838" s="3" t="s">
        <v>60</v>
      </c>
      <c r="AH838" s="3">
        <f>YEAR(SrcDB[[#This Row],[Datum_zverejnenia]])</f>
        <v>2022</v>
      </c>
      <c r="AI838" s="3" cm="1">
        <f t="array" ref="AI838">COUNT(_xlfn.UNIQUE(_xlfn._xlws.FILTER(SrcDB[ID],SrcDB[Objednavatel_ICO]=$H838)))</f>
        <v>2</v>
      </c>
      <c r="AJ838" s="3" cm="1">
        <f t="array" ref="AJ838">COUNT(_xlfn.UNIQUE(_xlfn._xlws.FILTER(SrcDB[ID],SrcDB[Dodavatel_ICO]=$K838)))</f>
        <v>3</v>
      </c>
      <c r="AK838" s="3">
        <f t="shared" si="930"/>
        <v>0</v>
      </c>
      <c r="AL838" s="3">
        <f t="shared" si="931"/>
        <v>0</v>
      </c>
      <c r="AM838" s="17" t="str">
        <f>IF(SrcDB[[#This Row],[Pocet zmluv objednavatela]]&gt;3,SrcDB[[#This Row],[Objednavatel]],"Ostatné")</f>
        <v>Ostatné</v>
      </c>
      <c r="AN838" s="17" t="str">
        <f>IF(SrcDB[[#This Row],[Pocet zmluv dodavatela]]&gt;3,SrcDB[[#This Row],[Dodavatel]],"Ostatné")</f>
        <v>Ostatné</v>
      </c>
    </row>
    <row r="839" spans="1:40" x14ac:dyDescent="0.3">
      <c r="A839" s="2" t="s">
        <v>1047</v>
      </c>
      <c r="B839" s="2">
        <v>7264087</v>
      </c>
      <c r="C839" s="3" t="str">
        <f t="shared" si="924"/>
        <v>Nejasné</v>
      </c>
      <c r="D839" s="3" t="str">
        <f t="shared" si="925"/>
        <v>Nejasné</v>
      </c>
      <c r="E839" s="3" t="s">
        <v>49</v>
      </c>
      <c r="F839" s="3" t="s">
        <v>48</v>
      </c>
      <c r="G839" s="2" t="str">
        <f t="shared" si="926"/>
        <v>Malé zmluvy</v>
      </c>
      <c r="H839" s="5">
        <v>36856096</v>
      </c>
      <c r="I839" s="2" t="s">
        <v>1048</v>
      </c>
      <c r="J839" s="2" t="s">
        <v>1049</v>
      </c>
      <c r="K839" s="5">
        <v>31387811</v>
      </c>
      <c r="L839" s="2" t="s">
        <v>1050</v>
      </c>
      <c r="M839" s="2" t="s">
        <v>1051</v>
      </c>
      <c r="N839" s="6">
        <v>44914.659849537034</v>
      </c>
      <c r="O839" s="4">
        <v>659942.04</v>
      </c>
      <c r="P839" s="2">
        <v>114727</v>
      </c>
      <c r="Q839" s="2" t="s">
        <v>1052</v>
      </c>
      <c r="R839" s="2" t="s">
        <v>1053</v>
      </c>
      <c r="S839" s="2" t="s">
        <v>102</v>
      </c>
      <c r="T839" s="2" t="s">
        <v>114</v>
      </c>
      <c r="W839" s="4">
        <v>376</v>
      </c>
      <c r="X839" s="4">
        <v>451.2</v>
      </c>
      <c r="Y839" s="4">
        <f t="shared" ref="Y839" si="934">INDEX(InternalRates,MATCH($S839,InternalRates01,FALSE),2)</f>
        <v>278.98333333333335</v>
      </c>
      <c r="Z839" s="3" t="str">
        <f t="shared" si="889"/>
        <v>Nie</v>
      </c>
      <c r="AA839" s="3" t="str">
        <f t="shared" si="890"/>
        <v>ZoD</v>
      </c>
      <c r="AB839" s="4">
        <v>79.900000000000006</v>
      </c>
      <c r="AD839" s="3" t="s">
        <v>48</v>
      </c>
      <c r="AE839" s="6">
        <v>44991</v>
      </c>
      <c r="AF839" s="3" t="s">
        <v>59</v>
      </c>
      <c r="AG839" s="3" t="s">
        <v>60</v>
      </c>
      <c r="AH839" s="3">
        <f>YEAR(SrcDB[[#This Row],[Datum_zverejnenia]])</f>
        <v>2022</v>
      </c>
      <c r="AI839" s="3" cm="1">
        <f t="array" ref="AI839">COUNT(_xlfn.UNIQUE(_xlfn._xlws.FILTER(SrcDB[ID],SrcDB[Objednavatel_ICO]=$H839)))</f>
        <v>2</v>
      </c>
      <c r="AJ839" s="3" cm="1">
        <f t="array" ref="AJ839">COUNT(_xlfn.UNIQUE(_xlfn._xlws.FILTER(SrcDB[ID],SrcDB[Dodavatel_ICO]=$K839)))</f>
        <v>3</v>
      </c>
      <c r="AK839" s="3">
        <f t="shared" si="930"/>
        <v>0</v>
      </c>
      <c r="AL839" s="3">
        <f t="shared" si="931"/>
        <v>0</v>
      </c>
      <c r="AM839" s="17" t="str">
        <f>IF(SrcDB[[#This Row],[Pocet zmluv objednavatela]]&gt;3,SrcDB[[#This Row],[Objednavatel]],"Ostatné")</f>
        <v>Ostatné</v>
      </c>
      <c r="AN839" s="17" t="str">
        <f>IF(SrcDB[[#This Row],[Pocet zmluv dodavatela]]&gt;3,SrcDB[[#This Row],[Dodavatel]],"Ostatné")</f>
        <v>Ostatné</v>
      </c>
    </row>
    <row r="840" spans="1:40" x14ac:dyDescent="0.3">
      <c r="A840" s="2" t="s">
        <v>1047</v>
      </c>
      <c r="B840" s="2">
        <v>7264087</v>
      </c>
      <c r="C840" s="3" t="str">
        <f t="shared" si="924"/>
        <v>Nejasné</v>
      </c>
      <c r="D840" s="3" t="str">
        <f t="shared" si="925"/>
        <v>Nejasné</v>
      </c>
      <c r="E840" s="3" t="s">
        <v>49</v>
      </c>
      <c r="F840" s="3" t="s">
        <v>48</v>
      </c>
      <c r="G840" s="2" t="str">
        <f t="shared" si="926"/>
        <v>Malé zmluvy</v>
      </c>
      <c r="H840" s="5">
        <v>36856096</v>
      </c>
      <c r="I840" s="2" t="s">
        <v>1048</v>
      </c>
      <c r="J840" s="2" t="s">
        <v>1049</v>
      </c>
      <c r="K840" s="5">
        <v>31387811</v>
      </c>
      <c r="L840" s="2" t="s">
        <v>1050</v>
      </c>
      <c r="M840" s="2" t="s">
        <v>1051</v>
      </c>
      <c r="N840" s="6">
        <v>44914.659849537034</v>
      </c>
      <c r="O840" s="4">
        <v>659942.04</v>
      </c>
      <c r="P840" s="2">
        <v>114727</v>
      </c>
      <c r="Q840" s="2" t="s">
        <v>1052</v>
      </c>
      <c r="R840" s="2" t="s">
        <v>1053</v>
      </c>
      <c r="S840" s="2" t="s">
        <v>69</v>
      </c>
      <c r="T840" s="2" t="s">
        <v>70</v>
      </c>
      <c r="W840" s="4">
        <v>736</v>
      </c>
      <c r="X840" s="4">
        <v>883.19999999999993</v>
      </c>
      <c r="Y840" s="4">
        <f t="shared" ref="Y840" si="935">INDEX(InternalRates,MATCH($S840,InternalRates01,FALSE),2)</f>
        <v>278.98333333333335</v>
      </c>
      <c r="Z840" s="3" t="str">
        <f t="shared" si="889"/>
        <v>Nie</v>
      </c>
      <c r="AA840" s="3" t="str">
        <f t="shared" si="890"/>
        <v>ZoD</v>
      </c>
      <c r="AB840" s="4">
        <v>279.64999999999998</v>
      </c>
      <c r="AD840" s="3" t="s">
        <v>48</v>
      </c>
      <c r="AE840" s="6">
        <v>44991</v>
      </c>
      <c r="AF840" s="3" t="s">
        <v>638</v>
      </c>
      <c r="AG840" s="3" t="s">
        <v>60</v>
      </c>
      <c r="AH840" s="3">
        <f>YEAR(SrcDB[[#This Row],[Datum_zverejnenia]])</f>
        <v>2022</v>
      </c>
      <c r="AI840" s="3" cm="1">
        <f t="array" ref="AI840">COUNT(_xlfn.UNIQUE(_xlfn._xlws.FILTER(SrcDB[ID],SrcDB[Objednavatel_ICO]=$H840)))</f>
        <v>2</v>
      </c>
      <c r="AJ840" s="3" cm="1">
        <f t="array" ref="AJ840">COUNT(_xlfn.UNIQUE(_xlfn._xlws.FILTER(SrcDB[ID],SrcDB[Dodavatel_ICO]=$K840)))</f>
        <v>3</v>
      </c>
      <c r="AK840" s="3">
        <f t="shared" si="930"/>
        <v>0</v>
      </c>
      <c r="AL840" s="3">
        <f t="shared" si="931"/>
        <v>0</v>
      </c>
      <c r="AM840" s="17" t="str">
        <f>IF(SrcDB[[#This Row],[Pocet zmluv objednavatela]]&gt;3,SrcDB[[#This Row],[Objednavatel]],"Ostatné")</f>
        <v>Ostatné</v>
      </c>
      <c r="AN840" s="17" t="str">
        <f>IF(SrcDB[[#This Row],[Pocet zmluv dodavatela]]&gt;3,SrcDB[[#This Row],[Dodavatel]],"Ostatné")</f>
        <v>Ostatné</v>
      </c>
    </row>
    <row r="841" spans="1:40" x14ac:dyDescent="0.3">
      <c r="A841" s="2" t="s">
        <v>564</v>
      </c>
      <c r="B841" s="2">
        <v>7283878</v>
      </c>
      <c r="C841" s="3" t="str">
        <f t="shared" si="924"/>
        <v>Nejasné</v>
      </c>
      <c r="D841" s="3" t="str">
        <f t="shared" si="925"/>
        <v>Nejasné</v>
      </c>
      <c r="E841" s="3" t="s">
        <v>48</v>
      </c>
      <c r="F841" s="3" t="s">
        <v>49</v>
      </c>
      <c r="G841" s="2" t="str">
        <f t="shared" si="926"/>
        <v>Malé zmluvy</v>
      </c>
      <c r="H841" s="5">
        <v>31364501</v>
      </c>
      <c r="I841" s="2" t="s">
        <v>220</v>
      </c>
      <c r="J841" s="2" t="s">
        <v>726</v>
      </c>
      <c r="K841" s="5">
        <v>36762644</v>
      </c>
      <c r="L841" s="2" t="s">
        <v>1054</v>
      </c>
      <c r="M841" s="2" t="s">
        <v>1055</v>
      </c>
      <c r="N841" s="6">
        <v>44916.389444444445</v>
      </c>
      <c r="O841" s="4">
        <v>192000</v>
      </c>
      <c r="P841" s="2">
        <v>114573</v>
      </c>
      <c r="Q841" s="2" t="s">
        <v>1056</v>
      </c>
      <c r="R841" s="2" t="s">
        <v>1057</v>
      </c>
      <c r="S841" s="2" t="s">
        <v>183</v>
      </c>
      <c r="T841" s="2" t="s">
        <v>183</v>
      </c>
      <c r="W841" s="4">
        <v>568</v>
      </c>
      <c r="X841" s="4">
        <v>681.6</v>
      </c>
      <c r="Y841" s="4">
        <f t="shared" ref="Y841" si="936">INDEX(InternalRates,MATCH($S841,InternalRates01,FALSE),2)</f>
        <v>278.98333333333335</v>
      </c>
      <c r="Z841" s="3" t="str">
        <f t="shared" si="889"/>
        <v>Nie</v>
      </c>
      <c r="AA841" s="3" t="str">
        <f t="shared" si="890"/>
        <v>SLA</v>
      </c>
      <c r="AB841" s="4">
        <v>281.69</v>
      </c>
      <c r="AC841" s="4">
        <v>281.69</v>
      </c>
      <c r="AD841" s="3" t="s">
        <v>48</v>
      </c>
      <c r="AE841" s="6">
        <v>44990</v>
      </c>
      <c r="AF841" s="3" t="s">
        <v>59</v>
      </c>
      <c r="AG841" s="3" t="s">
        <v>48</v>
      </c>
      <c r="AH841" s="3">
        <f>YEAR(SrcDB[[#This Row],[Datum_zverejnenia]])</f>
        <v>2022</v>
      </c>
      <c r="AI841" s="3" cm="1">
        <f t="array" ref="AI841">COUNT(_xlfn.UNIQUE(_xlfn._xlws.FILTER(SrcDB[ID],SrcDB[Objednavatel_ICO]=$H841)))</f>
        <v>24</v>
      </c>
      <c r="AJ841" s="3" cm="1">
        <f t="array" ref="AJ841">COUNT(_xlfn.UNIQUE(_xlfn._xlws.FILTER(SrcDB[ID],SrcDB[Dodavatel_ICO]=$K841)))</f>
        <v>2</v>
      </c>
      <c r="AK841" s="3">
        <f t="shared" si="930"/>
        <v>1</v>
      </c>
      <c r="AL841" s="3">
        <f t="shared" si="931"/>
        <v>1</v>
      </c>
      <c r="AM841" s="17" t="str">
        <f>IF(SrcDB[[#This Row],[Pocet zmluv objednavatela]]&gt;3,SrcDB[[#This Row],[Objednavatel]],"Ostatné")</f>
        <v>Železnice Slovenskej republiky</v>
      </c>
      <c r="AN841" s="17" t="str">
        <f>IF(SrcDB[[#This Row],[Pocet zmluv dodavatela]]&gt;3,SrcDB[[#This Row],[Dodavatel]],"Ostatné")</f>
        <v>Ostatné</v>
      </c>
    </row>
    <row r="842" spans="1:40" x14ac:dyDescent="0.3">
      <c r="A842" s="2" t="s">
        <v>1058</v>
      </c>
      <c r="B842" s="2">
        <v>7295701</v>
      </c>
      <c r="C842" s="3" t="str">
        <f t="shared" si="924"/>
        <v>Nie</v>
      </c>
      <c r="D842" s="3" t="str">
        <f t="shared" si="925"/>
        <v>Áno</v>
      </c>
      <c r="E842" s="3" t="s">
        <v>48</v>
      </c>
      <c r="F842" s="3" t="s">
        <v>49</v>
      </c>
      <c r="G842" s="2" t="str">
        <f t="shared" si="926"/>
        <v>Malé zmluvy</v>
      </c>
      <c r="H842" s="5">
        <v>36570460</v>
      </c>
      <c r="I842" s="2" t="s">
        <v>1059</v>
      </c>
      <c r="J842" s="2" t="s">
        <v>1060</v>
      </c>
      <c r="K842" s="5">
        <v>50698656</v>
      </c>
      <c r="L842" s="2" t="s">
        <v>1061</v>
      </c>
      <c r="M842" s="2" t="s">
        <v>223</v>
      </c>
      <c r="N842" s="6">
        <v>44917.321469907409</v>
      </c>
      <c r="O842" s="4">
        <v>217000</v>
      </c>
      <c r="P842" s="2">
        <v>6215909</v>
      </c>
      <c r="Q842" s="2" t="s">
        <v>1062</v>
      </c>
      <c r="R842" s="2" t="s">
        <v>1063</v>
      </c>
      <c r="S842" s="2" t="s">
        <v>69</v>
      </c>
      <c r="T842" s="2" t="s">
        <v>70</v>
      </c>
      <c r="W842" s="4">
        <v>400</v>
      </c>
      <c r="X842" s="4">
        <v>480</v>
      </c>
      <c r="Y842" s="4">
        <f t="shared" ref="Y842" si="937">INDEX(InternalRates,MATCH($S842,InternalRates01,FALSE),2)</f>
        <v>278.98333333333335</v>
      </c>
      <c r="Z842" s="3" t="str">
        <f t="shared" si="889"/>
        <v>Nie</v>
      </c>
      <c r="AA842" s="3" t="str">
        <f t="shared" si="890"/>
        <v>SLA</v>
      </c>
      <c r="AB842" s="4">
        <v>714.28571428571433</v>
      </c>
      <c r="AC842" s="4">
        <v>714.28571428571433</v>
      </c>
      <c r="AD842" s="3" t="s">
        <v>48</v>
      </c>
      <c r="AE842" s="6">
        <v>44991</v>
      </c>
      <c r="AF842" s="3" t="s">
        <v>59</v>
      </c>
      <c r="AG842" s="3" t="s">
        <v>60</v>
      </c>
      <c r="AH842" s="3">
        <f>YEAR(SrcDB[[#This Row],[Datum_zverejnenia]])</f>
        <v>2022</v>
      </c>
      <c r="AI842" s="3" cm="1">
        <f t="array" ref="AI842">COUNT(_xlfn.UNIQUE(_xlfn._xlws.FILTER(SrcDB[ID],SrcDB[Objednavatel_ICO]=$H842)))</f>
        <v>1</v>
      </c>
      <c r="AJ842" s="3" cm="1">
        <f t="array" ref="AJ842">COUNT(_xlfn.UNIQUE(_xlfn._xlws.FILTER(SrcDB[ID],SrcDB[Dodavatel_ICO]=$K842)))</f>
        <v>1</v>
      </c>
      <c r="AK842" s="3">
        <f t="shared" si="930"/>
        <v>1</v>
      </c>
      <c r="AL842" s="3">
        <f t="shared" si="931"/>
        <v>1</v>
      </c>
      <c r="AM842" s="17" t="str">
        <f>IF(SrcDB[[#This Row],[Pocet zmluv objednavatela]]&gt;3,SrcDB[[#This Row],[Objednavatel]],"Ostatné")</f>
        <v>Ostatné</v>
      </c>
      <c r="AN842" s="17" t="str">
        <f>IF(SrcDB[[#This Row],[Pocet zmluv dodavatela]]&gt;3,SrcDB[[#This Row],[Dodavatel]],"Ostatné")</f>
        <v>Ostatné</v>
      </c>
    </row>
    <row r="843" spans="1:40" x14ac:dyDescent="0.3">
      <c r="A843" s="2" t="s">
        <v>1058</v>
      </c>
      <c r="B843" s="2">
        <v>7295701</v>
      </c>
      <c r="C843" s="3" t="str">
        <f t="shared" si="924"/>
        <v>Nie</v>
      </c>
      <c r="D843" s="3" t="str">
        <f t="shared" si="925"/>
        <v>Áno</v>
      </c>
      <c r="E843" s="3" t="s">
        <v>48</v>
      </c>
      <c r="F843" s="3" t="s">
        <v>49</v>
      </c>
      <c r="G843" s="2" t="str">
        <f t="shared" si="926"/>
        <v>Malé zmluvy</v>
      </c>
      <c r="H843" s="5">
        <v>36570460</v>
      </c>
      <c r="I843" s="2" t="s">
        <v>1059</v>
      </c>
      <c r="J843" s="2" t="s">
        <v>1060</v>
      </c>
      <c r="K843" s="5">
        <v>50698656</v>
      </c>
      <c r="L843" s="2" t="s">
        <v>1061</v>
      </c>
      <c r="M843" s="2" t="s">
        <v>223</v>
      </c>
      <c r="N843" s="6">
        <v>44917.321469907409</v>
      </c>
      <c r="O843" s="4">
        <v>217000</v>
      </c>
      <c r="P843" s="2">
        <v>6215909</v>
      </c>
      <c r="Q843" s="2" t="s">
        <v>1062</v>
      </c>
      <c r="R843" s="2" t="s">
        <v>1063</v>
      </c>
      <c r="S843" s="2" t="s">
        <v>56</v>
      </c>
      <c r="T843" s="2" t="s">
        <v>286</v>
      </c>
      <c r="U843" s="2" t="s">
        <v>129</v>
      </c>
      <c r="W843" s="4">
        <v>400</v>
      </c>
      <c r="X843" s="4">
        <v>480</v>
      </c>
      <c r="Y843" s="4">
        <f t="shared" ref="Y843" si="938">INDEX(InternalRates,MATCH($S843,InternalRates01,FALSE),2)</f>
        <v>278.98333333333335</v>
      </c>
      <c r="Z843" s="3" t="str">
        <f t="shared" si="889"/>
        <v>Nie</v>
      </c>
      <c r="AA843" s="3" t="str">
        <f t="shared" si="890"/>
        <v>SLA</v>
      </c>
      <c r="AB843" s="4">
        <v>714.28571428571433</v>
      </c>
      <c r="AC843" s="4">
        <v>714.28571428571433</v>
      </c>
      <c r="AD843" s="3" t="s">
        <v>48</v>
      </c>
      <c r="AE843" s="6">
        <v>44991</v>
      </c>
      <c r="AF843" s="3" t="s">
        <v>59</v>
      </c>
      <c r="AG843" s="3" t="s">
        <v>60</v>
      </c>
      <c r="AH843" s="3">
        <f>YEAR(SrcDB[[#This Row],[Datum_zverejnenia]])</f>
        <v>2022</v>
      </c>
      <c r="AI843" s="3" cm="1">
        <f t="array" ref="AI843">COUNT(_xlfn.UNIQUE(_xlfn._xlws.FILTER(SrcDB[ID],SrcDB[Objednavatel_ICO]=$H843)))</f>
        <v>1</v>
      </c>
      <c r="AJ843" s="3" cm="1">
        <f t="array" ref="AJ843">COUNT(_xlfn.UNIQUE(_xlfn._xlws.FILTER(SrcDB[ID],SrcDB[Dodavatel_ICO]=$K843)))</f>
        <v>1</v>
      </c>
      <c r="AK843" s="3">
        <f t="shared" si="930"/>
        <v>0</v>
      </c>
      <c r="AL843" s="3">
        <f t="shared" si="931"/>
        <v>0</v>
      </c>
      <c r="AM843" s="17" t="str">
        <f>IF(SrcDB[[#This Row],[Pocet zmluv objednavatela]]&gt;3,SrcDB[[#This Row],[Objednavatel]],"Ostatné")</f>
        <v>Ostatné</v>
      </c>
      <c r="AN843" s="17" t="str">
        <f>IF(SrcDB[[#This Row],[Pocet zmluv dodavatela]]&gt;3,SrcDB[[#This Row],[Dodavatel]],"Ostatné")</f>
        <v>Ostatné</v>
      </c>
    </row>
    <row r="844" spans="1:40" x14ac:dyDescent="0.3">
      <c r="A844" s="2" t="s">
        <v>1058</v>
      </c>
      <c r="B844" s="2">
        <v>7295701</v>
      </c>
      <c r="C844" s="3" t="str">
        <f t="shared" si="924"/>
        <v>Nie</v>
      </c>
      <c r="D844" s="3" t="str">
        <f t="shared" si="925"/>
        <v>Áno</v>
      </c>
      <c r="E844" s="3" t="s">
        <v>48</v>
      </c>
      <c r="F844" s="3" t="s">
        <v>49</v>
      </c>
      <c r="G844" s="2" t="str">
        <f t="shared" si="926"/>
        <v>Malé zmluvy</v>
      </c>
      <c r="H844" s="5">
        <v>36570460</v>
      </c>
      <c r="I844" s="2" t="s">
        <v>1059</v>
      </c>
      <c r="J844" s="2" t="s">
        <v>1060</v>
      </c>
      <c r="K844" s="5">
        <v>50698656</v>
      </c>
      <c r="L844" s="2" t="s">
        <v>1061</v>
      </c>
      <c r="M844" s="2" t="s">
        <v>223</v>
      </c>
      <c r="N844" s="6">
        <v>44917.321469907409</v>
      </c>
      <c r="O844" s="4">
        <v>217000</v>
      </c>
      <c r="P844" s="2">
        <v>6215909</v>
      </c>
      <c r="Q844" s="2" t="s">
        <v>1062</v>
      </c>
      <c r="R844" s="2" t="s">
        <v>1063</v>
      </c>
      <c r="S844" s="2" t="s">
        <v>73</v>
      </c>
      <c r="W844" s="4">
        <v>360</v>
      </c>
      <c r="X844" s="4">
        <v>432</v>
      </c>
      <c r="Y844" s="4">
        <f t="shared" ref="Y844" si="939">INDEX(InternalRates,MATCH($S844,InternalRates01,FALSE),2)</f>
        <v>278.98333333333335</v>
      </c>
      <c r="Z844" s="3" t="str">
        <f t="shared" si="889"/>
        <v>Nie</v>
      </c>
      <c r="AA844" s="3" t="str">
        <f t="shared" si="890"/>
        <v>SLA</v>
      </c>
      <c r="AB844" s="4">
        <v>714.28571428571433</v>
      </c>
      <c r="AC844" s="4">
        <v>714.28571428571433</v>
      </c>
      <c r="AD844" s="3" t="s">
        <v>48</v>
      </c>
      <c r="AE844" s="6">
        <v>44991</v>
      </c>
      <c r="AF844" s="3" t="s">
        <v>59</v>
      </c>
      <c r="AG844" s="3" t="s">
        <v>60</v>
      </c>
      <c r="AH844" s="3">
        <f>YEAR(SrcDB[[#This Row],[Datum_zverejnenia]])</f>
        <v>2022</v>
      </c>
      <c r="AI844" s="3" cm="1">
        <f t="array" ref="AI844">COUNT(_xlfn.UNIQUE(_xlfn._xlws.FILTER(SrcDB[ID],SrcDB[Objednavatel_ICO]=$H844)))</f>
        <v>1</v>
      </c>
      <c r="AJ844" s="3" cm="1">
        <f t="array" ref="AJ844">COUNT(_xlfn.UNIQUE(_xlfn._xlws.FILTER(SrcDB[ID],SrcDB[Dodavatel_ICO]=$K844)))</f>
        <v>1</v>
      </c>
      <c r="AK844" s="3">
        <f t="shared" si="930"/>
        <v>0</v>
      </c>
      <c r="AL844" s="3">
        <f t="shared" si="931"/>
        <v>0</v>
      </c>
      <c r="AM844" s="17" t="str">
        <f>IF(SrcDB[[#This Row],[Pocet zmluv objednavatela]]&gt;3,SrcDB[[#This Row],[Objednavatel]],"Ostatné")</f>
        <v>Ostatné</v>
      </c>
      <c r="AN844" s="17" t="str">
        <f>IF(SrcDB[[#This Row],[Pocet zmluv dodavatela]]&gt;3,SrcDB[[#This Row],[Dodavatel]],"Ostatné")</f>
        <v>Ostatné</v>
      </c>
    </row>
    <row r="845" spans="1:40" x14ac:dyDescent="0.3">
      <c r="A845" s="2" t="s">
        <v>1058</v>
      </c>
      <c r="B845" s="2">
        <v>7295701</v>
      </c>
      <c r="C845" s="3" t="str">
        <f t="shared" si="924"/>
        <v>Nie</v>
      </c>
      <c r="D845" s="3" t="str">
        <f t="shared" si="925"/>
        <v>Áno</v>
      </c>
      <c r="E845" s="3" t="s">
        <v>48</v>
      </c>
      <c r="F845" s="3" t="s">
        <v>49</v>
      </c>
      <c r="G845" s="2" t="str">
        <f t="shared" si="926"/>
        <v>Malé zmluvy</v>
      </c>
      <c r="H845" s="5">
        <v>36570460</v>
      </c>
      <c r="I845" s="2" t="s">
        <v>1059</v>
      </c>
      <c r="J845" s="2" t="s">
        <v>1060</v>
      </c>
      <c r="K845" s="5">
        <v>50698656</v>
      </c>
      <c r="L845" s="2" t="s">
        <v>1061</v>
      </c>
      <c r="M845" s="2" t="s">
        <v>223</v>
      </c>
      <c r="N845" s="6">
        <v>44917.321469907409</v>
      </c>
      <c r="O845" s="4">
        <v>217000</v>
      </c>
      <c r="P845" s="2">
        <v>6215909</v>
      </c>
      <c r="Q845" s="2" t="s">
        <v>1062</v>
      </c>
      <c r="R845" s="2" t="s">
        <v>1063</v>
      </c>
      <c r="S845" s="2" t="s">
        <v>77</v>
      </c>
      <c r="W845" s="4">
        <v>320</v>
      </c>
      <c r="X845" s="4">
        <v>384</v>
      </c>
      <c r="Y845" s="4">
        <f t="shared" ref="Y845" si="940">INDEX(InternalRates,MATCH($S845,InternalRates01,FALSE),2)</f>
        <v>278.98333333333335</v>
      </c>
      <c r="Z845" s="3" t="str">
        <f t="shared" si="889"/>
        <v>Nie</v>
      </c>
      <c r="AA845" s="3" t="str">
        <f t="shared" si="890"/>
        <v>SLA</v>
      </c>
      <c r="AB845" s="4">
        <v>714.28571428571433</v>
      </c>
      <c r="AC845" s="4">
        <v>714.28571428571433</v>
      </c>
      <c r="AD845" s="3" t="s">
        <v>48</v>
      </c>
      <c r="AE845" s="6">
        <v>44991</v>
      </c>
      <c r="AF845" s="3" t="s">
        <v>59</v>
      </c>
      <c r="AG845" s="3" t="s">
        <v>60</v>
      </c>
      <c r="AH845" s="3">
        <f>YEAR(SrcDB[[#This Row],[Datum_zverejnenia]])</f>
        <v>2022</v>
      </c>
      <c r="AI845" s="3" cm="1">
        <f t="array" ref="AI845">COUNT(_xlfn.UNIQUE(_xlfn._xlws.FILTER(SrcDB[ID],SrcDB[Objednavatel_ICO]=$H845)))</f>
        <v>1</v>
      </c>
      <c r="AJ845" s="3" cm="1">
        <f t="array" ref="AJ845">COUNT(_xlfn.UNIQUE(_xlfn._xlws.FILTER(SrcDB[ID],SrcDB[Dodavatel_ICO]=$K845)))</f>
        <v>1</v>
      </c>
      <c r="AK845" s="3">
        <f t="shared" si="930"/>
        <v>0</v>
      </c>
      <c r="AL845" s="3">
        <f t="shared" si="931"/>
        <v>0</v>
      </c>
      <c r="AM845" s="17" t="str">
        <f>IF(SrcDB[[#This Row],[Pocet zmluv objednavatela]]&gt;3,SrcDB[[#This Row],[Objednavatel]],"Ostatné")</f>
        <v>Ostatné</v>
      </c>
      <c r="AN845" s="17" t="str">
        <f>IF(SrcDB[[#This Row],[Pocet zmluv dodavatela]]&gt;3,SrcDB[[#This Row],[Dodavatel]],"Ostatné")</f>
        <v>Ostatné</v>
      </c>
    </row>
    <row r="846" spans="1:40" x14ac:dyDescent="0.3">
      <c r="A846" s="2" t="s">
        <v>1058</v>
      </c>
      <c r="B846" s="2">
        <v>7295701</v>
      </c>
      <c r="C846" s="3" t="str">
        <f t="shared" si="924"/>
        <v>Nie</v>
      </c>
      <c r="D846" s="3" t="str">
        <f t="shared" si="925"/>
        <v>Áno</v>
      </c>
      <c r="E846" s="3" t="s">
        <v>48</v>
      </c>
      <c r="F846" s="3" t="s">
        <v>49</v>
      </c>
      <c r="G846" s="2" t="str">
        <f t="shared" si="926"/>
        <v>Malé zmluvy</v>
      </c>
      <c r="H846" s="5">
        <v>36570460</v>
      </c>
      <c r="I846" s="2" t="s">
        <v>1059</v>
      </c>
      <c r="J846" s="2" t="s">
        <v>1060</v>
      </c>
      <c r="K846" s="5">
        <v>50698656</v>
      </c>
      <c r="L846" s="2" t="s">
        <v>1061</v>
      </c>
      <c r="M846" s="2" t="s">
        <v>223</v>
      </c>
      <c r="N846" s="6">
        <v>44917.321469907409</v>
      </c>
      <c r="O846" s="4">
        <v>217000</v>
      </c>
      <c r="P846" s="2">
        <v>6215909</v>
      </c>
      <c r="Q846" s="2" t="s">
        <v>1062</v>
      </c>
      <c r="R846" s="2" t="s">
        <v>1063</v>
      </c>
      <c r="S846" s="2" t="s">
        <v>79</v>
      </c>
      <c r="W846" s="4">
        <v>280</v>
      </c>
      <c r="X846" s="4">
        <v>336</v>
      </c>
      <c r="Y846" s="4">
        <f t="shared" ref="Y846" si="941">INDEX(InternalRates,MATCH($S846,InternalRates01,FALSE),2)</f>
        <v>278.98333333333335</v>
      </c>
      <c r="Z846" s="3" t="str">
        <f t="shared" si="889"/>
        <v>Nie</v>
      </c>
      <c r="AA846" s="3" t="str">
        <f t="shared" si="890"/>
        <v>SLA</v>
      </c>
      <c r="AB846" s="4">
        <v>714.28571428571433</v>
      </c>
      <c r="AC846" s="4">
        <v>714.28571428571433</v>
      </c>
      <c r="AD846" s="3" t="s">
        <v>48</v>
      </c>
      <c r="AE846" s="6">
        <v>44991</v>
      </c>
      <c r="AF846" s="3" t="s">
        <v>59</v>
      </c>
      <c r="AG846" s="3" t="s">
        <v>60</v>
      </c>
      <c r="AH846" s="3">
        <f>YEAR(SrcDB[[#This Row],[Datum_zverejnenia]])</f>
        <v>2022</v>
      </c>
      <c r="AI846" s="3" cm="1">
        <f t="array" ref="AI846">COUNT(_xlfn.UNIQUE(_xlfn._xlws.FILTER(SrcDB[ID],SrcDB[Objednavatel_ICO]=$H846)))</f>
        <v>1</v>
      </c>
      <c r="AJ846" s="3" cm="1">
        <f t="array" ref="AJ846">COUNT(_xlfn.UNIQUE(_xlfn._xlws.FILTER(SrcDB[ID],SrcDB[Dodavatel_ICO]=$K846)))</f>
        <v>1</v>
      </c>
      <c r="AK846" s="3">
        <f t="shared" si="930"/>
        <v>0</v>
      </c>
      <c r="AL846" s="3">
        <f t="shared" si="931"/>
        <v>0</v>
      </c>
      <c r="AM846" s="17" t="str">
        <f>IF(SrcDB[[#This Row],[Pocet zmluv objednavatela]]&gt;3,SrcDB[[#This Row],[Objednavatel]],"Ostatné")</f>
        <v>Ostatné</v>
      </c>
      <c r="AN846" s="17" t="str">
        <f>IF(SrcDB[[#This Row],[Pocet zmluv dodavatela]]&gt;3,SrcDB[[#This Row],[Dodavatel]],"Ostatné")</f>
        <v>Ostatné</v>
      </c>
    </row>
    <row r="847" spans="1:40" x14ac:dyDescent="0.3">
      <c r="A847" s="2" t="s">
        <v>1058</v>
      </c>
      <c r="B847" s="2">
        <v>7295701</v>
      </c>
      <c r="C847" s="3" t="str">
        <f t="shared" si="924"/>
        <v>Nie</v>
      </c>
      <c r="D847" s="3" t="str">
        <f t="shared" si="925"/>
        <v>Áno</v>
      </c>
      <c r="E847" s="3" t="s">
        <v>48</v>
      </c>
      <c r="F847" s="3" t="s">
        <v>49</v>
      </c>
      <c r="G847" s="2" t="str">
        <f t="shared" si="926"/>
        <v>Malé zmluvy</v>
      </c>
      <c r="H847" s="5">
        <v>36570460</v>
      </c>
      <c r="I847" s="2" t="s">
        <v>1059</v>
      </c>
      <c r="J847" s="2" t="s">
        <v>1060</v>
      </c>
      <c r="K847" s="5">
        <v>50698656</v>
      </c>
      <c r="L847" s="2" t="s">
        <v>1061</v>
      </c>
      <c r="M847" s="2" t="s">
        <v>223</v>
      </c>
      <c r="N847" s="6">
        <v>44917.321469907409</v>
      </c>
      <c r="O847" s="4">
        <v>217000</v>
      </c>
      <c r="P847" s="2">
        <v>6215909</v>
      </c>
      <c r="Q847" s="2" t="s">
        <v>1062</v>
      </c>
      <c r="R847" s="2" t="s">
        <v>1063</v>
      </c>
      <c r="S847" s="2" t="s">
        <v>56</v>
      </c>
      <c r="T847" s="2" t="s">
        <v>522</v>
      </c>
      <c r="U847" s="2" t="s">
        <v>289</v>
      </c>
      <c r="W847" s="4">
        <v>320</v>
      </c>
      <c r="X847" s="4">
        <v>384</v>
      </c>
      <c r="Y847" s="4">
        <f t="shared" ref="Y847" si="942">INDEX(InternalRates,MATCH($S847,InternalRates01,FALSE),2)</f>
        <v>278.98333333333335</v>
      </c>
      <c r="Z847" s="3" t="str">
        <f t="shared" si="889"/>
        <v>Nie</v>
      </c>
      <c r="AA847" s="3" t="str">
        <f t="shared" si="890"/>
        <v>SLA</v>
      </c>
      <c r="AB847" s="4">
        <v>714.28571428571433</v>
      </c>
      <c r="AC847" s="4">
        <v>714.28571428571433</v>
      </c>
      <c r="AD847" s="3" t="s">
        <v>48</v>
      </c>
      <c r="AE847" s="6">
        <v>44991</v>
      </c>
      <c r="AF847" s="3" t="s">
        <v>59</v>
      </c>
      <c r="AG847" s="3" t="s">
        <v>60</v>
      </c>
      <c r="AH847" s="3">
        <f>YEAR(SrcDB[[#This Row],[Datum_zverejnenia]])</f>
        <v>2022</v>
      </c>
      <c r="AI847" s="3" cm="1">
        <f t="array" ref="AI847">COUNT(_xlfn.UNIQUE(_xlfn._xlws.FILTER(SrcDB[ID],SrcDB[Objednavatel_ICO]=$H847)))</f>
        <v>1</v>
      </c>
      <c r="AJ847" s="3" cm="1">
        <f t="array" ref="AJ847">COUNT(_xlfn.UNIQUE(_xlfn._xlws.FILTER(SrcDB[ID],SrcDB[Dodavatel_ICO]=$K847)))</f>
        <v>1</v>
      </c>
      <c r="AK847" s="3">
        <f t="shared" si="930"/>
        <v>0</v>
      </c>
      <c r="AL847" s="3">
        <f t="shared" si="931"/>
        <v>0</v>
      </c>
      <c r="AM847" s="17" t="str">
        <f>IF(SrcDB[[#This Row],[Pocet zmluv objednavatela]]&gt;3,SrcDB[[#This Row],[Objednavatel]],"Ostatné")</f>
        <v>Ostatné</v>
      </c>
      <c r="AN847" s="17" t="str">
        <f>IF(SrcDB[[#This Row],[Pocet zmluv dodavatela]]&gt;3,SrcDB[[#This Row],[Dodavatel]],"Ostatné")</f>
        <v>Ostatné</v>
      </c>
    </row>
    <row r="848" spans="1:40" x14ac:dyDescent="0.3">
      <c r="A848" s="2" t="s">
        <v>1058</v>
      </c>
      <c r="B848" s="2">
        <v>7295701</v>
      </c>
      <c r="C848" s="3" t="str">
        <f t="shared" si="924"/>
        <v>Nie</v>
      </c>
      <c r="D848" s="3" t="str">
        <f t="shared" si="925"/>
        <v>Áno</v>
      </c>
      <c r="E848" s="3" t="s">
        <v>48</v>
      </c>
      <c r="F848" s="3" t="s">
        <v>49</v>
      </c>
      <c r="G848" s="2" t="str">
        <f t="shared" si="926"/>
        <v>Malé zmluvy</v>
      </c>
      <c r="H848" s="5">
        <v>36570460</v>
      </c>
      <c r="I848" s="2" t="s">
        <v>1059</v>
      </c>
      <c r="J848" s="2" t="s">
        <v>1060</v>
      </c>
      <c r="K848" s="5">
        <v>50698656</v>
      </c>
      <c r="L848" s="2" t="s">
        <v>1061</v>
      </c>
      <c r="M848" s="2" t="s">
        <v>223</v>
      </c>
      <c r="N848" s="6">
        <v>44917.321469907409</v>
      </c>
      <c r="O848" s="4">
        <v>217000</v>
      </c>
      <c r="P848" s="2">
        <v>6215909</v>
      </c>
      <c r="Q848" s="2" t="s">
        <v>1062</v>
      </c>
      <c r="R848" s="2" t="s">
        <v>1063</v>
      </c>
      <c r="S848" s="2" t="s">
        <v>71</v>
      </c>
      <c r="W848" s="4">
        <v>360</v>
      </c>
      <c r="X848" s="4">
        <v>432</v>
      </c>
      <c r="Y848" s="4">
        <f t="shared" ref="Y848" si="943">INDEX(InternalRates,MATCH($S848,InternalRates01,FALSE),2)</f>
        <v>354.0333333333333</v>
      </c>
      <c r="Z848" s="3" t="str">
        <f t="shared" si="889"/>
        <v>Nie</v>
      </c>
      <c r="AA848" s="3" t="str">
        <f t="shared" si="890"/>
        <v>SLA</v>
      </c>
      <c r="AB848" s="4">
        <v>714.28571428571433</v>
      </c>
      <c r="AC848" s="4">
        <v>714.28571428571433</v>
      </c>
      <c r="AD848" s="3" t="s">
        <v>48</v>
      </c>
      <c r="AE848" s="6">
        <v>44991</v>
      </c>
      <c r="AF848" s="3" t="s">
        <v>59</v>
      </c>
      <c r="AG848" s="3" t="s">
        <v>60</v>
      </c>
      <c r="AH848" s="3">
        <f>YEAR(SrcDB[[#This Row],[Datum_zverejnenia]])</f>
        <v>2022</v>
      </c>
      <c r="AI848" s="3" cm="1">
        <f t="array" ref="AI848">COUNT(_xlfn.UNIQUE(_xlfn._xlws.FILTER(SrcDB[ID],SrcDB[Objednavatel_ICO]=$H848)))</f>
        <v>1</v>
      </c>
      <c r="AJ848" s="3" cm="1">
        <f t="array" ref="AJ848">COUNT(_xlfn.UNIQUE(_xlfn._xlws.FILTER(SrcDB[ID],SrcDB[Dodavatel_ICO]=$K848)))</f>
        <v>1</v>
      </c>
      <c r="AK848" s="3">
        <f t="shared" si="930"/>
        <v>0</v>
      </c>
      <c r="AL848" s="3">
        <f t="shared" si="931"/>
        <v>0</v>
      </c>
      <c r="AM848" s="17" t="str">
        <f>IF(SrcDB[[#This Row],[Pocet zmluv objednavatela]]&gt;3,SrcDB[[#This Row],[Objednavatel]],"Ostatné")</f>
        <v>Ostatné</v>
      </c>
      <c r="AN848" s="17" t="str">
        <f>IF(SrcDB[[#This Row],[Pocet zmluv dodavatela]]&gt;3,SrcDB[[#This Row],[Dodavatel]],"Ostatné")</f>
        <v>Ostatné</v>
      </c>
    </row>
    <row r="849" spans="1:40" x14ac:dyDescent="0.3">
      <c r="A849" s="2" t="s">
        <v>704</v>
      </c>
      <c r="B849" s="2">
        <v>7297015</v>
      </c>
      <c r="C849" s="3" t="str">
        <f t="shared" si="924"/>
        <v>Áno</v>
      </c>
      <c r="D849" s="3" t="str">
        <f t="shared" si="925"/>
        <v>Nie</v>
      </c>
      <c r="E849" s="3" t="s">
        <v>49</v>
      </c>
      <c r="F849" s="3" t="s">
        <v>48</v>
      </c>
      <c r="G849" s="2" t="str">
        <f t="shared" si="926"/>
        <v>Malé zmluvy</v>
      </c>
      <c r="H849" s="5">
        <v>53268652</v>
      </c>
      <c r="I849" s="2" t="s">
        <v>1064</v>
      </c>
      <c r="J849" s="2" t="s">
        <v>1065</v>
      </c>
      <c r="K849" s="5">
        <v>44367465</v>
      </c>
      <c r="L849" s="2" t="s">
        <v>932</v>
      </c>
      <c r="M849" s="2" t="s">
        <v>933</v>
      </c>
      <c r="N849" s="6">
        <v>44917.391840277778</v>
      </c>
      <c r="O849" s="4">
        <v>169920</v>
      </c>
      <c r="P849" s="2">
        <v>1455994</v>
      </c>
      <c r="Q849" s="2" t="s">
        <v>1066</v>
      </c>
      <c r="R849" s="2" t="s">
        <v>1067</v>
      </c>
      <c r="S849" s="2" t="s">
        <v>73</v>
      </c>
      <c r="W849" s="4">
        <v>570</v>
      </c>
      <c r="X849" s="4">
        <v>684</v>
      </c>
      <c r="Y849" s="4">
        <f t="shared" ref="Y849" si="944">INDEX(InternalRates,MATCH($S849,InternalRates01,FALSE),2)</f>
        <v>278.98333333333335</v>
      </c>
      <c r="Z849" s="3" t="str">
        <f t="shared" si="889"/>
        <v>Nie</v>
      </c>
      <c r="AA849" s="3" t="str">
        <f t="shared" si="890"/>
        <v>ZoD</v>
      </c>
      <c r="AB849" s="4">
        <v>1200</v>
      </c>
      <c r="AC849" s="4">
        <v>3476.1904761904766</v>
      </c>
      <c r="AD849" s="3" t="s">
        <v>48</v>
      </c>
      <c r="AE849" s="6">
        <v>44985</v>
      </c>
      <c r="AF849" s="3" t="s">
        <v>638</v>
      </c>
      <c r="AG849" s="3" t="s">
        <v>60</v>
      </c>
      <c r="AH849" s="3">
        <f>YEAR(SrcDB[[#This Row],[Datum_zverejnenia]])</f>
        <v>2022</v>
      </c>
      <c r="AI849" s="3" cm="1">
        <f t="array" ref="AI849">COUNT(_xlfn.UNIQUE(_xlfn._xlws.FILTER(SrcDB[ID],SrcDB[Objednavatel_ICO]=$H849)))</f>
        <v>1</v>
      </c>
      <c r="AJ849" s="3" cm="1">
        <f t="array" ref="AJ849">COUNT(_xlfn.UNIQUE(_xlfn._xlws.FILTER(SrcDB[ID],SrcDB[Dodavatel_ICO]=$K849)))</f>
        <v>4</v>
      </c>
      <c r="AK849" s="3">
        <f t="shared" si="930"/>
        <v>1</v>
      </c>
      <c r="AL849" s="3">
        <f t="shared" si="931"/>
        <v>1</v>
      </c>
      <c r="AM849" s="17" t="str">
        <f>IF(SrcDB[[#This Row],[Pocet zmluv objednavatela]]&gt;3,SrcDB[[#This Row],[Objednavatel]],"Ostatné")</f>
        <v>Ostatné</v>
      </c>
      <c r="AN849" s="17" t="str">
        <f>IF(SrcDB[[#This Row],[Pocet zmluv dodavatela]]&gt;3,SrcDB[[#This Row],[Dodavatel]],"Ostatné")</f>
        <v>Soimco a. s.</v>
      </c>
    </row>
    <row r="850" spans="1:40" x14ac:dyDescent="0.3">
      <c r="A850" s="2" t="s">
        <v>704</v>
      </c>
      <c r="B850" s="2">
        <v>7297015</v>
      </c>
      <c r="C850" s="3" t="str">
        <f t="shared" si="924"/>
        <v>Áno</v>
      </c>
      <c r="D850" s="3" t="str">
        <f t="shared" si="925"/>
        <v>Nie</v>
      </c>
      <c r="E850" s="3" t="s">
        <v>49</v>
      </c>
      <c r="F850" s="3" t="s">
        <v>48</v>
      </c>
      <c r="G850" s="2" t="str">
        <f t="shared" si="926"/>
        <v>Malé zmluvy</v>
      </c>
      <c r="H850" s="5">
        <v>53268652</v>
      </c>
      <c r="I850" s="2" t="s">
        <v>1064</v>
      </c>
      <c r="J850" s="2" t="s">
        <v>1065</v>
      </c>
      <c r="K850" s="5">
        <v>44367465</v>
      </c>
      <c r="L850" s="2" t="s">
        <v>932</v>
      </c>
      <c r="M850" s="2" t="s">
        <v>933</v>
      </c>
      <c r="N850" s="6">
        <v>44917.391840277778</v>
      </c>
      <c r="O850" s="4">
        <v>169920</v>
      </c>
      <c r="P850" s="2">
        <v>1455994</v>
      </c>
      <c r="Q850" s="2" t="s">
        <v>1066</v>
      </c>
      <c r="R850" s="2" t="s">
        <v>1067</v>
      </c>
      <c r="S850" s="2" t="s">
        <v>77</v>
      </c>
      <c r="W850" s="4">
        <v>570</v>
      </c>
      <c r="X850" s="4">
        <v>684</v>
      </c>
      <c r="Y850" s="4">
        <f t="shared" ref="Y850" si="945">INDEX(InternalRates,MATCH($S850,InternalRates01,FALSE),2)</f>
        <v>278.98333333333335</v>
      </c>
      <c r="Z850" s="3" t="str">
        <f t="shared" si="889"/>
        <v>Nie</v>
      </c>
      <c r="AA850" s="3" t="str">
        <f t="shared" si="890"/>
        <v>ZoD</v>
      </c>
      <c r="AB850" s="4">
        <v>1185</v>
      </c>
      <c r="AC850" s="4">
        <v>3432.738095238095</v>
      </c>
      <c r="AD850" s="3" t="s">
        <v>48</v>
      </c>
      <c r="AE850" s="6">
        <v>44985</v>
      </c>
      <c r="AF850" s="3" t="s">
        <v>638</v>
      </c>
      <c r="AG850" s="3" t="s">
        <v>60</v>
      </c>
      <c r="AH850" s="3">
        <f>YEAR(SrcDB[[#This Row],[Datum_zverejnenia]])</f>
        <v>2022</v>
      </c>
      <c r="AI850" s="3" cm="1">
        <f t="array" ref="AI850">COUNT(_xlfn.UNIQUE(_xlfn._xlws.FILTER(SrcDB[ID],SrcDB[Objednavatel_ICO]=$H850)))</f>
        <v>1</v>
      </c>
      <c r="AJ850" s="3" cm="1">
        <f t="array" ref="AJ850">COUNT(_xlfn.UNIQUE(_xlfn._xlws.FILTER(SrcDB[ID],SrcDB[Dodavatel_ICO]=$K850)))</f>
        <v>4</v>
      </c>
      <c r="AK850" s="3">
        <f t="shared" si="930"/>
        <v>0</v>
      </c>
      <c r="AL850" s="3">
        <f t="shared" si="931"/>
        <v>0</v>
      </c>
      <c r="AM850" s="17" t="str">
        <f>IF(SrcDB[[#This Row],[Pocet zmluv objednavatela]]&gt;3,SrcDB[[#This Row],[Objednavatel]],"Ostatné")</f>
        <v>Ostatné</v>
      </c>
      <c r="AN850" s="17" t="str">
        <f>IF(SrcDB[[#This Row],[Pocet zmluv dodavatela]]&gt;3,SrcDB[[#This Row],[Dodavatel]],"Ostatné")</f>
        <v>Soimco a. s.</v>
      </c>
    </row>
    <row r="851" spans="1:40" x14ac:dyDescent="0.3">
      <c r="A851" s="2" t="s">
        <v>704</v>
      </c>
      <c r="B851" s="2">
        <v>7297015</v>
      </c>
      <c r="C851" s="3" t="str">
        <f t="shared" si="924"/>
        <v>Áno</v>
      </c>
      <c r="D851" s="3" t="str">
        <f t="shared" si="925"/>
        <v>Nie</v>
      </c>
      <c r="E851" s="3" t="s">
        <v>49</v>
      </c>
      <c r="F851" s="3" t="s">
        <v>48</v>
      </c>
      <c r="G851" s="2" t="str">
        <f t="shared" si="926"/>
        <v>Malé zmluvy</v>
      </c>
      <c r="H851" s="5">
        <v>53268652</v>
      </c>
      <c r="I851" s="2" t="s">
        <v>1064</v>
      </c>
      <c r="J851" s="2" t="s">
        <v>1065</v>
      </c>
      <c r="K851" s="5">
        <v>44367465</v>
      </c>
      <c r="L851" s="2" t="s">
        <v>932</v>
      </c>
      <c r="M851" s="2" t="s">
        <v>933</v>
      </c>
      <c r="N851" s="6">
        <v>44917.391840277778</v>
      </c>
      <c r="O851" s="4">
        <v>169920</v>
      </c>
      <c r="P851" s="2">
        <v>1455994</v>
      </c>
      <c r="Q851" s="2" t="s">
        <v>1066</v>
      </c>
      <c r="R851" s="2" t="s">
        <v>1067</v>
      </c>
      <c r="S851" s="2" t="s">
        <v>79</v>
      </c>
      <c r="W851" s="4">
        <v>470</v>
      </c>
      <c r="X851" s="4">
        <v>564</v>
      </c>
      <c r="Y851" s="4">
        <f t="shared" ref="Y851" si="946">INDEX(InternalRates,MATCH($S851,InternalRates01,FALSE),2)</f>
        <v>278.98333333333335</v>
      </c>
      <c r="Z851" s="3" t="str">
        <f t="shared" si="889"/>
        <v>Nie</v>
      </c>
      <c r="AA851" s="3" t="str">
        <f t="shared" si="890"/>
        <v>ZoD</v>
      </c>
      <c r="AB851" s="4">
        <v>304</v>
      </c>
      <c r="AC851" s="4">
        <v>880.6349206349206</v>
      </c>
      <c r="AD851" s="3" t="s">
        <v>48</v>
      </c>
      <c r="AE851" s="6">
        <v>44985</v>
      </c>
      <c r="AF851" s="3" t="s">
        <v>638</v>
      </c>
      <c r="AG851" s="3" t="s">
        <v>60</v>
      </c>
      <c r="AH851" s="3">
        <f>YEAR(SrcDB[[#This Row],[Datum_zverejnenia]])</f>
        <v>2022</v>
      </c>
      <c r="AI851" s="3" cm="1">
        <f t="array" ref="AI851">COUNT(_xlfn.UNIQUE(_xlfn._xlws.FILTER(SrcDB[ID],SrcDB[Objednavatel_ICO]=$H851)))</f>
        <v>1</v>
      </c>
      <c r="AJ851" s="3" cm="1">
        <f t="array" ref="AJ851">COUNT(_xlfn.UNIQUE(_xlfn._xlws.FILTER(SrcDB[ID],SrcDB[Dodavatel_ICO]=$K851)))</f>
        <v>4</v>
      </c>
      <c r="AK851" s="3">
        <f t="shared" si="930"/>
        <v>0</v>
      </c>
      <c r="AL851" s="3">
        <f t="shared" si="931"/>
        <v>0</v>
      </c>
      <c r="AM851" s="17" t="str">
        <f>IF(SrcDB[[#This Row],[Pocet zmluv objednavatela]]&gt;3,SrcDB[[#This Row],[Objednavatel]],"Ostatné")</f>
        <v>Ostatné</v>
      </c>
      <c r="AN851" s="17" t="str">
        <f>IF(SrcDB[[#This Row],[Pocet zmluv dodavatela]]&gt;3,SrcDB[[#This Row],[Dodavatel]],"Ostatné")</f>
        <v>Soimco a. s.</v>
      </c>
    </row>
    <row r="852" spans="1:40" x14ac:dyDescent="0.3">
      <c r="A852" s="2" t="s">
        <v>704</v>
      </c>
      <c r="B852" s="2">
        <v>7297015</v>
      </c>
      <c r="C852" s="3" t="str">
        <f t="shared" si="924"/>
        <v>Áno</v>
      </c>
      <c r="D852" s="3" t="str">
        <f t="shared" si="925"/>
        <v>Nie</v>
      </c>
      <c r="E852" s="3" t="s">
        <v>49</v>
      </c>
      <c r="F852" s="3" t="s">
        <v>48</v>
      </c>
      <c r="G852" s="2" t="str">
        <f t="shared" si="926"/>
        <v>Malé zmluvy</v>
      </c>
      <c r="H852" s="5">
        <v>53268652</v>
      </c>
      <c r="I852" s="2" t="s">
        <v>1064</v>
      </c>
      <c r="J852" s="2" t="s">
        <v>1065</v>
      </c>
      <c r="K852" s="5">
        <v>44367465</v>
      </c>
      <c r="L852" s="2" t="s">
        <v>932</v>
      </c>
      <c r="M852" s="2" t="s">
        <v>933</v>
      </c>
      <c r="N852" s="6">
        <v>44917.391840277778</v>
      </c>
      <c r="O852" s="4">
        <v>169920</v>
      </c>
      <c r="P852" s="2">
        <v>1455994</v>
      </c>
      <c r="Q852" s="2" t="s">
        <v>1066</v>
      </c>
      <c r="R852" s="2" t="s">
        <v>1067</v>
      </c>
      <c r="S852" s="2" t="s">
        <v>71</v>
      </c>
      <c r="W852" s="4">
        <v>630</v>
      </c>
      <c r="X852" s="4">
        <v>756</v>
      </c>
      <c r="Y852" s="4">
        <f t="shared" ref="Y852" si="947">INDEX(InternalRates,MATCH($S852,InternalRates01,FALSE),2)</f>
        <v>354.0333333333333</v>
      </c>
      <c r="Z852" s="3" t="str">
        <f t="shared" si="889"/>
        <v>Nie</v>
      </c>
      <c r="AA852" s="3" t="str">
        <f t="shared" si="890"/>
        <v>ZoD</v>
      </c>
      <c r="AB852" s="4">
        <v>422</v>
      </c>
      <c r="AC852" s="4">
        <v>1222.4603174603176</v>
      </c>
      <c r="AD852" s="3" t="s">
        <v>48</v>
      </c>
      <c r="AE852" s="6">
        <v>44985</v>
      </c>
      <c r="AF852" s="3" t="s">
        <v>638</v>
      </c>
      <c r="AG852" s="3" t="s">
        <v>60</v>
      </c>
      <c r="AH852" s="3">
        <f>YEAR(SrcDB[[#This Row],[Datum_zverejnenia]])</f>
        <v>2022</v>
      </c>
      <c r="AI852" s="3" cm="1">
        <f t="array" ref="AI852">COUNT(_xlfn.UNIQUE(_xlfn._xlws.FILTER(SrcDB[ID],SrcDB[Objednavatel_ICO]=$H852)))</f>
        <v>1</v>
      </c>
      <c r="AJ852" s="3" cm="1">
        <f t="array" ref="AJ852">COUNT(_xlfn.UNIQUE(_xlfn._xlws.FILTER(SrcDB[ID],SrcDB[Dodavatel_ICO]=$K852)))</f>
        <v>4</v>
      </c>
      <c r="AK852" s="3">
        <f t="shared" si="930"/>
        <v>0</v>
      </c>
      <c r="AL852" s="3">
        <f t="shared" si="931"/>
        <v>0</v>
      </c>
      <c r="AM852" s="17" t="str">
        <f>IF(SrcDB[[#This Row],[Pocet zmluv objednavatela]]&gt;3,SrcDB[[#This Row],[Objednavatel]],"Ostatné")</f>
        <v>Ostatné</v>
      </c>
      <c r="AN852" s="17" t="str">
        <f>IF(SrcDB[[#This Row],[Pocet zmluv dodavatela]]&gt;3,SrcDB[[#This Row],[Dodavatel]],"Ostatné")</f>
        <v>Soimco a. s.</v>
      </c>
    </row>
    <row r="853" spans="1:40" x14ac:dyDescent="0.3">
      <c r="A853" s="2" t="s">
        <v>704</v>
      </c>
      <c r="B853" s="2">
        <v>7297015</v>
      </c>
      <c r="C853" s="3" t="str">
        <f t="shared" si="924"/>
        <v>Áno</v>
      </c>
      <c r="D853" s="3" t="str">
        <f t="shared" si="925"/>
        <v>Nie</v>
      </c>
      <c r="E853" s="3" t="s">
        <v>49</v>
      </c>
      <c r="F853" s="3" t="s">
        <v>48</v>
      </c>
      <c r="G853" s="2" t="str">
        <f t="shared" si="926"/>
        <v>Malé zmluvy</v>
      </c>
      <c r="H853" s="5">
        <v>53268652</v>
      </c>
      <c r="I853" s="2" t="s">
        <v>1064</v>
      </c>
      <c r="J853" s="2" t="s">
        <v>1065</v>
      </c>
      <c r="K853" s="5">
        <v>44367465</v>
      </c>
      <c r="L853" s="2" t="s">
        <v>932</v>
      </c>
      <c r="M853" s="2" t="s">
        <v>933</v>
      </c>
      <c r="N853" s="6">
        <v>44917.391840277778</v>
      </c>
      <c r="O853" s="4">
        <v>169920</v>
      </c>
      <c r="P853" s="2">
        <v>1455994</v>
      </c>
      <c r="Q853" s="2" t="s">
        <v>1066</v>
      </c>
      <c r="R853" s="2" t="s">
        <v>1067</v>
      </c>
      <c r="S853" s="2" t="s">
        <v>56</v>
      </c>
      <c r="T853" s="2" t="s">
        <v>96</v>
      </c>
      <c r="U853" s="2" t="s">
        <v>97</v>
      </c>
      <c r="W853" s="4">
        <v>570</v>
      </c>
      <c r="X853" s="4">
        <v>684</v>
      </c>
      <c r="Y853" s="4">
        <f t="shared" ref="Y853" si="948">INDEX(InternalRates,MATCH($S853,InternalRates01,FALSE),2)</f>
        <v>278.98333333333335</v>
      </c>
      <c r="Z853" s="3" t="str">
        <f t="shared" si="889"/>
        <v>Nie</v>
      </c>
      <c r="AA853" s="3" t="str">
        <f t="shared" si="890"/>
        <v>ZoD</v>
      </c>
      <c r="AB853" s="4">
        <v>432</v>
      </c>
      <c r="AC853" s="4">
        <v>1251.4285714285713</v>
      </c>
      <c r="AD853" s="3" t="s">
        <v>48</v>
      </c>
      <c r="AE853" s="6">
        <v>44985</v>
      </c>
      <c r="AF853" s="3" t="s">
        <v>638</v>
      </c>
      <c r="AG853" s="3" t="s">
        <v>60</v>
      </c>
      <c r="AH853" s="3">
        <f>YEAR(SrcDB[[#This Row],[Datum_zverejnenia]])</f>
        <v>2022</v>
      </c>
      <c r="AI853" s="3" cm="1">
        <f t="array" ref="AI853">COUNT(_xlfn.UNIQUE(_xlfn._xlws.FILTER(SrcDB[ID],SrcDB[Objednavatel_ICO]=$H853)))</f>
        <v>1</v>
      </c>
      <c r="AJ853" s="3" cm="1">
        <f t="array" ref="AJ853">COUNT(_xlfn.UNIQUE(_xlfn._xlws.FILTER(SrcDB[ID],SrcDB[Dodavatel_ICO]=$K853)))</f>
        <v>4</v>
      </c>
      <c r="AK853" s="3">
        <f t="shared" si="930"/>
        <v>0</v>
      </c>
      <c r="AL853" s="3">
        <f t="shared" si="931"/>
        <v>0</v>
      </c>
      <c r="AM853" s="17" t="str">
        <f>IF(SrcDB[[#This Row],[Pocet zmluv objednavatela]]&gt;3,SrcDB[[#This Row],[Objednavatel]],"Ostatné")</f>
        <v>Ostatné</v>
      </c>
      <c r="AN853" s="17" t="str">
        <f>IF(SrcDB[[#This Row],[Pocet zmluv dodavatela]]&gt;3,SrcDB[[#This Row],[Dodavatel]],"Ostatné")</f>
        <v>Soimco a. s.</v>
      </c>
    </row>
    <row r="854" spans="1:40" x14ac:dyDescent="0.3">
      <c r="A854" s="2" t="s">
        <v>704</v>
      </c>
      <c r="B854" s="2">
        <v>7297015</v>
      </c>
      <c r="C854" s="3" t="str">
        <f t="shared" si="924"/>
        <v>Áno</v>
      </c>
      <c r="D854" s="3" t="str">
        <f t="shared" si="925"/>
        <v>Nie</v>
      </c>
      <c r="E854" s="3" t="s">
        <v>49</v>
      </c>
      <c r="F854" s="3" t="s">
        <v>48</v>
      </c>
      <c r="G854" s="2" t="str">
        <f t="shared" si="926"/>
        <v>Malé zmluvy</v>
      </c>
      <c r="H854" s="5">
        <v>53268652</v>
      </c>
      <c r="I854" s="2" t="s">
        <v>1064</v>
      </c>
      <c r="J854" s="2" t="s">
        <v>1065</v>
      </c>
      <c r="K854" s="5">
        <v>44367465</v>
      </c>
      <c r="L854" s="2" t="s">
        <v>932</v>
      </c>
      <c r="M854" s="2" t="s">
        <v>933</v>
      </c>
      <c r="N854" s="6">
        <v>44917.391840277778</v>
      </c>
      <c r="O854" s="4">
        <v>169920</v>
      </c>
      <c r="P854" s="2">
        <v>1455994</v>
      </c>
      <c r="Q854" s="2" t="s">
        <v>1066</v>
      </c>
      <c r="R854" s="2" t="s">
        <v>1067</v>
      </c>
      <c r="S854" s="2" t="s">
        <v>56</v>
      </c>
      <c r="T854" s="2" t="s">
        <v>448</v>
      </c>
      <c r="U854" s="2" t="s">
        <v>449</v>
      </c>
      <c r="W854" s="4">
        <v>570</v>
      </c>
      <c r="X854" s="4">
        <v>684</v>
      </c>
      <c r="Y854" s="4">
        <f t="shared" ref="Y854" si="949">INDEX(InternalRates,MATCH($S854,InternalRates01,FALSE),2)</f>
        <v>278.98333333333335</v>
      </c>
      <c r="Z854" s="3" t="str">
        <f t="shared" si="889"/>
        <v>Nie</v>
      </c>
      <c r="AA854" s="3" t="str">
        <f t="shared" si="890"/>
        <v>ZoD</v>
      </c>
      <c r="AB854" s="4">
        <v>72</v>
      </c>
      <c r="AC854" s="4">
        <v>208.57142857142858</v>
      </c>
      <c r="AD854" s="3" t="s">
        <v>48</v>
      </c>
      <c r="AE854" s="6">
        <v>44985</v>
      </c>
      <c r="AF854" s="3" t="s">
        <v>638</v>
      </c>
      <c r="AG854" s="3" t="s">
        <v>60</v>
      </c>
      <c r="AH854" s="3">
        <f>YEAR(SrcDB[[#This Row],[Datum_zverejnenia]])</f>
        <v>2022</v>
      </c>
      <c r="AI854" s="3" cm="1">
        <f t="array" ref="AI854">COUNT(_xlfn.UNIQUE(_xlfn._xlws.FILTER(SrcDB[ID],SrcDB[Objednavatel_ICO]=$H854)))</f>
        <v>1</v>
      </c>
      <c r="AJ854" s="3" cm="1">
        <f t="array" ref="AJ854">COUNT(_xlfn.UNIQUE(_xlfn._xlws.FILTER(SrcDB[ID],SrcDB[Dodavatel_ICO]=$K854)))</f>
        <v>4</v>
      </c>
      <c r="AK854" s="3">
        <f t="shared" si="930"/>
        <v>0</v>
      </c>
      <c r="AL854" s="3">
        <f t="shared" si="931"/>
        <v>0</v>
      </c>
      <c r="AM854" s="17" t="str">
        <f>IF(SrcDB[[#This Row],[Pocet zmluv objednavatela]]&gt;3,SrcDB[[#This Row],[Objednavatel]],"Ostatné")</f>
        <v>Ostatné</v>
      </c>
      <c r="AN854" s="17" t="str">
        <f>IF(SrcDB[[#This Row],[Pocet zmluv dodavatela]]&gt;3,SrcDB[[#This Row],[Dodavatel]],"Ostatné")</f>
        <v>Soimco a. s.</v>
      </c>
    </row>
    <row r="855" spans="1:40" x14ac:dyDescent="0.3">
      <c r="A855" s="2" t="s">
        <v>704</v>
      </c>
      <c r="B855" s="2">
        <v>7297015</v>
      </c>
      <c r="C855" s="3" t="str">
        <f t="shared" si="924"/>
        <v>Áno</v>
      </c>
      <c r="D855" s="3" t="str">
        <f t="shared" si="925"/>
        <v>Nie</v>
      </c>
      <c r="E855" s="3" t="s">
        <v>49</v>
      </c>
      <c r="F855" s="3" t="s">
        <v>48</v>
      </c>
      <c r="G855" s="2" t="str">
        <f t="shared" si="926"/>
        <v>Malé zmluvy</v>
      </c>
      <c r="H855" s="5">
        <v>53268652</v>
      </c>
      <c r="I855" s="2" t="s">
        <v>1064</v>
      </c>
      <c r="J855" s="2" t="s">
        <v>1065</v>
      </c>
      <c r="K855" s="5">
        <v>44367465</v>
      </c>
      <c r="L855" s="2" t="s">
        <v>932</v>
      </c>
      <c r="M855" s="2" t="s">
        <v>933</v>
      </c>
      <c r="N855" s="6">
        <v>44917.391840277778</v>
      </c>
      <c r="O855" s="4">
        <v>169920</v>
      </c>
      <c r="P855" s="2">
        <v>1455994</v>
      </c>
      <c r="Q855" s="2" t="s">
        <v>1066</v>
      </c>
      <c r="R855" s="2" t="s">
        <v>1067</v>
      </c>
      <c r="S855" s="2" t="s">
        <v>56</v>
      </c>
      <c r="T855" s="2" t="s">
        <v>1068</v>
      </c>
      <c r="U855" s="2" t="s">
        <v>58</v>
      </c>
      <c r="W855" s="4">
        <v>550</v>
      </c>
      <c r="X855" s="4">
        <v>660</v>
      </c>
      <c r="Y855" s="4">
        <f t="shared" ref="Y855" si="950">INDEX(InternalRates,MATCH($S855,InternalRates01,FALSE),2)</f>
        <v>278.98333333333335</v>
      </c>
      <c r="Z855" s="3" t="str">
        <f t="shared" si="889"/>
        <v>Nie</v>
      </c>
      <c r="AA855" s="3" t="str">
        <f t="shared" si="890"/>
        <v>ZoD</v>
      </c>
      <c r="AB855" s="4">
        <v>115</v>
      </c>
      <c r="AC855" s="4">
        <v>333.1349206349206</v>
      </c>
      <c r="AD855" s="3" t="s">
        <v>48</v>
      </c>
      <c r="AE855" s="6">
        <v>44985</v>
      </c>
      <c r="AF855" s="3" t="s">
        <v>638</v>
      </c>
      <c r="AG855" s="3" t="s">
        <v>60</v>
      </c>
      <c r="AH855" s="3">
        <f>YEAR(SrcDB[[#This Row],[Datum_zverejnenia]])</f>
        <v>2022</v>
      </c>
      <c r="AI855" s="3" cm="1">
        <f t="array" ref="AI855">COUNT(_xlfn.UNIQUE(_xlfn._xlws.FILTER(SrcDB[ID],SrcDB[Objednavatel_ICO]=$H855)))</f>
        <v>1</v>
      </c>
      <c r="AJ855" s="3" cm="1">
        <f t="array" ref="AJ855">COUNT(_xlfn.UNIQUE(_xlfn._xlws.FILTER(SrcDB[ID],SrcDB[Dodavatel_ICO]=$K855)))</f>
        <v>4</v>
      </c>
      <c r="AK855" s="3">
        <f t="shared" si="930"/>
        <v>0</v>
      </c>
      <c r="AL855" s="3">
        <f t="shared" si="931"/>
        <v>0</v>
      </c>
      <c r="AM855" s="17" t="str">
        <f>IF(SrcDB[[#This Row],[Pocet zmluv objednavatela]]&gt;3,SrcDB[[#This Row],[Objednavatel]],"Ostatné")</f>
        <v>Ostatné</v>
      </c>
      <c r="AN855" s="17" t="str">
        <f>IF(SrcDB[[#This Row],[Pocet zmluv dodavatela]]&gt;3,SrcDB[[#This Row],[Dodavatel]],"Ostatné")</f>
        <v>Soimco a. s.</v>
      </c>
    </row>
    <row r="856" spans="1:40" x14ac:dyDescent="0.3">
      <c r="A856" s="2" t="s">
        <v>704</v>
      </c>
      <c r="B856" s="2">
        <v>7297015</v>
      </c>
      <c r="C856" s="3" t="str">
        <f t="shared" si="924"/>
        <v>Áno</v>
      </c>
      <c r="D856" s="3" t="str">
        <f t="shared" si="925"/>
        <v>Nie</v>
      </c>
      <c r="E856" s="3" t="s">
        <v>49</v>
      </c>
      <c r="F856" s="3" t="s">
        <v>48</v>
      </c>
      <c r="G856" s="2" t="str">
        <f t="shared" si="926"/>
        <v>Malé zmluvy</v>
      </c>
      <c r="H856" s="5">
        <v>53268652</v>
      </c>
      <c r="I856" s="2" t="s">
        <v>1064</v>
      </c>
      <c r="J856" s="2" t="s">
        <v>1065</v>
      </c>
      <c r="K856" s="5">
        <v>44367465</v>
      </c>
      <c r="L856" s="2" t="s">
        <v>932</v>
      </c>
      <c r="M856" s="2" t="s">
        <v>933</v>
      </c>
      <c r="N856" s="6">
        <v>44917.391840277778</v>
      </c>
      <c r="O856" s="4">
        <v>169920</v>
      </c>
      <c r="P856" s="2">
        <v>1455994</v>
      </c>
      <c r="Q856" s="2" t="s">
        <v>1066</v>
      </c>
      <c r="R856" s="2" t="s">
        <v>1067</v>
      </c>
      <c r="S856" s="2" t="s">
        <v>56</v>
      </c>
      <c r="T856" s="2" t="s">
        <v>94</v>
      </c>
      <c r="U856" s="2" t="s">
        <v>95</v>
      </c>
      <c r="W856" s="4">
        <v>750</v>
      </c>
      <c r="X856" s="4">
        <v>900</v>
      </c>
      <c r="Y856" s="4">
        <f t="shared" ref="Y856" si="951">INDEX(InternalRates,MATCH($S856,InternalRates01,FALSE),2)</f>
        <v>278.98333333333335</v>
      </c>
      <c r="Z856" s="3" t="str">
        <f t="shared" si="889"/>
        <v>Nie</v>
      </c>
      <c r="AA856" s="3" t="str">
        <f t="shared" si="890"/>
        <v>ZoD</v>
      </c>
      <c r="AB856" s="4">
        <v>300</v>
      </c>
      <c r="AC856" s="4">
        <v>869.04761904761915</v>
      </c>
      <c r="AD856" s="3" t="s">
        <v>48</v>
      </c>
      <c r="AE856" s="6">
        <v>44985</v>
      </c>
      <c r="AF856" s="3" t="s">
        <v>638</v>
      </c>
      <c r="AG856" s="3" t="s">
        <v>60</v>
      </c>
      <c r="AH856" s="3">
        <f>YEAR(SrcDB[[#This Row],[Datum_zverejnenia]])</f>
        <v>2022</v>
      </c>
      <c r="AI856" s="3" cm="1">
        <f t="array" ref="AI856">COUNT(_xlfn.UNIQUE(_xlfn._xlws.FILTER(SrcDB[ID],SrcDB[Objednavatel_ICO]=$H856)))</f>
        <v>1</v>
      </c>
      <c r="AJ856" s="3" cm="1">
        <f t="array" ref="AJ856">COUNT(_xlfn.UNIQUE(_xlfn._xlws.FILTER(SrcDB[ID],SrcDB[Dodavatel_ICO]=$K856)))</f>
        <v>4</v>
      </c>
      <c r="AK856" s="3">
        <f t="shared" si="930"/>
        <v>0</v>
      </c>
      <c r="AL856" s="3">
        <f t="shared" si="931"/>
        <v>0</v>
      </c>
      <c r="AM856" s="17" t="str">
        <f>IF(SrcDB[[#This Row],[Pocet zmluv objednavatela]]&gt;3,SrcDB[[#This Row],[Objednavatel]],"Ostatné")</f>
        <v>Ostatné</v>
      </c>
      <c r="AN856" s="17" t="str">
        <f>IF(SrcDB[[#This Row],[Pocet zmluv dodavatela]]&gt;3,SrcDB[[#This Row],[Dodavatel]],"Ostatné")</f>
        <v>Soimco a. s.</v>
      </c>
    </row>
    <row r="857" spans="1:40" x14ac:dyDescent="0.3">
      <c r="A857" s="2" t="s">
        <v>704</v>
      </c>
      <c r="B857" s="2">
        <v>7297015</v>
      </c>
      <c r="C857" s="3" t="str">
        <f t="shared" si="924"/>
        <v>Áno</v>
      </c>
      <c r="D857" s="3" t="str">
        <f t="shared" si="925"/>
        <v>Nie</v>
      </c>
      <c r="E857" s="3" t="s">
        <v>49</v>
      </c>
      <c r="F857" s="3" t="s">
        <v>48</v>
      </c>
      <c r="G857" s="2" t="str">
        <f t="shared" si="926"/>
        <v>Malé zmluvy</v>
      </c>
      <c r="H857" s="5">
        <v>53268652</v>
      </c>
      <c r="I857" s="2" t="s">
        <v>1064</v>
      </c>
      <c r="J857" s="2" t="s">
        <v>1065</v>
      </c>
      <c r="K857" s="5">
        <v>44367465</v>
      </c>
      <c r="L857" s="2" t="s">
        <v>932</v>
      </c>
      <c r="M857" s="2" t="s">
        <v>933</v>
      </c>
      <c r="N857" s="6">
        <v>44917.391840277778</v>
      </c>
      <c r="O857" s="4">
        <v>169920</v>
      </c>
      <c r="P857" s="2">
        <v>1455994</v>
      </c>
      <c r="Q857" s="2" t="s">
        <v>1066</v>
      </c>
      <c r="R857" s="2" t="s">
        <v>1067</v>
      </c>
      <c r="S857" s="2" t="s">
        <v>56</v>
      </c>
      <c r="T857" s="2" t="s">
        <v>522</v>
      </c>
      <c r="U857" s="2" t="s">
        <v>289</v>
      </c>
      <c r="W857" s="4">
        <v>570</v>
      </c>
      <c r="X857" s="4">
        <v>684</v>
      </c>
      <c r="Y857" s="4">
        <f t="shared" ref="Y857" si="952">INDEX(InternalRates,MATCH($S857,InternalRates01,FALSE),2)</f>
        <v>278.98333333333335</v>
      </c>
      <c r="Z857" s="3" t="str">
        <f t="shared" si="889"/>
        <v>Nie</v>
      </c>
      <c r="AA857" s="3" t="str">
        <f t="shared" si="890"/>
        <v>ZoD</v>
      </c>
      <c r="AB857" s="4">
        <v>1275</v>
      </c>
      <c r="AC857" s="4">
        <v>3693.4523809523807</v>
      </c>
      <c r="AD857" s="3" t="s">
        <v>48</v>
      </c>
      <c r="AE857" s="6">
        <v>44985</v>
      </c>
      <c r="AF857" s="3" t="s">
        <v>638</v>
      </c>
      <c r="AG857" s="3" t="s">
        <v>60</v>
      </c>
      <c r="AH857" s="3">
        <f>YEAR(SrcDB[[#This Row],[Datum_zverejnenia]])</f>
        <v>2022</v>
      </c>
      <c r="AI857" s="3" cm="1">
        <f t="array" ref="AI857">COUNT(_xlfn.UNIQUE(_xlfn._xlws.FILTER(SrcDB[ID],SrcDB[Objednavatel_ICO]=$H857)))</f>
        <v>1</v>
      </c>
      <c r="AJ857" s="3" cm="1">
        <f t="array" ref="AJ857">COUNT(_xlfn.UNIQUE(_xlfn._xlws.FILTER(SrcDB[ID],SrcDB[Dodavatel_ICO]=$K857)))</f>
        <v>4</v>
      </c>
      <c r="AK857" s="3">
        <f t="shared" si="930"/>
        <v>0</v>
      </c>
      <c r="AL857" s="3">
        <f t="shared" si="931"/>
        <v>0</v>
      </c>
      <c r="AM857" s="17" t="str">
        <f>IF(SrcDB[[#This Row],[Pocet zmluv objednavatela]]&gt;3,SrcDB[[#This Row],[Objednavatel]],"Ostatné")</f>
        <v>Ostatné</v>
      </c>
      <c r="AN857" s="17" t="str">
        <f>IF(SrcDB[[#This Row],[Pocet zmluv dodavatela]]&gt;3,SrcDB[[#This Row],[Dodavatel]],"Ostatné")</f>
        <v>Soimco a. s.</v>
      </c>
    </row>
    <row r="858" spans="1:40" x14ac:dyDescent="0.3">
      <c r="A858" s="2" t="s">
        <v>704</v>
      </c>
      <c r="B858" s="2">
        <v>7297015</v>
      </c>
      <c r="C858" s="3" t="str">
        <f t="shared" si="924"/>
        <v>Áno</v>
      </c>
      <c r="D858" s="3" t="str">
        <f t="shared" si="925"/>
        <v>Nie</v>
      </c>
      <c r="E858" s="3" t="s">
        <v>49</v>
      </c>
      <c r="F858" s="3" t="s">
        <v>48</v>
      </c>
      <c r="G858" s="2" t="str">
        <f t="shared" si="926"/>
        <v>Malé zmluvy</v>
      </c>
      <c r="H858" s="5">
        <v>53268652</v>
      </c>
      <c r="I858" s="2" t="s">
        <v>1064</v>
      </c>
      <c r="J858" s="2" t="s">
        <v>1065</v>
      </c>
      <c r="K858" s="5">
        <v>44367465</v>
      </c>
      <c r="L858" s="2" t="s">
        <v>932</v>
      </c>
      <c r="M858" s="2" t="s">
        <v>933</v>
      </c>
      <c r="N858" s="6">
        <v>44917.391840277778</v>
      </c>
      <c r="O858" s="4">
        <v>169920</v>
      </c>
      <c r="P858" s="2">
        <v>1455994</v>
      </c>
      <c r="Q858" s="2" t="s">
        <v>1066</v>
      </c>
      <c r="R858" s="2" t="s">
        <v>1067</v>
      </c>
      <c r="S858" s="2" t="s">
        <v>69</v>
      </c>
      <c r="T858" s="2" t="s">
        <v>70</v>
      </c>
      <c r="W858" s="4">
        <v>570</v>
      </c>
      <c r="X858" s="4">
        <v>684</v>
      </c>
      <c r="Y858" s="4">
        <f t="shared" ref="Y858" si="953">INDEX(InternalRates,MATCH($S858,InternalRates01,FALSE),2)</f>
        <v>278.98333333333335</v>
      </c>
      <c r="Z858" s="3" t="str">
        <f t="shared" si="889"/>
        <v>Nie</v>
      </c>
      <c r="AA858" s="3" t="str">
        <f t="shared" si="890"/>
        <v>ZoD</v>
      </c>
      <c r="AB858" s="4">
        <v>250</v>
      </c>
      <c r="AC858" s="4">
        <v>724.20634920634916</v>
      </c>
      <c r="AD858" s="3" t="s">
        <v>48</v>
      </c>
      <c r="AE858" s="6">
        <v>44985</v>
      </c>
      <c r="AF858" s="3" t="s">
        <v>638</v>
      </c>
      <c r="AG858" s="3" t="s">
        <v>60</v>
      </c>
      <c r="AH858" s="3">
        <f>YEAR(SrcDB[[#This Row],[Datum_zverejnenia]])</f>
        <v>2022</v>
      </c>
      <c r="AI858" s="3" cm="1">
        <f t="array" ref="AI858">COUNT(_xlfn.UNIQUE(_xlfn._xlws.FILTER(SrcDB[ID],SrcDB[Objednavatel_ICO]=$H858)))</f>
        <v>1</v>
      </c>
      <c r="AJ858" s="3" cm="1">
        <f t="array" ref="AJ858">COUNT(_xlfn.UNIQUE(_xlfn._xlws.FILTER(SrcDB[ID],SrcDB[Dodavatel_ICO]=$K858)))</f>
        <v>4</v>
      </c>
      <c r="AK858" s="3">
        <f t="shared" si="930"/>
        <v>0</v>
      </c>
      <c r="AL858" s="3">
        <f t="shared" si="931"/>
        <v>0</v>
      </c>
      <c r="AM858" s="17" t="str">
        <f>IF(SrcDB[[#This Row],[Pocet zmluv objednavatela]]&gt;3,SrcDB[[#This Row],[Objednavatel]],"Ostatné")</f>
        <v>Ostatné</v>
      </c>
      <c r="AN858" s="17" t="str">
        <f>IF(SrcDB[[#This Row],[Pocet zmluv dodavatela]]&gt;3,SrcDB[[#This Row],[Dodavatel]],"Ostatné")</f>
        <v>Soimco a. s.</v>
      </c>
    </row>
    <row r="859" spans="1:40" x14ac:dyDescent="0.3">
      <c r="A859" s="2" t="s">
        <v>1069</v>
      </c>
      <c r="B859" s="2">
        <v>7337636</v>
      </c>
      <c r="C859" s="3" t="str">
        <f t="shared" si="924"/>
        <v>Nejasné</v>
      </c>
      <c r="D859" s="3" t="str">
        <f t="shared" si="925"/>
        <v>Nejasné</v>
      </c>
      <c r="E859" s="3" t="s">
        <v>48</v>
      </c>
      <c r="F859" s="3" t="s">
        <v>49</v>
      </c>
      <c r="G859" s="2" t="str">
        <f t="shared" si="926"/>
        <v>Stredné zmluvy</v>
      </c>
      <c r="H859" s="5" t="s">
        <v>342</v>
      </c>
      <c r="I859" s="2" t="s">
        <v>343</v>
      </c>
      <c r="J859" s="2" t="s">
        <v>344</v>
      </c>
      <c r="K859" s="5">
        <v>31410952</v>
      </c>
      <c r="L859" s="2" t="s">
        <v>361</v>
      </c>
      <c r="M859" s="2" t="s">
        <v>362</v>
      </c>
      <c r="N859" s="6">
        <v>44925.581261574072</v>
      </c>
      <c r="O859" s="4">
        <v>5876880</v>
      </c>
      <c r="P859" s="2">
        <v>114723</v>
      </c>
      <c r="Q859" s="2" t="s">
        <v>1070</v>
      </c>
      <c r="R859" s="2" t="s">
        <v>1071</v>
      </c>
      <c r="S859" s="2" t="s">
        <v>73</v>
      </c>
      <c r="W859" s="4">
        <v>400</v>
      </c>
      <c r="X859" s="4">
        <v>480</v>
      </c>
      <c r="Y859" s="4">
        <f t="shared" ref="Y859" si="954">INDEX(InternalRates,MATCH($S859,InternalRates01,FALSE),2)</f>
        <v>278.98333333333335</v>
      </c>
      <c r="Z859" s="3" t="str">
        <f t="shared" si="889"/>
        <v>Nie</v>
      </c>
      <c r="AA859" s="3" t="str">
        <f t="shared" si="890"/>
        <v>SLA</v>
      </c>
      <c r="AB859" s="4">
        <v>444</v>
      </c>
      <c r="AC859" s="4">
        <v>111</v>
      </c>
      <c r="AD859" s="3" t="s">
        <v>48</v>
      </c>
      <c r="AE859" s="6">
        <v>44987</v>
      </c>
      <c r="AF859" s="3" t="s">
        <v>59</v>
      </c>
      <c r="AG859" s="3" t="s">
        <v>48</v>
      </c>
      <c r="AH859" s="3">
        <f>YEAR(SrcDB[[#This Row],[Datum_zverejnenia]])</f>
        <v>2022</v>
      </c>
      <c r="AI859" s="3" cm="1">
        <f t="array" ref="AI859">COUNT(_xlfn.UNIQUE(_xlfn._xlws.FILTER(SrcDB[ID],SrcDB[Objednavatel_ICO]=$H859)))</f>
        <v>15</v>
      </c>
      <c r="AJ859" s="3" cm="1">
        <f t="array" ref="AJ859">COUNT(_xlfn.UNIQUE(_xlfn._xlws.FILTER(SrcDB[ID],SrcDB[Dodavatel_ICO]=$K859)))</f>
        <v>5</v>
      </c>
      <c r="AK859" s="3">
        <f t="shared" si="930"/>
        <v>1</v>
      </c>
      <c r="AL859" s="3">
        <f t="shared" si="931"/>
        <v>1</v>
      </c>
      <c r="AM859" s="17" t="str">
        <f>IF(SrcDB[[#This Row],[Pocet zmluv objednavatela]]&gt;3,SrcDB[[#This Row],[Objednavatel]],"Ostatné")</f>
        <v>Ministerstvo vnútra SR</v>
      </c>
      <c r="AN859" s="17" t="str">
        <f>IF(SrcDB[[#This Row],[Pocet zmluv dodavatela]]&gt;3,SrcDB[[#This Row],[Dodavatel]],"Ostatné")</f>
        <v>MICROCOMP – Computersystém s.r.o.</v>
      </c>
    </row>
    <row r="860" spans="1:40" x14ac:dyDescent="0.3">
      <c r="A860" s="2" t="s">
        <v>1069</v>
      </c>
      <c r="B860" s="2">
        <v>7337636</v>
      </c>
      <c r="C860" s="3" t="str">
        <f t="shared" si="924"/>
        <v>Nejasné</v>
      </c>
      <c r="D860" s="3" t="str">
        <f t="shared" si="925"/>
        <v>Nejasné</v>
      </c>
      <c r="E860" s="3" t="s">
        <v>48</v>
      </c>
      <c r="F860" s="3" t="s">
        <v>49</v>
      </c>
      <c r="G860" s="2" t="str">
        <f t="shared" si="926"/>
        <v>Stredné zmluvy</v>
      </c>
      <c r="H860" s="5" t="s">
        <v>342</v>
      </c>
      <c r="I860" s="2" t="s">
        <v>343</v>
      </c>
      <c r="J860" s="2" t="s">
        <v>344</v>
      </c>
      <c r="K860" s="5">
        <v>31410952</v>
      </c>
      <c r="L860" s="2" t="s">
        <v>361</v>
      </c>
      <c r="M860" s="2" t="s">
        <v>362</v>
      </c>
      <c r="N860" s="6">
        <v>44925.581261574072</v>
      </c>
      <c r="O860" s="4">
        <v>5876880</v>
      </c>
      <c r="P860" s="2">
        <v>114723</v>
      </c>
      <c r="Q860" s="2" t="s">
        <v>1070</v>
      </c>
      <c r="R860" s="2" t="s">
        <v>1071</v>
      </c>
      <c r="S860" s="2" t="s">
        <v>77</v>
      </c>
      <c r="W860" s="4">
        <v>400</v>
      </c>
      <c r="X860" s="4">
        <v>480</v>
      </c>
      <c r="Y860" s="4">
        <f t="shared" ref="Y860" si="955">INDEX(InternalRates,MATCH($S860,InternalRates01,FALSE),2)</f>
        <v>278.98333333333335</v>
      </c>
      <c r="Z860" s="3" t="str">
        <f t="shared" si="889"/>
        <v>Nie</v>
      </c>
      <c r="AA860" s="3" t="str">
        <f t="shared" si="890"/>
        <v>SLA</v>
      </c>
      <c r="AB860" s="4">
        <v>576</v>
      </c>
      <c r="AC860" s="4">
        <v>144</v>
      </c>
      <c r="AD860" s="3" t="s">
        <v>48</v>
      </c>
      <c r="AE860" s="6">
        <v>44987</v>
      </c>
      <c r="AF860" s="3" t="s">
        <v>59</v>
      </c>
      <c r="AG860" s="3" t="s">
        <v>48</v>
      </c>
      <c r="AH860" s="3">
        <f>YEAR(SrcDB[[#This Row],[Datum_zverejnenia]])</f>
        <v>2022</v>
      </c>
      <c r="AI860" s="3" cm="1">
        <f t="array" ref="AI860">COUNT(_xlfn.UNIQUE(_xlfn._xlws.FILTER(SrcDB[ID],SrcDB[Objednavatel_ICO]=$H860)))</f>
        <v>15</v>
      </c>
      <c r="AJ860" s="3" cm="1">
        <f t="array" ref="AJ860">COUNT(_xlfn.UNIQUE(_xlfn._xlws.FILTER(SrcDB[ID],SrcDB[Dodavatel_ICO]=$K860)))</f>
        <v>5</v>
      </c>
      <c r="AK860" s="3">
        <f t="shared" si="930"/>
        <v>0</v>
      </c>
      <c r="AL860" s="3">
        <f t="shared" si="931"/>
        <v>0</v>
      </c>
      <c r="AM860" s="17" t="str">
        <f>IF(SrcDB[[#This Row],[Pocet zmluv objednavatela]]&gt;3,SrcDB[[#This Row],[Objednavatel]],"Ostatné")</f>
        <v>Ministerstvo vnútra SR</v>
      </c>
      <c r="AN860" s="17" t="str">
        <f>IF(SrcDB[[#This Row],[Pocet zmluv dodavatela]]&gt;3,SrcDB[[#This Row],[Dodavatel]],"Ostatné")</f>
        <v>MICROCOMP – Computersystém s.r.o.</v>
      </c>
    </row>
    <row r="861" spans="1:40" x14ac:dyDescent="0.3">
      <c r="A861" s="2" t="s">
        <v>1069</v>
      </c>
      <c r="B861" s="2">
        <v>7337636</v>
      </c>
      <c r="C861" s="3" t="str">
        <f t="shared" si="924"/>
        <v>Nejasné</v>
      </c>
      <c r="D861" s="3" t="str">
        <f t="shared" si="925"/>
        <v>Nejasné</v>
      </c>
      <c r="E861" s="3" t="s">
        <v>48</v>
      </c>
      <c r="F861" s="3" t="s">
        <v>49</v>
      </c>
      <c r="G861" s="2" t="str">
        <f t="shared" si="926"/>
        <v>Stredné zmluvy</v>
      </c>
      <c r="H861" s="5" t="s">
        <v>342</v>
      </c>
      <c r="I861" s="2" t="s">
        <v>343</v>
      </c>
      <c r="J861" s="2" t="s">
        <v>344</v>
      </c>
      <c r="K861" s="5">
        <v>31410952</v>
      </c>
      <c r="L861" s="2" t="s">
        <v>361</v>
      </c>
      <c r="M861" s="2" t="s">
        <v>362</v>
      </c>
      <c r="N861" s="6">
        <v>44925.581261574072</v>
      </c>
      <c r="O861" s="4">
        <v>5876880</v>
      </c>
      <c r="P861" s="2">
        <v>114723</v>
      </c>
      <c r="Q861" s="2" t="s">
        <v>1070</v>
      </c>
      <c r="R861" s="2" t="s">
        <v>1071</v>
      </c>
      <c r="S861" s="2" t="s">
        <v>79</v>
      </c>
      <c r="W861" s="4">
        <v>350</v>
      </c>
      <c r="X861" s="4">
        <v>420</v>
      </c>
      <c r="Y861" s="4">
        <f t="shared" ref="Y861" si="956">INDEX(InternalRates,MATCH($S861,InternalRates01,FALSE),2)</f>
        <v>278.98333333333335</v>
      </c>
      <c r="Z861" s="3" t="str">
        <f t="shared" si="889"/>
        <v>Nie</v>
      </c>
      <c r="AA861" s="3" t="str">
        <f t="shared" si="890"/>
        <v>SLA</v>
      </c>
      <c r="AB861" s="4">
        <v>272</v>
      </c>
      <c r="AC861" s="4">
        <v>68</v>
      </c>
      <c r="AD861" s="3" t="s">
        <v>48</v>
      </c>
      <c r="AE861" s="6">
        <v>44987</v>
      </c>
      <c r="AF861" s="3" t="s">
        <v>59</v>
      </c>
      <c r="AG861" s="3" t="s">
        <v>48</v>
      </c>
      <c r="AH861" s="3">
        <f>YEAR(SrcDB[[#This Row],[Datum_zverejnenia]])</f>
        <v>2022</v>
      </c>
      <c r="AI861" s="3" cm="1">
        <f t="array" ref="AI861">COUNT(_xlfn.UNIQUE(_xlfn._xlws.FILTER(SrcDB[ID],SrcDB[Objednavatel_ICO]=$H861)))</f>
        <v>15</v>
      </c>
      <c r="AJ861" s="3" cm="1">
        <f t="array" ref="AJ861">COUNT(_xlfn.UNIQUE(_xlfn._xlws.FILTER(SrcDB[ID],SrcDB[Dodavatel_ICO]=$K861)))</f>
        <v>5</v>
      </c>
      <c r="AK861" s="3">
        <f t="shared" si="930"/>
        <v>0</v>
      </c>
      <c r="AL861" s="3">
        <f t="shared" si="931"/>
        <v>0</v>
      </c>
      <c r="AM861" s="17" t="str">
        <f>IF(SrcDB[[#This Row],[Pocet zmluv objednavatela]]&gt;3,SrcDB[[#This Row],[Objednavatel]],"Ostatné")</f>
        <v>Ministerstvo vnútra SR</v>
      </c>
      <c r="AN861" s="17" t="str">
        <f>IF(SrcDB[[#This Row],[Pocet zmluv dodavatela]]&gt;3,SrcDB[[#This Row],[Dodavatel]],"Ostatné")</f>
        <v>MICROCOMP – Computersystém s.r.o.</v>
      </c>
    </row>
    <row r="862" spans="1:40" x14ac:dyDescent="0.3">
      <c r="A862" s="2" t="s">
        <v>1069</v>
      </c>
      <c r="B862" s="2">
        <v>7337636</v>
      </c>
      <c r="C862" s="3" t="str">
        <f t="shared" si="924"/>
        <v>Nejasné</v>
      </c>
      <c r="D862" s="3" t="str">
        <f t="shared" si="925"/>
        <v>Nejasné</v>
      </c>
      <c r="E862" s="3" t="s">
        <v>48</v>
      </c>
      <c r="F862" s="3" t="s">
        <v>49</v>
      </c>
      <c r="G862" s="2" t="str">
        <f t="shared" si="926"/>
        <v>Stredné zmluvy</v>
      </c>
      <c r="H862" s="5" t="s">
        <v>342</v>
      </c>
      <c r="I862" s="2" t="s">
        <v>343</v>
      </c>
      <c r="J862" s="2" t="s">
        <v>344</v>
      </c>
      <c r="K862" s="5">
        <v>31410952</v>
      </c>
      <c r="L862" s="2" t="s">
        <v>361</v>
      </c>
      <c r="M862" s="2" t="s">
        <v>362</v>
      </c>
      <c r="N862" s="6">
        <v>44925.581261574072</v>
      </c>
      <c r="O862" s="4">
        <v>5876880</v>
      </c>
      <c r="P862" s="2">
        <v>114723</v>
      </c>
      <c r="Q862" s="2" t="s">
        <v>1070</v>
      </c>
      <c r="R862" s="2" t="s">
        <v>1071</v>
      </c>
      <c r="S862" s="2" t="s">
        <v>56</v>
      </c>
      <c r="T862" s="2" t="s">
        <v>96</v>
      </c>
      <c r="U862" s="2" t="s">
        <v>97</v>
      </c>
      <c r="W862" s="4">
        <v>400</v>
      </c>
      <c r="X862" s="4">
        <v>480</v>
      </c>
      <c r="Y862" s="4">
        <f t="shared" ref="Y862" si="957">INDEX(InternalRates,MATCH($S862,InternalRates01,FALSE),2)</f>
        <v>278.98333333333335</v>
      </c>
      <c r="Z862" s="3" t="str">
        <f t="shared" si="889"/>
        <v>Nie</v>
      </c>
      <c r="AA862" s="3" t="str">
        <f t="shared" si="890"/>
        <v>SLA</v>
      </c>
      <c r="AB862" s="4">
        <v>544</v>
      </c>
      <c r="AC862" s="4">
        <v>136</v>
      </c>
      <c r="AD862" s="3" t="s">
        <v>48</v>
      </c>
      <c r="AE862" s="6">
        <v>44987</v>
      </c>
      <c r="AF862" s="3" t="s">
        <v>59</v>
      </c>
      <c r="AG862" s="3" t="s">
        <v>48</v>
      </c>
      <c r="AH862" s="3">
        <f>YEAR(SrcDB[[#This Row],[Datum_zverejnenia]])</f>
        <v>2022</v>
      </c>
      <c r="AI862" s="3" cm="1">
        <f t="array" ref="AI862">COUNT(_xlfn.UNIQUE(_xlfn._xlws.FILTER(SrcDB[ID],SrcDB[Objednavatel_ICO]=$H862)))</f>
        <v>15</v>
      </c>
      <c r="AJ862" s="3" cm="1">
        <f t="array" ref="AJ862">COUNT(_xlfn.UNIQUE(_xlfn._xlws.FILTER(SrcDB[ID],SrcDB[Dodavatel_ICO]=$K862)))</f>
        <v>5</v>
      </c>
      <c r="AK862" s="3">
        <f t="shared" si="930"/>
        <v>0</v>
      </c>
      <c r="AL862" s="3">
        <f t="shared" si="931"/>
        <v>0</v>
      </c>
      <c r="AM862" s="17" t="str">
        <f>IF(SrcDB[[#This Row],[Pocet zmluv objednavatela]]&gt;3,SrcDB[[#This Row],[Objednavatel]],"Ostatné")</f>
        <v>Ministerstvo vnútra SR</v>
      </c>
      <c r="AN862" s="17" t="str">
        <f>IF(SrcDB[[#This Row],[Pocet zmluv dodavatela]]&gt;3,SrcDB[[#This Row],[Dodavatel]],"Ostatné")</f>
        <v>MICROCOMP – Computersystém s.r.o.</v>
      </c>
    </row>
    <row r="863" spans="1:40" x14ac:dyDescent="0.3">
      <c r="A863" s="2" t="s">
        <v>1069</v>
      </c>
      <c r="B863" s="2">
        <v>7337636</v>
      </c>
      <c r="C863" s="3" t="str">
        <f t="shared" si="924"/>
        <v>Nejasné</v>
      </c>
      <c r="D863" s="3" t="str">
        <f t="shared" si="925"/>
        <v>Nejasné</v>
      </c>
      <c r="E863" s="3" t="s">
        <v>48</v>
      </c>
      <c r="F863" s="3" t="s">
        <v>49</v>
      </c>
      <c r="G863" s="2" t="str">
        <f t="shared" si="926"/>
        <v>Stredné zmluvy</v>
      </c>
      <c r="H863" s="5" t="s">
        <v>342</v>
      </c>
      <c r="I863" s="2" t="s">
        <v>343</v>
      </c>
      <c r="J863" s="2" t="s">
        <v>344</v>
      </c>
      <c r="K863" s="5">
        <v>31410952</v>
      </c>
      <c r="L863" s="2" t="s">
        <v>361</v>
      </c>
      <c r="M863" s="2" t="s">
        <v>362</v>
      </c>
      <c r="N863" s="6">
        <v>44925.581261574072</v>
      </c>
      <c r="O863" s="4">
        <v>5876880</v>
      </c>
      <c r="P863" s="2">
        <v>114723</v>
      </c>
      <c r="Q863" s="2" t="s">
        <v>1070</v>
      </c>
      <c r="R863" s="2" t="s">
        <v>1071</v>
      </c>
      <c r="S863" s="2" t="s">
        <v>56</v>
      </c>
      <c r="T863" s="2" t="s">
        <v>94</v>
      </c>
      <c r="U863" s="2" t="s">
        <v>95</v>
      </c>
      <c r="W863" s="4">
        <v>500</v>
      </c>
      <c r="X863" s="4">
        <v>600</v>
      </c>
      <c r="Y863" s="4">
        <f t="shared" ref="Y863" si="958">INDEX(InternalRates,MATCH($S863,InternalRates01,FALSE),2)</f>
        <v>278.98333333333335</v>
      </c>
      <c r="Z863" s="3" t="str">
        <f t="shared" si="889"/>
        <v>Nie</v>
      </c>
      <c r="AA863" s="3" t="str">
        <f t="shared" si="890"/>
        <v>SLA</v>
      </c>
      <c r="AB863" s="4">
        <v>704</v>
      </c>
      <c r="AC863" s="4">
        <v>176</v>
      </c>
      <c r="AD863" s="3" t="s">
        <v>48</v>
      </c>
      <c r="AE863" s="6">
        <v>44987</v>
      </c>
      <c r="AF863" s="3" t="s">
        <v>59</v>
      </c>
      <c r="AG863" s="3" t="s">
        <v>48</v>
      </c>
      <c r="AH863" s="3">
        <f>YEAR(SrcDB[[#This Row],[Datum_zverejnenia]])</f>
        <v>2022</v>
      </c>
      <c r="AI863" s="3" cm="1">
        <f t="array" ref="AI863">COUNT(_xlfn.UNIQUE(_xlfn._xlws.FILTER(SrcDB[ID],SrcDB[Objednavatel_ICO]=$H863)))</f>
        <v>15</v>
      </c>
      <c r="AJ863" s="3" cm="1">
        <f t="array" ref="AJ863">COUNT(_xlfn.UNIQUE(_xlfn._xlws.FILTER(SrcDB[ID],SrcDB[Dodavatel_ICO]=$K863)))</f>
        <v>5</v>
      </c>
      <c r="AK863" s="3">
        <f t="shared" si="930"/>
        <v>0</v>
      </c>
      <c r="AL863" s="3">
        <f t="shared" si="931"/>
        <v>0</v>
      </c>
      <c r="AM863" s="17" t="str">
        <f>IF(SrcDB[[#This Row],[Pocet zmluv objednavatela]]&gt;3,SrcDB[[#This Row],[Objednavatel]],"Ostatné")</f>
        <v>Ministerstvo vnútra SR</v>
      </c>
      <c r="AN863" s="17" t="str">
        <f>IF(SrcDB[[#This Row],[Pocet zmluv dodavatela]]&gt;3,SrcDB[[#This Row],[Dodavatel]],"Ostatné")</f>
        <v>MICROCOMP – Computersystém s.r.o.</v>
      </c>
    </row>
    <row r="864" spans="1:40" x14ac:dyDescent="0.3">
      <c r="A864" s="2" t="s">
        <v>1069</v>
      </c>
      <c r="B864" s="2">
        <v>7337636</v>
      </c>
      <c r="C864" s="3" t="str">
        <f t="shared" si="924"/>
        <v>Nejasné</v>
      </c>
      <c r="D864" s="3" t="str">
        <f t="shared" si="925"/>
        <v>Nejasné</v>
      </c>
      <c r="E864" s="3" t="s">
        <v>48</v>
      </c>
      <c r="F864" s="3" t="s">
        <v>49</v>
      </c>
      <c r="G864" s="2" t="str">
        <f t="shared" si="926"/>
        <v>Stredné zmluvy</v>
      </c>
      <c r="H864" s="5" t="s">
        <v>342</v>
      </c>
      <c r="I864" s="2" t="s">
        <v>343</v>
      </c>
      <c r="J864" s="2" t="s">
        <v>344</v>
      </c>
      <c r="K864" s="5">
        <v>31410952</v>
      </c>
      <c r="L864" s="2" t="s">
        <v>361</v>
      </c>
      <c r="M864" s="2" t="s">
        <v>362</v>
      </c>
      <c r="N864" s="6">
        <v>44925.581261574072</v>
      </c>
      <c r="O864" s="4">
        <v>5876880</v>
      </c>
      <c r="P864" s="2">
        <v>114723</v>
      </c>
      <c r="Q864" s="2" t="s">
        <v>1070</v>
      </c>
      <c r="R864" s="2" t="s">
        <v>1071</v>
      </c>
      <c r="S864" s="2" t="s">
        <v>69</v>
      </c>
      <c r="T864" s="2" t="s">
        <v>70</v>
      </c>
      <c r="W864" s="4">
        <v>400</v>
      </c>
      <c r="X864" s="4">
        <v>480</v>
      </c>
      <c r="Y864" s="4">
        <f t="shared" ref="Y864" si="959">INDEX(InternalRates,MATCH($S864,InternalRates01,FALSE),2)</f>
        <v>278.98333333333335</v>
      </c>
      <c r="Z864" s="3" t="str">
        <f t="shared" ref="Z864:Z927" si="960">IF(W864&gt;0,IF(Y864&gt;W864,"Áno","Nie"),"Nie")</f>
        <v>Nie</v>
      </c>
      <c r="AA864" s="3" t="str">
        <f t="shared" ref="AA864:AA927" si="961">IF(E864="Nie","SLA",IF(F864="Nie","ZoD","SLA+ZoD"))</f>
        <v>SLA</v>
      </c>
      <c r="AB864" s="4">
        <v>188</v>
      </c>
      <c r="AC864" s="4">
        <v>47</v>
      </c>
      <c r="AD864" s="3" t="s">
        <v>48</v>
      </c>
      <c r="AE864" s="6">
        <v>44987</v>
      </c>
      <c r="AF864" s="3" t="s">
        <v>59</v>
      </c>
      <c r="AG864" s="3" t="s">
        <v>48</v>
      </c>
      <c r="AH864" s="3">
        <f>YEAR(SrcDB[[#This Row],[Datum_zverejnenia]])</f>
        <v>2022</v>
      </c>
      <c r="AI864" s="3" cm="1">
        <f t="array" ref="AI864">COUNT(_xlfn.UNIQUE(_xlfn._xlws.FILTER(SrcDB[ID],SrcDB[Objednavatel_ICO]=$H864)))</f>
        <v>15</v>
      </c>
      <c r="AJ864" s="3" cm="1">
        <f t="array" ref="AJ864">COUNT(_xlfn.UNIQUE(_xlfn._xlws.FILTER(SrcDB[ID],SrcDB[Dodavatel_ICO]=$K864)))</f>
        <v>5</v>
      </c>
      <c r="AK864" s="3">
        <f t="shared" si="930"/>
        <v>0</v>
      </c>
      <c r="AL864" s="3">
        <f t="shared" si="931"/>
        <v>0</v>
      </c>
      <c r="AM864" s="17" t="str">
        <f>IF(SrcDB[[#This Row],[Pocet zmluv objednavatela]]&gt;3,SrcDB[[#This Row],[Objednavatel]],"Ostatné")</f>
        <v>Ministerstvo vnútra SR</v>
      </c>
      <c r="AN864" s="17" t="str">
        <f>IF(SrcDB[[#This Row],[Pocet zmluv dodavatela]]&gt;3,SrcDB[[#This Row],[Dodavatel]],"Ostatné")</f>
        <v>MICROCOMP – Computersystém s.r.o.</v>
      </c>
    </row>
    <row r="865" spans="1:40" x14ac:dyDescent="0.3">
      <c r="A865" s="2" t="s">
        <v>1069</v>
      </c>
      <c r="B865" s="2">
        <v>7337636</v>
      </c>
      <c r="C865" s="3" t="str">
        <f t="shared" si="924"/>
        <v>Nejasné</v>
      </c>
      <c r="D865" s="3" t="str">
        <f t="shared" si="925"/>
        <v>Nejasné</v>
      </c>
      <c r="E865" s="3" t="s">
        <v>48</v>
      </c>
      <c r="F865" s="3" t="s">
        <v>49</v>
      </c>
      <c r="G865" s="2" t="str">
        <f t="shared" si="926"/>
        <v>Stredné zmluvy</v>
      </c>
      <c r="H865" s="5" t="s">
        <v>342</v>
      </c>
      <c r="I865" s="2" t="s">
        <v>343</v>
      </c>
      <c r="J865" s="2" t="s">
        <v>344</v>
      </c>
      <c r="K865" s="5">
        <v>31410952</v>
      </c>
      <c r="L865" s="2" t="s">
        <v>361</v>
      </c>
      <c r="M865" s="2" t="s">
        <v>362</v>
      </c>
      <c r="N865" s="6">
        <v>44925.581261574072</v>
      </c>
      <c r="O865" s="4">
        <v>5876880</v>
      </c>
      <c r="P865" s="2">
        <v>114723</v>
      </c>
      <c r="Q865" s="2" t="s">
        <v>1070</v>
      </c>
      <c r="R865" s="2" t="s">
        <v>1071</v>
      </c>
      <c r="S865" s="2" t="s">
        <v>98</v>
      </c>
      <c r="W865" s="4">
        <v>350</v>
      </c>
      <c r="X865" s="4">
        <v>420</v>
      </c>
      <c r="Y865" s="4">
        <f t="shared" ref="Y865" si="962">INDEX(InternalRates,MATCH($S865,InternalRates01,FALSE),2)</f>
        <v>278.98333333333335</v>
      </c>
      <c r="Z865" s="3" t="str">
        <f t="shared" si="960"/>
        <v>Nie</v>
      </c>
      <c r="AA865" s="3" t="str">
        <f t="shared" si="961"/>
        <v>SLA</v>
      </c>
      <c r="AB865" s="4">
        <v>84</v>
      </c>
      <c r="AC865" s="4">
        <v>21</v>
      </c>
      <c r="AD865" s="3" t="s">
        <v>48</v>
      </c>
      <c r="AE865" s="6">
        <v>44987</v>
      </c>
      <c r="AF865" s="3" t="s">
        <v>59</v>
      </c>
      <c r="AG865" s="3" t="s">
        <v>48</v>
      </c>
      <c r="AH865" s="3">
        <f>YEAR(SrcDB[[#This Row],[Datum_zverejnenia]])</f>
        <v>2022</v>
      </c>
      <c r="AI865" s="3" cm="1">
        <f t="array" ref="AI865">COUNT(_xlfn.UNIQUE(_xlfn._xlws.FILTER(SrcDB[ID],SrcDB[Objednavatel_ICO]=$H865)))</f>
        <v>15</v>
      </c>
      <c r="AJ865" s="3" cm="1">
        <f t="array" ref="AJ865">COUNT(_xlfn.UNIQUE(_xlfn._xlws.FILTER(SrcDB[ID],SrcDB[Dodavatel_ICO]=$K865)))</f>
        <v>5</v>
      </c>
      <c r="AK865" s="3">
        <f t="shared" si="930"/>
        <v>0</v>
      </c>
      <c r="AL865" s="3">
        <f t="shared" si="931"/>
        <v>0</v>
      </c>
      <c r="AM865" s="17" t="str">
        <f>IF(SrcDB[[#This Row],[Pocet zmluv objednavatela]]&gt;3,SrcDB[[#This Row],[Objednavatel]],"Ostatné")</f>
        <v>Ministerstvo vnútra SR</v>
      </c>
      <c r="AN865" s="17" t="str">
        <f>IF(SrcDB[[#This Row],[Pocet zmluv dodavatela]]&gt;3,SrcDB[[#This Row],[Dodavatel]],"Ostatné")</f>
        <v>MICROCOMP – Computersystém s.r.o.</v>
      </c>
    </row>
    <row r="866" spans="1:40" x14ac:dyDescent="0.3">
      <c r="A866" s="2" t="s">
        <v>1069</v>
      </c>
      <c r="B866" s="2">
        <v>7337636</v>
      </c>
      <c r="C866" s="3" t="str">
        <f t="shared" si="924"/>
        <v>Nejasné</v>
      </c>
      <c r="D866" s="3" t="str">
        <f t="shared" si="925"/>
        <v>Nejasné</v>
      </c>
      <c r="E866" s="3" t="s">
        <v>48</v>
      </c>
      <c r="F866" s="3" t="s">
        <v>49</v>
      </c>
      <c r="G866" s="2" t="str">
        <f t="shared" si="926"/>
        <v>Stredné zmluvy</v>
      </c>
      <c r="H866" s="5" t="s">
        <v>342</v>
      </c>
      <c r="I866" s="2" t="s">
        <v>343</v>
      </c>
      <c r="J866" s="2" t="s">
        <v>344</v>
      </c>
      <c r="K866" s="5">
        <v>31410952</v>
      </c>
      <c r="L866" s="2" t="s">
        <v>361</v>
      </c>
      <c r="M866" s="2" t="s">
        <v>362</v>
      </c>
      <c r="N866" s="6">
        <v>44925.581261574072</v>
      </c>
      <c r="O866" s="4">
        <v>5876880</v>
      </c>
      <c r="P866" s="2">
        <v>114723</v>
      </c>
      <c r="Q866" s="2" t="s">
        <v>1070</v>
      </c>
      <c r="R866" s="2" t="s">
        <v>1071</v>
      </c>
      <c r="S866" s="2" t="s">
        <v>56</v>
      </c>
      <c r="T866" s="2" t="s">
        <v>286</v>
      </c>
      <c r="U866" s="2" t="s">
        <v>129</v>
      </c>
      <c r="W866" s="4">
        <v>500</v>
      </c>
      <c r="X866" s="4">
        <v>600</v>
      </c>
      <c r="Y866" s="4">
        <f t="shared" ref="Y866" si="963">INDEX(InternalRates,MATCH($S866,InternalRates01,FALSE),2)</f>
        <v>278.98333333333335</v>
      </c>
      <c r="Z866" s="3" t="str">
        <f t="shared" si="960"/>
        <v>Nie</v>
      </c>
      <c r="AA866" s="3" t="str">
        <f t="shared" si="961"/>
        <v>SLA</v>
      </c>
      <c r="AB866" s="4">
        <v>192</v>
      </c>
      <c r="AC866" s="4">
        <v>48</v>
      </c>
      <c r="AD866" s="3" t="s">
        <v>48</v>
      </c>
      <c r="AE866" s="6">
        <v>44987</v>
      </c>
      <c r="AF866" s="3" t="s">
        <v>59</v>
      </c>
      <c r="AG866" s="3" t="s">
        <v>48</v>
      </c>
      <c r="AH866" s="3">
        <f>YEAR(SrcDB[[#This Row],[Datum_zverejnenia]])</f>
        <v>2022</v>
      </c>
      <c r="AI866" s="3" cm="1">
        <f t="array" ref="AI866">COUNT(_xlfn.UNIQUE(_xlfn._xlws.FILTER(SrcDB[ID],SrcDB[Objednavatel_ICO]=$H866)))</f>
        <v>15</v>
      </c>
      <c r="AJ866" s="3" cm="1">
        <f t="array" ref="AJ866">COUNT(_xlfn.UNIQUE(_xlfn._xlws.FILTER(SrcDB[ID],SrcDB[Dodavatel_ICO]=$K866)))</f>
        <v>5</v>
      </c>
      <c r="AK866" s="3">
        <f t="shared" si="930"/>
        <v>0</v>
      </c>
      <c r="AL866" s="3">
        <f t="shared" si="931"/>
        <v>0</v>
      </c>
      <c r="AM866" s="17" t="str">
        <f>IF(SrcDB[[#This Row],[Pocet zmluv objednavatela]]&gt;3,SrcDB[[#This Row],[Objednavatel]],"Ostatné")</f>
        <v>Ministerstvo vnútra SR</v>
      </c>
      <c r="AN866" s="17" t="str">
        <f>IF(SrcDB[[#This Row],[Pocet zmluv dodavatela]]&gt;3,SrcDB[[#This Row],[Dodavatel]],"Ostatné")</f>
        <v>MICROCOMP – Computersystém s.r.o.</v>
      </c>
    </row>
    <row r="867" spans="1:40" x14ac:dyDescent="0.3">
      <c r="A867" s="2" t="s">
        <v>1072</v>
      </c>
      <c r="B867" s="2">
        <v>7337668</v>
      </c>
      <c r="C867" s="3" t="str">
        <f t="shared" si="924"/>
        <v>Nie</v>
      </c>
      <c r="D867" s="3" t="str">
        <f t="shared" si="925"/>
        <v>Áno</v>
      </c>
      <c r="E867" s="3" t="s">
        <v>48</v>
      </c>
      <c r="F867" s="3" t="s">
        <v>49</v>
      </c>
      <c r="G867" s="2" t="str">
        <f t="shared" si="926"/>
        <v>Veľké zmluvy</v>
      </c>
      <c r="H867" s="5" t="s">
        <v>342</v>
      </c>
      <c r="I867" s="2" t="s">
        <v>343</v>
      </c>
      <c r="J867" s="2" t="s">
        <v>344</v>
      </c>
      <c r="K867" s="5">
        <v>45650276</v>
      </c>
      <c r="L867" s="2" t="s">
        <v>234</v>
      </c>
      <c r="M867" s="2" t="s">
        <v>235</v>
      </c>
      <c r="N867" s="6">
        <v>44925.591180555559</v>
      </c>
      <c r="O867" s="4">
        <v>37098213.600000001</v>
      </c>
      <c r="P867" s="2">
        <v>114723</v>
      </c>
      <c r="Q867" s="2" t="s">
        <v>1073</v>
      </c>
      <c r="R867" s="2" t="s">
        <v>1074</v>
      </c>
      <c r="S867" s="2" t="s">
        <v>183</v>
      </c>
      <c r="T867" s="2" t="s">
        <v>183</v>
      </c>
      <c r="W867" s="4">
        <v>680</v>
      </c>
      <c r="X867" s="4">
        <v>816</v>
      </c>
      <c r="Y867" s="4">
        <f t="shared" ref="Y867" si="964">INDEX(InternalRates,MATCH($S867,InternalRates01,FALSE),2)</f>
        <v>278.98333333333335</v>
      </c>
      <c r="Z867" s="3" t="str">
        <f t="shared" si="960"/>
        <v>Nie</v>
      </c>
      <c r="AA867" s="3" t="str">
        <f t="shared" si="961"/>
        <v>SLA</v>
      </c>
      <c r="AB867" s="4">
        <v>144</v>
      </c>
      <c r="AC867" s="4">
        <v>3456</v>
      </c>
      <c r="AD867" s="3" t="s">
        <v>48</v>
      </c>
      <c r="AE867" s="6">
        <v>44985</v>
      </c>
      <c r="AF867" s="3" t="s">
        <v>59</v>
      </c>
      <c r="AG867" s="3" t="s">
        <v>49</v>
      </c>
      <c r="AH867" s="3">
        <f>YEAR(SrcDB[[#This Row],[Datum_zverejnenia]])</f>
        <v>2022</v>
      </c>
      <c r="AI867" s="3" cm="1">
        <f t="array" ref="AI867">COUNT(_xlfn.UNIQUE(_xlfn._xlws.FILTER(SrcDB[ID],SrcDB[Objednavatel_ICO]=$H867)))</f>
        <v>15</v>
      </c>
      <c r="AJ867" s="3" cm="1">
        <f t="array" ref="AJ867">COUNT(_xlfn.UNIQUE(_xlfn._xlws.FILTER(SrcDB[ID],SrcDB[Dodavatel_ICO]=$K867)))</f>
        <v>12</v>
      </c>
      <c r="AK867" s="3">
        <f t="shared" si="930"/>
        <v>1</v>
      </c>
      <c r="AL867" s="3">
        <f t="shared" si="931"/>
        <v>1</v>
      </c>
      <c r="AM867" s="17" t="str">
        <f>IF(SrcDB[[#This Row],[Pocet zmluv objednavatela]]&gt;3,SrcDB[[#This Row],[Objednavatel]],"Ostatné")</f>
        <v>Ministerstvo vnútra SR</v>
      </c>
      <c r="AN867" s="17" t="str">
        <f>IF(SrcDB[[#This Row],[Pocet zmluv dodavatela]]&gt;3,SrcDB[[#This Row],[Dodavatel]],"Ostatné")</f>
        <v>Atos IT Solutions and Services s.r.o. / Eviden Slovakia, s.r.o.</v>
      </c>
    </row>
    <row r="868" spans="1:40" x14ac:dyDescent="0.3">
      <c r="A868" s="2" t="s">
        <v>1075</v>
      </c>
      <c r="B868" s="2">
        <v>7337730</v>
      </c>
      <c r="C868" s="3" t="str">
        <f t="shared" si="924"/>
        <v>Nie</v>
      </c>
      <c r="D868" s="3" t="str">
        <f t="shared" si="925"/>
        <v>Áno</v>
      </c>
      <c r="E868" s="3" t="s">
        <v>48</v>
      </c>
      <c r="F868" s="3" t="s">
        <v>49</v>
      </c>
      <c r="G868" s="2" t="str">
        <f t="shared" si="926"/>
        <v>Veľké zmluvy</v>
      </c>
      <c r="H868" s="5" t="s">
        <v>342</v>
      </c>
      <c r="I868" s="2" t="s">
        <v>343</v>
      </c>
      <c r="J868" s="2" t="s">
        <v>344</v>
      </c>
      <c r="K868" s="5">
        <v>35955678</v>
      </c>
      <c r="L868" s="2" t="s">
        <v>179</v>
      </c>
      <c r="M868" s="2" t="s">
        <v>180</v>
      </c>
      <c r="N868" s="6">
        <v>44925.59884259259</v>
      </c>
      <c r="O868" s="4">
        <v>41299434.189999998</v>
      </c>
      <c r="P868" s="2">
        <v>114723</v>
      </c>
      <c r="Q868" s="2" t="s">
        <v>1076</v>
      </c>
      <c r="R868" s="2" t="s">
        <v>1077</v>
      </c>
      <c r="S868" s="2" t="s">
        <v>183</v>
      </c>
      <c r="T868" s="2" t="s">
        <v>183</v>
      </c>
      <c r="W868" s="4">
        <v>700</v>
      </c>
      <c r="X868" s="4">
        <v>840</v>
      </c>
      <c r="Y868" s="4">
        <f t="shared" ref="Y868" si="965">INDEX(InternalRates,MATCH($S868,InternalRates01,FALSE),2)</f>
        <v>278.98333333333335</v>
      </c>
      <c r="Z868" s="3" t="str">
        <f t="shared" si="960"/>
        <v>Nie</v>
      </c>
      <c r="AA868" s="3" t="str">
        <f t="shared" si="961"/>
        <v>SLA</v>
      </c>
      <c r="AB868" s="4">
        <v>144</v>
      </c>
      <c r="AC868" s="4">
        <v>3456</v>
      </c>
      <c r="AD868" s="3" t="s">
        <v>48</v>
      </c>
      <c r="AE868" s="6">
        <v>44985</v>
      </c>
      <c r="AF868" s="3" t="s">
        <v>59</v>
      </c>
      <c r="AG868" s="3" t="s">
        <v>49</v>
      </c>
      <c r="AH868" s="3">
        <f>YEAR(SrcDB[[#This Row],[Datum_zverejnenia]])</f>
        <v>2022</v>
      </c>
      <c r="AI868" s="3" cm="1">
        <f t="array" ref="AI868">COUNT(_xlfn.UNIQUE(_xlfn._xlws.FILTER(SrcDB[ID],SrcDB[Objednavatel_ICO]=$H868)))</f>
        <v>15</v>
      </c>
      <c r="AJ868" s="3" cm="1">
        <f t="array" ref="AJ868">COUNT(_xlfn.UNIQUE(_xlfn._xlws.FILTER(SrcDB[ID],SrcDB[Dodavatel_ICO]=$K868)))</f>
        <v>14</v>
      </c>
      <c r="AK868" s="3">
        <f t="shared" si="930"/>
        <v>1</v>
      </c>
      <c r="AL868" s="3">
        <f t="shared" si="931"/>
        <v>1</v>
      </c>
      <c r="AM868" s="17" t="str">
        <f>IF(SrcDB[[#This Row],[Pocet zmluv objednavatela]]&gt;3,SrcDB[[#This Row],[Objednavatel]],"Ostatné")</f>
        <v>Ministerstvo vnútra SR</v>
      </c>
      <c r="AN868" s="17" t="str">
        <f>IF(SrcDB[[#This Row],[Pocet zmluv dodavatela]]&gt;3,SrcDB[[#This Row],[Dodavatel]],"Ostatné")</f>
        <v>SOITRON, s.r.o.</v>
      </c>
    </row>
    <row r="869" spans="1:40" x14ac:dyDescent="0.3">
      <c r="A869" s="2" t="s">
        <v>176</v>
      </c>
      <c r="B869" s="2">
        <v>7342058</v>
      </c>
      <c r="C869" s="3" t="str">
        <f t="shared" si="924"/>
        <v>Áno</v>
      </c>
      <c r="D869" s="3" t="str">
        <f t="shared" si="925"/>
        <v>Nie</v>
      </c>
      <c r="E869" s="3" t="s">
        <v>49</v>
      </c>
      <c r="F869" s="3" t="s">
        <v>48</v>
      </c>
      <c r="G869" s="2" t="str">
        <f t="shared" si="926"/>
        <v>Malé zmluvy</v>
      </c>
      <c r="H869" s="5">
        <v>35850370</v>
      </c>
      <c r="I869" s="2" t="s">
        <v>854</v>
      </c>
      <c r="J869" s="2" t="s">
        <v>855</v>
      </c>
      <c r="K869" s="5">
        <v>46928073</v>
      </c>
      <c r="L869" s="2" t="s">
        <v>900</v>
      </c>
      <c r="M869" s="2" t="s">
        <v>1078</v>
      </c>
      <c r="N869" s="6">
        <v>44928.601180555554</v>
      </c>
      <c r="O869" s="4">
        <v>499980</v>
      </c>
      <c r="P869" s="2">
        <v>6215909</v>
      </c>
      <c r="Q869" s="2" t="s">
        <v>1079</v>
      </c>
      <c r="R869" s="2" t="s">
        <v>1080</v>
      </c>
      <c r="S869" s="2" t="s">
        <v>183</v>
      </c>
      <c r="T869" s="2" t="s">
        <v>183</v>
      </c>
      <c r="W869" s="4">
        <v>368</v>
      </c>
      <c r="X869" s="4">
        <v>441.59999999999997</v>
      </c>
      <c r="Y869" s="4">
        <f t="shared" ref="Y869" si="966">INDEX(InternalRates,MATCH($S869,InternalRates01,FALSE),2)</f>
        <v>278.98333333333335</v>
      </c>
      <c r="Z869" s="3" t="str">
        <f t="shared" si="960"/>
        <v>Nie</v>
      </c>
      <c r="AA869" s="3" t="str">
        <f t="shared" si="961"/>
        <v>ZoD</v>
      </c>
      <c r="AB869" s="4">
        <v>50</v>
      </c>
      <c r="AD869" s="3" t="s">
        <v>48</v>
      </c>
      <c r="AE869" s="6">
        <v>45539</v>
      </c>
      <c r="AF869" s="3" t="s">
        <v>59</v>
      </c>
      <c r="AG869" s="3" t="s">
        <v>48</v>
      </c>
      <c r="AH869" s="3">
        <f>YEAR(SrcDB[[#This Row],[Datum_zverejnenia]])</f>
        <v>2023</v>
      </c>
      <c r="AI869" s="3" cm="1">
        <f t="array" ref="AI869">COUNT(_xlfn.UNIQUE(_xlfn._xlws.FILTER(SrcDB[ID],SrcDB[Objednavatel_ICO]=$H869)))</f>
        <v>5</v>
      </c>
      <c r="AJ869" s="3" cm="1">
        <f t="array" ref="AJ869">COUNT(_xlfn.UNIQUE(_xlfn._xlws.FILTER(SrcDB[ID],SrcDB[Dodavatel_ICO]=$K869)))</f>
        <v>4</v>
      </c>
      <c r="AK869" s="3">
        <f t="shared" si="930"/>
        <v>1</v>
      </c>
      <c r="AL869" s="3">
        <f t="shared" si="931"/>
        <v>1</v>
      </c>
      <c r="AM869" s="17" t="str">
        <f>IF(SrcDB[[#This Row],[Pocet zmluv objednavatela]]&gt;3,SrcDB[[#This Row],[Objednavatel]],"Ostatné")</f>
        <v>Bratislavská vodárenská spoločnosť, a. s.</v>
      </c>
      <c r="AN869" s="17" t="str">
        <f>IF(SrcDB[[#This Row],[Pocet zmluv dodavatela]]&gt;3,SrcDB[[#This Row],[Dodavatel]],"Ostatné")</f>
        <v>Synergon a.s.</v>
      </c>
    </row>
    <row r="870" spans="1:40" x14ac:dyDescent="0.3">
      <c r="A870" s="2" t="s">
        <v>564</v>
      </c>
      <c r="B870" s="2">
        <v>7368672</v>
      </c>
      <c r="C870" s="3" t="str">
        <f t="shared" si="924"/>
        <v>Nejasné</v>
      </c>
      <c r="D870" s="3" t="str">
        <f t="shared" si="925"/>
        <v>Nejasné</v>
      </c>
      <c r="E870" s="3" t="s">
        <v>48</v>
      </c>
      <c r="F870" s="3" t="s">
        <v>49</v>
      </c>
      <c r="G870" s="2" t="str">
        <f t="shared" si="926"/>
        <v>Malé zmluvy</v>
      </c>
      <c r="H870" s="5">
        <v>31364501</v>
      </c>
      <c r="I870" s="2" t="s">
        <v>220</v>
      </c>
      <c r="J870" s="2" t="s">
        <v>726</v>
      </c>
      <c r="K870" s="5">
        <v>36762644</v>
      </c>
      <c r="L870" s="2" t="s">
        <v>1054</v>
      </c>
      <c r="M870" s="2" t="s">
        <v>1055</v>
      </c>
      <c r="N870" s="6">
        <v>44937.484606481485</v>
      </c>
      <c r="O870" s="4">
        <v>340800</v>
      </c>
      <c r="P870" s="2">
        <v>114573</v>
      </c>
      <c r="Q870" s="2" t="s">
        <v>1081</v>
      </c>
      <c r="R870" s="2" t="s">
        <v>1082</v>
      </c>
      <c r="S870" s="2" t="s">
        <v>183</v>
      </c>
      <c r="T870" s="2" t="s">
        <v>183</v>
      </c>
      <c r="W870" s="4">
        <v>568</v>
      </c>
      <c r="X870" s="4">
        <v>681.6</v>
      </c>
      <c r="Y870" s="4">
        <f t="shared" ref="Y870" si="967">INDEX(InternalRates,MATCH($S870,InternalRates01,FALSE),2)</f>
        <v>278.98333333333335</v>
      </c>
      <c r="Z870" s="3" t="str">
        <f t="shared" si="960"/>
        <v>Nie</v>
      </c>
      <c r="AA870" s="3" t="str">
        <f t="shared" si="961"/>
        <v>SLA</v>
      </c>
      <c r="AB870" s="4">
        <v>500</v>
      </c>
      <c r="AC870" s="4">
        <v>500</v>
      </c>
      <c r="AD870" s="3" t="s">
        <v>48</v>
      </c>
      <c r="AE870" s="6">
        <v>45539</v>
      </c>
      <c r="AF870" s="3" t="s">
        <v>59</v>
      </c>
      <c r="AG870" s="3" t="s">
        <v>48</v>
      </c>
      <c r="AH870" s="3">
        <f>YEAR(SrcDB[[#This Row],[Datum_zverejnenia]])</f>
        <v>2023</v>
      </c>
      <c r="AI870" s="3" cm="1">
        <f t="array" ref="AI870">COUNT(_xlfn.UNIQUE(_xlfn._xlws.FILTER(SrcDB[ID],SrcDB[Objednavatel_ICO]=$H870)))</f>
        <v>24</v>
      </c>
      <c r="AJ870" s="3" cm="1">
        <f t="array" ref="AJ870">COUNT(_xlfn.UNIQUE(_xlfn._xlws.FILTER(SrcDB[ID],SrcDB[Dodavatel_ICO]=$K870)))</f>
        <v>2</v>
      </c>
      <c r="AK870" s="3">
        <f t="shared" si="930"/>
        <v>1</v>
      </c>
      <c r="AL870" s="3">
        <f t="shared" si="931"/>
        <v>1</v>
      </c>
      <c r="AM870" s="17" t="str">
        <f>IF(SrcDB[[#This Row],[Pocet zmluv objednavatela]]&gt;3,SrcDB[[#This Row],[Objednavatel]],"Ostatné")</f>
        <v>Železnice Slovenskej republiky</v>
      </c>
      <c r="AN870" s="17" t="str">
        <f>IF(SrcDB[[#This Row],[Pocet zmluv dodavatela]]&gt;3,SrcDB[[#This Row],[Dodavatel]],"Ostatné")</f>
        <v>Ostatné</v>
      </c>
    </row>
    <row r="871" spans="1:40" x14ac:dyDescent="0.3">
      <c r="A871" s="2" t="s">
        <v>564</v>
      </c>
      <c r="B871" s="2">
        <v>7477780</v>
      </c>
      <c r="C871" s="3" t="str">
        <f t="shared" si="924"/>
        <v>Nejasné</v>
      </c>
      <c r="D871" s="3" t="str">
        <f t="shared" si="925"/>
        <v>Nejasné</v>
      </c>
      <c r="E871" s="3" t="s">
        <v>48</v>
      </c>
      <c r="F871" s="3" t="s">
        <v>49</v>
      </c>
      <c r="G871" s="2" t="str">
        <f t="shared" si="926"/>
        <v>Malé zmluvy</v>
      </c>
      <c r="H871" s="5">
        <v>31364501</v>
      </c>
      <c r="I871" s="2" t="s">
        <v>220</v>
      </c>
      <c r="J871" s="2" t="s">
        <v>726</v>
      </c>
      <c r="K871" s="5">
        <v>31385401</v>
      </c>
      <c r="L871" s="2" t="s">
        <v>142</v>
      </c>
      <c r="M871" s="2" t="s">
        <v>496</v>
      </c>
      <c r="N871" s="6">
        <v>44963.572905092595</v>
      </c>
      <c r="O871" s="4">
        <v>251157.6</v>
      </c>
      <c r="P871" s="2">
        <v>114573</v>
      </c>
      <c r="Q871" s="2" t="s">
        <v>1083</v>
      </c>
      <c r="R871" s="2" t="s">
        <v>1084</v>
      </c>
      <c r="S871" s="2" t="s">
        <v>183</v>
      </c>
      <c r="T871" s="2" t="s">
        <v>183</v>
      </c>
      <c r="W871" s="4">
        <v>566</v>
      </c>
      <c r="X871" s="4">
        <v>679.19999999999993</v>
      </c>
      <c r="Y871" s="4">
        <f t="shared" ref="Y871" si="968">INDEX(InternalRates,MATCH($S871,InternalRates01,FALSE),2)</f>
        <v>278.98333333333335</v>
      </c>
      <c r="Z871" s="3" t="str">
        <f t="shared" si="960"/>
        <v>Nie</v>
      </c>
      <c r="AA871" s="3" t="str">
        <f t="shared" si="961"/>
        <v>SLA</v>
      </c>
      <c r="AD871" s="3" t="s">
        <v>48</v>
      </c>
      <c r="AE871" s="6">
        <v>45539</v>
      </c>
      <c r="AF871" s="3" t="s">
        <v>59</v>
      </c>
      <c r="AG871" s="3" t="s">
        <v>48</v>
      </c>
      <c r="AH871" s="3">
        <f>YEAR(SrcDB[[#This Row],[Datum_zverejnenia]])</f>
        <v>2023</v>
      </c>
      <c r="AI871" s="3" cm="1">
        <f t="array" ref="AI871">COUNT(_xlfn.UNIQUE(_xlfn._xlws.FILTER(SrcDB[ID],SrcDB[Objednavatel_ICO]=$H871)))</f>
        <v>24</v>
      </c>
      <c r="AJ871" s="3" cm="1">
        <f t="array" ref="AJ871">COUNT(_xlfn.UNIQUE(_xlfn._xlws.FILTER(SrcDB[ID],SrcDB[Dodavatel_ICO]=$K871)))</f>
        <v>14</v>
      </c>
      <c r="AK871" s="3">
        <f t="shared" si="930"/>
        <v>1</v>
      </c>
      <c r="AL871" s="3">
        <f t="shared" si="931"/>
        <v>1</v>
      </c>
      <c r="AM871" s="17" t="str">
        <f>IF(SrcDB[[#This Row],[Pocet zmluv objednavatela]]&gt;3,SrcDB[[#This Row],[Objednavatel]],"Ostatné")</f>
        <v>Železnice Slovenskej republiky</v>
      </c>
      <c r="AN871" s="17" t="str">
        <f>IF(SrcDB[[#This Row],[Pocet zmluv dodavatela]]&gt;3,SrcDB[[#This Row],[Dodavatel]],"Ostatné")</f>
        <v>DITEC, a.s.</v>
      </c>
    </row>
    <row r="872" spans="1:40" x14ac:dyDescent="0.3">
      <c r="A872" s="2" t="s">
        <v>176</v>
      </c>
      <c r="B872" s="2">
        <v>7508280</v>
      </c>
      <c r="C872" s="3" t="str">
        <f t="shared" si="924"/>
        <v>Áno</v>
      </c>
      <c r="D872" s="3" t="str">
        <f t="shared" si="925"/>
        <v>Nie</v>
      </c>
      <c r="E872" s="3" t="s">
        <v>49</v>
      </c>
      <c r="F872" s="3" t="s">
        <v>48</v>
      </c>
      <c r="G872" s="2" t="str">
        <f t="shared" si="926"/>
        <v>Malé zmluvy</v>
      </c>
      <c r="H872" s="5" t="s">
        <v>676</v>
      </c>
      <c r="I872" s="2" t="s">
        <v>677</v>
      </c>
      <c r="J872" s="2" t="s">
        <v>678</v>
      </c>
      <c r="K872" s="5">
        <v>35785284</v>
      </c>
      <c r="L872" s="2" t="s">
        <v>291</v>
      </c>
      <c r="M872" s="2" t="s">
        <v>292</v>
      </c>
      <c r="N872" s="6">
        <v>44971</v>
      </c>
      <c r="O872" s="4">
        <v>718799.4</v>
      </c>
      <c r="P872" s="2">
        <v>114731</v>
      </c>
      <c r="Q872" s="2" t="s">
        <v>1085</v>
      </c>
      <c r="R872" s="2" t="s">
        <v>1086</v>
      </c>
      <c r="S872" s="2" t="s">
        <v>183</v>
      </c>
      <c r="T872" s="2" t="s">
        <v>183</v>
      </c>
      <c r="W872" s="4">
        <v>450</v>
      </c>
      <c r="X872" s="4">
        <v>540</v>
      </c>
      <c r="Y872" s="4">
        <f t="shared" ref="Y872" si="969">INDEX(InternalRates,MATCH($S872,InternalRates01,FALSE),2)</f>
        <v>278.98333333333335</v>
      </c>
      <c r="Z872" s="3" t="str">
        <f t="shared" si="960"/>
        <v>Nie</v>
      </c>
      <c r="AA872" s="3" t="str">
        <f t="shared" si="961"/>
        <v>ZoD</v>
      </c>
      <c r="AD872" s="3" t="s">
        <v>48</v>
      </c>
      <c r="AE872" s="6">
        <v>45537</v>
      </c>
      <c r="AF872" s="3" t="s">
        <v>59</v>
      </c>
      <c r="AG872" s="3" t="s">
        <v>48</v>
      </c>
      <c r="AH872" s="3">
        <f>YEAR(SrcDB[[#This Row],[Datum_zverejnenia]])</f>
        <v>2023</v>
      </c>
      <c r="AI872" s="3" cm="1">
        <f t="array" ref="AI872">COUNT(_xlfn.UNIQUE(_xlfn._xlws.FILTER(SrcDB[ID],SrcDB[Objednavatel_ICO]=$H872)))</f>
        <v>2</v>
      </c>
      <c r="AJ872" s="3" cm="1">
        <f t="array" ref="AJ872">COUNT(_xlfn.UNIQUE(_xlfn._xlws.FILTER(SrcDB[ID],SrcDB[Dodavatel_ICO]=$K872)))</f>
        <v>7</v>
      </c>
      <c r="AK872" s="3">
        <f t="shared" si="930"/>
        <v>1</v>
      </c>
      <c r="AL872" s="3">
        <f t="shared" si="931"/>
        <v>1</v>
      </c>
      <c r="AM872" s="17" t="str">
        <f>IF(SrcDB[[#This Row],[Pocet zmluv objednavatela]]&gt;3,SrcDB[[#This Row],[Objednavatel]],"Ostatné")</f>
        <v>Ostatné</v>
      </c>
      <c r="AN872" s="17" t="str">
        <f>IF(SrcDB[[#This Row],[Pocet zmluv dodavatela]]&gt;3,SrcDB[[#This Row],[Dodavatel]],"Ostatné")</f>
        <v>Plaut Slovensko, s.r.o.</v>
      </c>
    </row>
    <row r="873" spans="1:40" x14ac:dyDescent="0.3">
      <c r="A873" s="2" t="s">
        <v>1087</v>
      </c>
      <c r="B873" s="2">
        <v>7509230</v>
      </c>
      <c r="C873" s="3" t="str">
        <f t="shared" si="924"/>
        <v>Nie</v>
      </c>
      <c r="D873" s="3" t="str">
        <f t="shared" si="925"/>
        <v>Áno</v>
      </c>
      <c r="E873" s="3" t="s">
        <v>48</v>
      </c>
      <c r="F873" s="3" t="s">
        <v>49</v>
      </c>
      <c r="G873" s="2" t="str">
        <f t="shared" si="926"/>
        <v>Malé zmluvy</v>
      </c>
      <c r="H873" s="5">
        <v>36631124</v>
      </c>
      <c r="I873" s="2" t="s">
        <v>104</v>
      </c>
      <c r="J873" s="2" t="s">
        <v>105</v>
      </c>
      <c r="K873" s="5">
        <v>36396222</v>
      </c>
      <c r="L873" s="2" t="s">
        <v>52</v>
      </c>
      <c r="M873" s="2" t="s">
        <v>53</v>
      </c>
      <c r="N873" s="6">
        <v>44971.442870370367</v>
      </c>
      <c r="O873" s="4">
        <v>317706</v>
      </c>
      <c r="P873" s="2">
        <v>114573</v>
      </c>
      <c r="Q873" s="2" t="s">
        <v>1088</v>
      </c>
      <c r="R873" s="2" t="s">
        <v>1089</v>
      </c>
      <c r="S873" s="2" t="s">
        <v>56</v>
      </c>
      <c r="T873" s="2" t="s">
        <v>905</v>
      </c>
      <c r="U873" s="2" t="s">
        <v>113</v>
      </c>
      <c r="W873" s="4">
        <v>776</v>
      </c>
      <c r="X873" s="4">
        <v>931.19999999999993</v>
      </c>
      <c r="Y873" s="4">
        <f t="shared" ref="Y873" si="970">INDEX(InternalRates,MATCH($S873,InternalRates01,FALSE),2)</f>
        <v>278.98333333333335</v>
      </c>
      <c r="Z873" s="3" t="str">
        <f t="shared" si="960"/>
        <v>Nie</v>
      </c>
      <c r="AA873" s="3" t="str">
        <f t="shared" si="961"/>
        <v>SLA</v>
      </c>
      <c r="AD873" s="3" t="s">
        <v>48</v>
      </c>
      <c r="AE873" s="6">
        <v>45539</v>
      </c>
      <c r="AF873" s="3" t="s">
        <v>59</v>
      </c>
      <c r="AG873" s="3" t="s">
        <v>60</v>
      </c>
      <c r="AH873" s="3">
        <f>YEAR(SrcDB[[#This Row],[Datum_zverejnenia]])</f>
        <v>2023</v>
      </c>
      <c r="AI873" s="3" cm="1">
        <f t="array" ref="AI873">COUNT(_xlfn.UNIQUE(_xlfn._xlws.FILTER(SrcDB[ID],SrcDB[Objednavatel_ICO]=$H873)))</f>
        <v>17</v>
      </c>
      <c r="AJ873" s="3" cm="1">
        <f t="array" ref="AJ873">COUNT(_xlfn.UNIQUE(_xlfn._xlws.FILTER(SrcDB[ID],SrcDB[Dodavatel_ICO]=$K873)))</f>
        <v>11</v>
      </c>
      <c r="AK873" s="3">
        <f t="shared" si="930"/>
        <v>1</v>
      </c>
      <c r="AL873" s="3">
        <f t="shared" si="931"/>
        <v>1</v>
      </c>
      <c r="AM873" s="17" t="str">
        <f>IF(SrcDB[[#This Row],[Pocet zmluv objednavatela]]&gt;3,SrcDB[[#This Row],[Objednavatel]],"Ostatné")</f>
        <v>Slovenská pošta, a. s.</v>
      </c>
      <c r="AN873" s="17" t="str">
        <f>IF(SrcDB[[#This Row],[Pocet zmluv dodavatela]]&gt;3,SrcDB[[#This Row],[Dodavatel]],"Ostatné")</f>
        <v>AUTOCONT s.r.o. / ARICOMA Systems s.r.o.</v>
      </c>
    </row>
    <row r="874" spans="1:40" x14ac:dyDescent="0.3">
      <c r="A874" s="2" t="s">
        <v>1090</v>
      </c>
      <c r="B874" s="2">
        <v>7510873</v>
      </c>
      <c r="C874" s="3" t="str">
        <f t="shared" si="924"/>
        <v>Áno</v>
      </c>
      <c r="D874" s="3" t="str">
        <f t="shared" si="925"/>
        <v>Nie</v>
      </c>
      <c r="E874" s="3" t="s">
        <v>49</v>
      </c>
      <c r="F874" s="3" t="s">
        <v>48</v>
      </c>
      <c r="G874" s="2" t="str">
        <f t="shared" si="926"/>
        <v>Stredné zmluvy</v>
      </c>
      <c r="H874" s="5" t="s">
        <v>1091</v>
      </c>
      <c r="I874" s="2" t="s">
        <v>1092</v>
      </c>
      <c r="J874" s="2" t="s">
        <v>1093</v>
      </c>
      <c r="K874" s="5">
        <v>35760419</v>
      </c>
      <c r="L874" s="2" t="s">
        <v>85</v>
      </c>
      <c r="M874" s="2" t="s">
        <v>961</v>
      </c>
      <c r="N874" s="6">
        <v>44971.582754629628</v>
      </c>
      <c r="O874" s="4">
        <v>1637880</v>
      </c>
      <c r="P874" s="2">
        <v>119006</v>
      </c>
      <c r="Q874" s="2" t="s">
        <v>1094</v>
      </c>
      <c r="R874" s="2" t="s">
        <v>1095</v>
      </c>
      <c r="S874" s="2" t="s">
        <v>71</v>
      </c>
      <c r="T874" s="2" t="s">
        <v>1096</v>
      </c>
      <c r="W874" s="4">
        <v>645.55555555555554</v>
      </c>
      <c r="X874" s="4">
        <v>774.66666666666663</v>
      </c>
      <c r="Y874" s="4">
        <f t="shared" ref="Y874" si="971">INDEX(InternalRates,MATCH($S874,InternalRates01,FALSE),2)</f>
        <v>354.0333333333333</v>
      </c>
      <c r="Z874" s="3" t="str">
        <f t="shared" si="960"/>
        <v>Nie</v>
      </c>
      <c r="AA874" s="3" t="str">
        <f t="shared" si="961"/>
        <v>ZoD</v>
      </c>
      <c r="AB874" s="4">
        <v>45</v>
      </c>
      <c r="AC874" s="4">
        <v>90</v>
      </c>
      <c r="AD874" s="3" t="s">
        <v>48</v>
      </c>
      <c r="AE874" s="6">
        <v>45539</v>
      </c>
      <c r="AF874" s="3" t="s">
        <v>59</v>
      </c>
      <c r="AG874" s="3" t="s">
        <v>49</v>
      </c>
      <c r="AH874" s="3">
        <f>YEAR(SrcDB[[#This Row],[Datum_zverejnenia]])</f>
        <v>2023</v>
      </c>
      <c r="AI874" s="3" cm="1">
        <f t="array" ref="AI874">COUNT(_xlfn.UNIQUE(_xlfn._xlws.FILTER(SrcDB[ID],SrcDB[Objednavatel_ICO]=$H874)))</f>
        <v>1</v>
      </c>
      <c r="AJ874" s="3" cm="1">
        <f t="array" ref="AJ874">COUNT(_xlfn.UNIQUE(_xlfn._xlws.FILTER(SrcDB[ID],SrcDB[Dodavatel_ICO]=$K874)))</f>
        <v>34</v>
      </c>
      <c r="AK874" s="3">
        <f t="shared" si="930"/>
        <v>1</v>
      </c>
      <c r="AL874" s="3">
        <f t="shared" si="931"/>
        <v>1</v>
      </c>
      <c r="AM874" s="17" t="str">
        <f>IF(SrcDB[[#This Row],[Pocet zmluv objednavatela]]&gt;3,SrcDB[[#This Row],[Objednavatel]],"Ostatné")</f>
        <v>Ostatné</v>
      </c>
      <c r="AN874" s="17" t="str">
        <f>IF(SrcDB[[#This Row],[Pocet zmluv dodavatela]]&gt;3,SrcDB[[#This Row],[Dodavatel]],"Ostatné")</f>
        <v>Asseco Central Europe, a.s.</v>
      </c>
    </row>
    <row r="875" spans="1:40" x14ac:dyDescent="0.3">
      <c r="A875" s="2" t="s">
        <v>1090</v>
      </c>
      <c r="B875" s="2">
        <v>7510873</v>
      </c>
      <c r="C875" s="3" t="str">
        <f t="shared" si="924"/>
        <v>Áno</v>
      </c>
      <c r="D875" s="3" t="str">
        <f t="shared" si="925"/>
        <v>Nie</v>
      </c>
      <c r="E875" s="3" t="s">
        <v>49</v>
      </c>
      <c r="F875" s="3" t="s">
        <v>48</v>
      </c>
      <c r="G875" s="2" t="str">
        <f t="shared" si="926"/>
        <v>Stredné zmluvy</v>
      </c>
      <c r="H875" s="5" t="s">
        <v>1091</v>
      </c>
      <c r="I875" s="2" t="s">
        <v>1092</v>
      </c>
      <c r="J875" s="2" t="s">
        <v>1093</v>
      </c>
      <c r="K875" s="5">
        <v>35760419</v>
      </c>
      <c r="L875" s="2" t="s">
        <v>85</v>
      </c>
      <c r="M875" s="2" t="s">
        <v>961</v>
      </c>
      <c r="N875" s="6">
        <v>44971.582754629628</v>
      </c>
      <c r="O875" s="4">
        <v>1637880</v>
      </c>
      <c r="P875" s="2">
        <v>119006</v>
      </c>
      <c r="Q875" s="2" t="s">
        <v>1094</v>
      </c>
      <c r="R875" s="2" t="s">
        <v>1095</v>
      </c>
      <c r="S875" s="2" t="s">
        <v>56</v>
      </c>
      <c r="T875" s="2" t="s">
        <v>75</v>
      </c>
      <c r="U875" s="2" t="s">
        <v>76</v>
      </c>
      <c r="W875" s="4">
        <v>590</v>
      </c>
      <c r="X875" s="4">
        <v>708</v>
      </c>
      <c r="Y875" s="4">
        <f t="shared" ref="Y875" si="972">INDEX(InternalRates,MATCH($S875,InternalRates01,FALSE),2)</f>
        <v>278.98333333333335</v>
      </c>
      <c r="Z875" s="3" t="str">
        <f t="shared" si="960"/>
        <v>Nie</v>
      </c>
      <c r="AA875" s="3" t="str">
        <f t="shared" si="961"/>
        <v>ZoD</v>
      </c>
      <c r="AB875" s="4">
        <v>60</v>
      </c>
      <c r="AC875" s="4">
        <v>120</v>
      </c>
      <c r="AD875" s="3" t="s">
        <v>48</v>
      </c>
      <c r="AE875" s="6">
        <v>45539</v>
      </c>
      <c r="AF875" s="3" t="s">
        <v>59</v>
      </c>
      <c r="AG875" s="3" t="s">
        <v>49</v>
      </c>
      <c r="AH875" s="3">
        <f>YEAR(SrcDB[[#This Row],[Datum_zverejnenia]])</f>
        <v>2023</v>
      </c>
      <c r="AI875" s="3" cm="1">
        <f t="array" ref="AI875">COUNT(_xlfn.UNIQUE(_xlfn._xlws.FILTER(SrcDB[ID],SrcDB[Objednavatel_ICO]=$H875)))</f>
        <v>1</v>
      </c>
      <c r="AJ875" s="3" cm="1">
        <f t="array" ref="AJ875">COUNT(_xlfn.UNIQUE(_xlfn._xlws.FILTER(SrcDB[ID],SrcDB[Dodavatel_ICO]=$K875)))</f>
        <v>34</v>
      </c>
      <c r="AK875" s="3">
        <f t="shared" si="930"/>
        <v>0</v>
      </c>
      <c r="AL875" s="3">
        <f t="shared" si="931"/>
        <v>0</v>
      </c>
      <c r="AM875" s="17" t="str">
        <f>IF(SrcDB[[#This Row],[Pocet zmluv objednavatela]]&gt;3,SrcDB[[#This Row],[Objednavatel]],"Ostatné")</f>
        <v>Ostatné</v>
      </c>
      <c r="AN875" s="17" t="str">
        <f>IF(SrcDB[[#This Row],[Pocet zmluv dodavatela]]&gt;3,SrcDB[[#This Row],[Dodavatel]],"Ostatné")</f>
        <v>Asseco Central Europe, a.s.</v>
      </c>
    </row>
    <row r="876" spans="1:40" x14ac:dyDescent="0.3">
      <c r="A876" s="2" t="s">
        <v>1090</v>
      </c>
      <c r="B876" s="2">
        <v>7510873</v>
      </c>
      <c r="C876" s="3" t="str">
        <f t="shared" si="924"/>
        <v>Áno</v>
      </c>
      <c r="D876" s="3" t="str">
        <f t="shared" si="925"/>
        <v>Nie</v>
      </c>
      <c r="E876" s="3" t="s">
        <v>49</v>
      </c>
      <c r="F876" s="3" t="s">
        <v>48</v>
      </c>
      <c r="G876" s="2" t="str">
        <f t="shared" si="926"/>
        <v>Stredné zmluvy</v>
      </c>
      <c r="H876" s="5" t="s">
        <v>1091</v>
      </c>
      <c r="I876" s="2" t="s">
        <v>1092</v>
      </c>
      <c r="J876" s="2" t="s">
        <v>1093</v>
      </c>
      <c r="K876" s="5">
        <v>35760419</v>
      </c>
      <c r="L876" s="2" t="s">
        <v>85</v>
      </c>
      <c r="M876" s="2" t="s">
        <v>961</v>
      </c>
      <c r="N876" s="6">
        <v>44971.582754629628</v>
      </c>
      <c r="O876" s="4">
        <v>1637880</v>
      </c>
      <c r="P876" s="2">
        <v>119006</v>
      </c>
      <c r="Q876" s="2" t="s">
        <v>1094</v>
      </c>
      <c r="R876" s="2" t="s">
        <v>1095</v>
      </c>
      <c r="S876" s="2" t="s">
        <v>79</v>
      </c>
      <c r="T876" s="2" t="s">
        <v>93</v>
      </c>
      <c r="W876" s="4">
        <v>520</v>
      </c>
      <c r="X876" s="4">
        <v>624</v>
      </c>
      <c r="Y876" s="4">
        <f t="shared" ref="Y876" si="973">INDEX(InternalRates,MATCH($S876,InternalRates01,FALSE),2)</f>
        <v>278.98333333333335</v>
      </c>
      <c r="Z876" s="3" t="str">
        <f t="shared" si="960"/>
        <v>Nie</v>
      </c>
      <c r="AA876" s="3" t="str">
        <f t="shared" si="961"/>
        <v>ZoD</v>
      </c>
      <c r="AB876" s="4">
        <v>80</v>
      </c>
      <c r="AC876" s="4">
        <v>160</v>
      </c>
      <c r="AD876" s="3" t="s">
        <v>48</v>
      </c>
      <c r="AE876" s="6">
        <v>45539</v>
      </c>
      <c r="AF876" s="3" t="s">
        <v>59</v>
      </c>
      <c r="AG876" s="3" t="s">
        <v>49</v>
      </c>
      <c r="AH876" s="3">
        <f>YEAR(SrcDB[[#This Row],[Datum_zverejnenia]])</f>
        <v>2023</v>
      </c>
      <c r="AI876" s="3" cm="1">
        <f t="array" ref="AI876">COUNT(_xlfn.UNIQUE(_xlfn._xlws.FILTER(SrcDB[ID],SrcDB[Objednavatel_ICO]=$H876)))</f>
        <v>1</v>
      </c>
      <c r="AJ876" s="3" cm="1">
        <f t="array" ref="AJ876">COUNT(_xlfn.UNIQUE(_xlfn._xlws.FILTER(SrcDB[ID],SrcDB[Dodavatel_ICO]=$K876)))</f>
        <v>34</v>
      </c>
      <c r="AK876" s="3">
        <f t="shared" si="930"/>
        <v>0</v>
      </c>
      <c r="AL876" s="3">
        <f t="shared" si="931"/>
        <v>0</v>
      </c>
      <c r="AM876" s="17" t="str">
        <f>IF(SrcDB[[#This Row],[Pocet zmluv objednavatela]]&gt;3,SrcDB[[#This Row],[Objednavatel]],"Ostatné")</f>
        <v>Ostatné</v>
      </c>
      <c r="AN876" s="17" t="str">
        <f>IF(SrcDB[[#This Row],[Pocet zmluv dodavatela]]&gt;3,SrcDB[[#This Row],[Dodavatel]],"Ostatné")</f>
        <v>Asseco Central Europe, a.s.</v>
      </c>
    </row>
    <row r="877" spans="1:40" x14ac:dyDescent="0.3">
      <c r="A877" s="2" t="s">
        <v>1090</v>
      </c>
      <c r="B877" s="2">
        <v>7510873</v>
      </c>
      <c r="C877" s="3" t="str">
        <f t="shared" si="924"/>
        <v>Áno</v>
      </c>
      <c r="D877" s="3" t="str">
        <f t="shared" si="925"/>
        <v>Nie</v>
      </c>
      <c r="E877" s="3" t="s">
        <v>49</v>
      </c>
      <c r="F877" s="3" t="s">
        <v>48</v>
      </c>
      <c r="G877" s="2" t="str">
        <f t="shared" si="926"/>
        <v>Stredné zmluvy</v>
      </c>
      <c r="H877" s="5" t="s">
        <v>1091</v>
      </c>
      <c r="I877" s="2" t="s">
        <v>1092</v>
      </c>
      <c r="J877" s="2" t="s">
        <v>1093</v>
      </c>
      <c r="K877" s="5">
        <v>35760419</v>
      </c>
      <c r="L877" s="2" t="s">
        <v>85</v>
      </c>
      <c r="M877" s="2" t="s">
        <v>961</v>
      </c>
      <c r="N877" s="6">
        <v>44971.582754629628</v>
      </c>
      <c r="O877" s="4">
        <v>1637880</v>
      </c>
      <c r="P877" s="2">
        <v>119006</v>
      </c>
      <c r="Q877" s="2" t="s">
        <v>1094</v>
      </c>
      <c r="R877" s="2" t="s">
        <v>1095</v>
      </c>
      <c r="S877" s="2" t="s">
        <v>73</v>
      </c>
      <c r="T877" s="2" t="s">
        <v>90</v>
      </c>
      <c r="W877" s="4">
        <v>590</v>
      </c>
      <c r="X877" s="4">
        <v>708</v>
      </c>
      <c r="Y877" s="4">
        <f t="shared" ref="Y877" si="974">INDEX(InternalRates,MATCH($S877,InternalRates01,FALSE),2)</f>
        <v>278.98333333333335</v>
      </c>
      <c r="Z877" s="3" t="str">
        <f t="shared" si="960"/>
        <v>Nie</v>
      </c>
      <c r="AA877" s="3" t="str">
        <f t="shared" si="961"/>
        <v>ZoD</v>
      </c>
      <c r="AB877" s="4">
        <v>120</v>
      </c>
      <c r="AC877" s="4">
        <v>240</v>
      </c>
      <c r="AD877" s="3" t="s">
        <v>48</v>
      </c>
      <c r="AE877" s="6">
        <v>45539</v>
      </c>
      <c r="AF877" s="3" t="s">
        <v>59</v>
      </c>
      <c r="AG877" s="3" t="s">
        <v>49</v>
      </c>
      <c r="AH877" s="3">
        <f>YEAR(SrcDB[[#This Row],[Datum_zverejnenia]])</f>
        <v>2023</v>
      </c>
      <c r="AI877" s="3" cm="1">
        <f t="array" ref="AI877">COUNT(_xlfn.UNIQUE(_xlfn._xlws.FILTER(SrcDB[ID],SrcDB[Objednavatel_ICO]=$H877)))</f>
        <v>1</v>
      </c>
      <c r="AJ877" s="3" cm="1">
        <f t="array" ref="AJ877">COUNT(_xlfn.UNIQUE(_xlfn._xlws.FILTER(SrcDB[ID],SrcDB[Dodavatel_ICO]=$K877)))</f>
        <v>34</v>
      </c>
      <c r="AK877" s="3">
        <f t="shared" si="930"/>
        <v>0</v>
      </c>
      <c r="AL877" s="3">
        <f t="shared" si="931"/>
        <v>0</v>
      </c>
      <c r="AM877" s="17" t="str">
        <f>IF(SrcDB[[#This Row],[Pocet zmluv objednavatela]]&gt;3,SrcDB[[#This Row],[Objednavatel]],"Ostatné")</f>
        <v>Ostatné</v>
      </c>
      <c r="AN877" s="17" t="str">
        <f>IF(SrcDB[[#This Row],[Pocet zmluv dodavatela]]&gt;3,SrcDB[[#This Row],[Dodavatel]],"Ostatné")</f>
        <v>Asseco Central Europe, a.s.</v>
      </c>
    </row>
    <row r="878" spans="1:40" x14ac:dyDescent="0.3">
      <c r="A878" s="2" t="s">
        <v>1090</v>
      </c>
      <c r="B878" s="2">
        <v>7510873</v>
      </c>
      <c r="C878" s="3" t="str">
        <f t="shared" si="924"/>
        <v>Áno</v>
      </c>
      <c r="D878" s="3" t="str">
        <f t="shared" si="925"/>
        <v>Nie</v>
      </c>
      <c r="E878" s="3" t="s">
        <v>49</v>
      </c>
      <c r="F878" s="3" t="s">
        <v>48</v>
      </c>
      <c r="G878" s="2" t="str">
        <f t="shared" si="926"/>
        <v>Stredné zmluvy</v>
      </c>
      <c r="H878" s="5" t="s">
        <v>1091</v>
      </c>
      <c r="I878" s="2" t="s">
        <v>1092</v>
      </c>
      <c r="J878" s="2" t="s">
        <v>1093</v>
      </c>
      <c r="K878" s="5">
        <v>35760419</v>
      </c>
      <c r="L878" s="2" t="s">
        <v>85</v>
      </c>
      <c r="M878" s="2" t="s">
        <v>961</v>
      </c>
      <c r="N878" s="6">
        <v>44971.582754629628</v>
      </c>
      <c r="O878" s="4">
        <v>1637880</v>
      </c>
      <c r="P878" s="2">
        <v>119006</v>
      </c>
      <c r="Q878" s="2" t="s">
        <v>1094</v>
      </c>
      <c r="R878" s="2" t="s">
        <v>1095</v>
      </c>
      <c r="S878" s="2" t="s">
        <v>77</v>
      </c>
      <c r="T878" s="2" t="s">
        <v>1097</v>
      </c>
      <c r="W878" s="4">
        <v>590</v>
      </c>
      <c r="X878" s="4">
        <v>708</v>
      </c>
      <c r="Y878" s="4">
        <f t="shared" ref="Y878" si="975">INDEX(InternalRates,MATCH($S878,InternalRates01,FALSE),2)</f>
        <v>278.98333333333335</v>
      </c>
      <c r="Z878" s="3" t="str">
        <f t="shared" si="960"/>
        <v>Nie</v>
      </c>
      <c r="AA878" s="3" t="str">
        <f t="shared" si="961"/>
        <v>ZoD</v>
      </c>
      <c r="AB878" s="4">
        <v>90</v>
      </c>
      <c r="AC878" s="4">
        <v>180</v>
      </c>
      <c r="AD878" s="3" t="s">
        <v>48</v>
      </c>
      <c r="AE878" s="6">
        <v>45539</v>
      </c>
      <c r="AF878" s="3" t="s">
        <v>59</v>
      </c>
      <c r="AG878" s="3" t="s">
        <v>49</v>
      </c>
      <c r="AH878" s="3">
        <f>YEAR(SrcDB[[#This Row],[Datum_zverejnenia]])</f>
        <v>2023</v>
      </c>
      <c r="AI878" s="3" cm="1">
        <f t="array" ref="AI878">COUNT(_xlfn.UNIQUE(_xlfn._xlws.FILTER(SrcDB[ID],SrcDB[Objednavatel_ICO]=$H878)))</f>
        <v>1</v>
      </c>
      <c r="AJ878" s="3" cm="1">
        <f t="array" ref="AJ878">COUNT(_xlfn.UNIQUE(_xlfn._xlws.FILTER(SrcDB[ID],SrcDB[Dodavatel_ICO]=$K878)))</f>
        <v>34</v>
      </c>
      <c r="AK878" s="3">
        <f t="shared" si="930"/>
        <v>0</v>
      </c>
      <c r="AL878" s="3">
        <f t="shared" si="931"/>
        <v>0</v>
      </c>
      <c r="AM878" s="17" t="str">
        <f>IF(SrcDB[[#This Row],[Pocet zmluv objednavatela]]&gt;3,SrcDB[[#This Row],[Objednavatel]],"Ostatné")</f>
        <v>Ostatné</v>
      </c>
      <c r="AN878" s="17" t="str">
        <f>IF(SrcDB[[#This Row],[Pocet zmluv dodavatela]]&gt;3,SrcDB[[#This Row],[Dodavatel]],"Ostatné")</f>
        <v>Asseco Central Europe, a.s.</v>
      </c>
    </row>
    <row r="879" spans="1:40" x14ac:dyDescent="0.3">
      <c r="A879" s="2" t="s">
        <v>1090</v>
      </c>
      <c r="B879" s="2">
        <v>7510873</v>
      </c>
      <c r="C879" s="3" t="str">
        <f t="shared" si="924"/>
        <v>Áno</v>
      </c>
      <c r="D879" s="3" t="str">
        <f t="shared" si="925"/>
        <v>Nie</v>
      </c>
      <c r="E879" s="3" t="s">
        <v>49</v>
      </c>
      <c r="F879" s="3" t="s">
        <v>48</v>
      </c>
      <c r="G879" s="2" t="str">
        <f t="shared" si="926"/>
        <v>Stredné zmluvy</v>
      </c>
      <c r="H879" s="5" t="s">
        <v>1091</v>
      </c>
      <c r="I879" s="2" t="s">
        <v>1092</v>
      </c>
      <c r="J879" s="2" t="s">
        <v>1093</v>
      </c>
      <c r="K879" s="5">
        <v>35760419</v>
      </c>
      <c r="L879" s="2" t="s">
        <v>85</v>
      </c>
      <c r="M879" s="2" t="s">
        <v>961</v>
      </c>
      <c r="N879" s="6">
        <v>44971.582754629628</v>
      </c>
      <c r="O879" s="4">
        <v>1637880</v>
      </c>
      <c r="P879" s="2">
        <v>119006</v>
      </c>
      <c r="Q879" s="2" t="s">
        <v>1094</v>
      </c>
      <c r="R879" s="2" t="s">
        <v>1095</v>
      </c>
      <c r="S879" s="2" t="s">
        <v>56</v>
      </c>
      <c r="T879" s="2" t="s">
        <v>198</v>
      </c>
      <c r="U879" s="2" t="s">
        <v>95</v>
      </c>
      <c r="W879" s="4">
        <v>890</v>
      </c>
      <c r="X879" s="4">
        <v>1068</v>
      </c>
      <c r="Y879" s="4">
        <f t="shared" ref="Y879" si="976">INDEX(InternalRates,MATCH($S879,InternalRates01,FALSE),2)</f>
        <v>278.98333333333335</v>
      </c>
      <c r="Z879" s="3" t="str">
        <f t="shared" si="960"/>
        <v>Nie</v>
      </c>
      <c r="AA879" s="3" t="str">
        <f t="shared" si="961"/>
        <v>ZoD</v>
      </c>
      <c r="AB879" s="4">
        <v>60</v>
      </c>
      <c r="AC879" s="4">
        <v>120</v>
      </c>
      <c r="AD879" s="3" t="s">
        <v>48</v>
      </c>
      <c r="AE879" s="6">
        <v>45539</v>
      </c>
      <c r="AF879" s="3" t="s">
        <v>59</v>
      </c>
      <c r="AG879" s="3" t="s">
        <v>49</v>
      </c>
      <c r="AH879" s="3">
        <f>YEAR(SrcDB[[#This Row],[Datum_zverejnenia]])</f>
        <v>2023</v>
      </c>
      <c r="AI879" s="3" cm="1">
        <f t="array" ref="AI879">COUNT(_xlfn.UNIQUE(_xlfn._xlws.FILTER(SrcDB[ID],SrcDB[Objednavatel_ICO]=$H879)))</f>
        <v>1</v>
      </c>
      <c r="AJ879" s="3" cm="1">
        <f t="array" ref="AJ879">COUNT(_xlfn.UNIQUE(_xlfn._xlws.FILTER(SrcDB[ID],SrcDB[Dodavatel_ICO]=$K879)))</f>
        <v>34</v>
      </c>
      <c r="AK879" s="3">
        <f t="shared" si="930"/>
        <v>0</v>
      </c>
      <c r="AL879" s="3">
        <f t="shared" si="931"/>
        <v>0</v>
      </c>
      <c r="AM879" s="17" t="str">
        <f>IF(SrcDB[[#This Row],[Pocet zmluv objednavatela]]&gt;3,SrcDB[[#This Row],[Objednavatel]],"Ostatné")</f>
        <v>Ostatné</v>
      </c>
      <c r="AN879" s="17" t="str">
        <f>IF(SrcDB[[#This Row],[Pocet zmluv dodavatela]]&gt;3,SrcDB[[#This Row],[Dodavatel]],"Ostatné")</f>
        <v>Asseco Central Europe, a.s.</v>
      </c>
    </row>
    <row r="880" spans="1:40" x14ac:dyDescent="0.3">
      <c r="A880" s="2" t="s">
        <v>1090</v>
      </c>
      <c r="B880" s="2">
        <v>7510873</v>
      </c>
      <c r="C880" s="3" t="str">
        <f t="shared" si="924"/>
        <v>Áno</v>
      </c>
      <c r="D880" s="3" t="str">
        <f t="shared" si="925"/>
        <v>Nie</v>
      </c>
      <c r="E880" s="3" t="s">
        <v>49</v>
      </c>
      <c r="F880" s="3" t="s">
        <v>48</v>
      </c>
      <c r="G880" s="2" t="str">
        <f t="shared" si="926"/>
        <v>Stredné zmluvy</v>
      </c>
      <c r="H880" s="5" t="s">
        <v>1091</v>
      </c>
      <c r="I880" s="2" t="s">
        <v>1092</v>
      </c>
      <c r="J880" s="2" t="s">
        <v>1093</v>
      </c>
      <c r="K880" s="5">
        <v>35760419</v>
      </c>
      <c r="L880" s="2" t="s">
        <v>85</v>
      </c>
      <c r="M880" s="2" t="s">
        <v>961</v>
      </c>
      <c r="N880" s="6">
        <v>44971.582754629628</v>
      </c>
      <c r="O880" s="4">
        <v>1637880</v>
      </c>
      <c r="P880" s="2">
        <v>119006</v>
      </c>
      <c r="Q880" s="2" t="s">
        <v>1094</v>
      </c>
      <c r="R880" s="2" t="s">
        <v>1095</v>
      </c>
      <c r="S880" s="2" t="s">
        <v>102</v>
      </c>
      <c r="T880" s="2" t="s">
        <v>111</v>
      </c>
      <c r="W880" s="4">
        <v>590</v>
      </c>
      <c r="X880" s="4">
        <v>708</v>
      </c>
      <c r="Y880" s="4">
        <f t="shared" ref="Y880" si="977">INDEX(InternalRates,MATCH($S880,InternalRates01,FALSE),2)</f>
        <v>278.98333333333335</v>
      </c>
      <c r="Z880" s="3" t="str">
        <f t="shared" si="960"/>
        <v>Nie</v>
      </c>
      <c r="AA880" s="3" t="str">
        <f t="shared" si="961"/>
        <v>ZoD</v>
      </c>
      <c r="AB880" s="4">
        <v>60</v>
      </c>
      <c r="AC880" s="4">
        <v>120</v>
      </c>
      <c r="AD880" s="3" t="s">
        <v>48</v>
      </c>
      <c r="AE880" s="6">
        <v>45539</v>
      </c>
      <c r="AF880" s="3" t="s">
        <v>59</v>
      </c>
      <c r="AG880" s="3" t="s">
        <v>49</v>
      </c>
      <c r="AH880" s="3">
        <f>YEAR(SrcDB[[#This Row],[Datum_zverejnenia]])</f>
        <v>2023</v>
      </c>
      <c r="AI880" s="3" cm="1">
        <f t="array" ref="AI880">COUNT(_xlfn.UNIQUE(_xlfn._xlws.FILTER(SrcDB[ID],SrcDB[Objednavatel_ICO]=$H880)))</f>
        <v>1</v>
      </c>
      <c r="AJ880" s="3" cm="1">
        <f t="array" ref="AJ880">COUNT(_xlfn.UNIQUE(_xlfn._xlws.FILTER(SrcDB[ID],SrcDB[Dodavatel_ICO]=$K880)))</f>
        <v>34</v>
      </c>
      <c r="AK880" s="3">
        <f t="shared" si="930"/>
        <v>0</v>
      </c>
      <c r="AL880" s="3">
        <f t="shared" si="931"/>
        <v>0</v>
      </c>
      <c r="AM880" s="17" t="str">
        <f>IF(SrcDB[[#This Row],[Pocet zmluv objednavatela]]&gt;3,SrcDB[[#This Row],[Objednavatel]],"Ostatné")</f>
        <v>Ostatné</v>
      </c>
      <c r="AN880" s="17" t="str">
        <f>IF(SrcDB[[#This Row],[Pocet zmluv dodavatela]]&gt;3,SrcDB[[#This Row],[Dodavatel]],"Ostatné")</f>
        <v>Asseco Central Europe, a.s.</v>
      </c>
    </row>
    <row r="881" spans="1:40" x14ac:dyDescent="0.3">
      <c r="A881" s="2" t="s">
        <v>1090</v>
      </c>
      <c r="B881" s="2">
        <v>7510873</v>
      </c>
      <c r="C881" s="3" t="str">
        <f t="shared" si="924"/>
        <v>Áno</v>
      </c>
      <c r="D881" s="3" t="str">
        <f t="shared" si="925"/>
        <v>Nie</v>
      </c>
      <c r="E881" s="3" t="s">
        <v>49</v>
      </c>
      <c r="F881" s="3" t="s">
        <v>48</v>
      </c>
      <c r="G881" s="2" t="str">
        <f t="shared" si="926"/>
        <v>Stredné zmluvy</v>
      </c>
      <c r="H881" s="5" t="s">
        <v>1091</v>
      </c>
      <c r="I881" s="2" t="s">
        <v>1092</v>
      </c>
      <c r="J881" s="2" t="s">
        <v>1093</v>
      </c>
      <c r="K881" s="5">
        <v>35760419</v>
      </c>
      <c r="L881" s="2" t="s">
        <v>85</v>
      </c>
      <c r="M881" s="2" t="s">
        <v>961</v>
      </c>
      <c r="N881" s="6">
        <v>44971.582754629628</v>
      </c>
      <c r="O881" s="4">
        <v>1637880</v>
      </c>
      <c r="P881" s="2">
        <v>119006</v>
      </c>
      <c r="Q881" s="2" t="s">
        <v>1094</v>
      </c>
      <c r="R881" s="2" t="s">
        <v>1095</v>
      </c>
      <c r="S881" s="2" t="s">
        <v>102</v>
      </c>
      <c r="T881" s="2" t="s">
        <v>114</v>
      </c>
      <c r="W881" s="4">
        <v>400</v>
      </c>
      <c r="X881" s="4">
        <v>480</v>
      </c>
      <c r="Y881" s="4">
        <f t="shared" ref="Y881" si="978">INDEX(InternalRates,MATCH($S881,InternalRates01,FALSE),2)</f>
        <v>278.98333333333335</v>
      </c>
      <c r="Z881" s="3" t="str">
        <f t="shared" si="960"/>
        <v>Nie</v>
      </c>
      <c r="AA881" s="3" t="str">
        <f t="shared" si="961"/>
        <v>ZoD</v>
      </c>
      <c r="AB881" s="4">
        <v>50</v>
      </c>
      <c r="AC881" s="4">
        <v>100</v>
      </c>
      <c r="AD881" s="3" t="s">
        <v>48</v>
      </c>
      <c r="AE881" s="6">
        <v>45539</v>
      </c>
      <c r="AF881" s="3" t="s">
        <v>59</v>
      </c>
      <c r="AG881" s="3" t="s">
        <v>49</v>
      </c>
      <c r="AH881" s="3">
        <f>YEAR(SrcDB[[#This Row],[Datum_zverejnenia]])</f>
        <v>2023</v>
      </c>
      <c r="AI881" s="3" cm="1">
        <f t="array" ref="AI881">COUNT(_xlfn.UNIQUE(_xlfn._xlws.FILTER(SrcDB[ID],SrcDB[Objednavatel_ICO]=$H881)))</f>
        <v>1</v>
      </c>
      <c r="AJ881" s="3" cm="1">
        <f t="array" ref="AJ881">COUNT(_xlfn.UNIQUE(_xlfn._xlws.FILTER(SrcDB[ID],SrcDB[Dodavatel_ICO]=$K881)))</f>
        <v>34</v>
      </c>
      <c r="AK881" s="3">
        <f t="shared" si="930"/>
        <v>0</v>
      </c>
      <c r="AL881" s="3">
        <f t="shared" si="931"/>
        <v>0</v>
      </c>
      <c r="AM881" s="17" t="str">
        <f>IF(SrcDB[[#This Row],[Pocet zmluv objednavatela]]&gt;3,SrcDB[[#This Row],[Objednavatel]],"Ostatné")</f>
        <v>Ostatné</v>
      </c>
      <c r="AN881" s="17" t="str">
        <f>IF(SrcDB[[#This Row],[Pocet zmluv dodavatela]]&gt;3,SrcDB[[#This Row],[Dodavatel]],"Ostatné")</f>
        <v>Asseco Central Europe, a.s.</v>
      </c>
    </row>
    <row r="882" spans="1:40" x14ac:dyDescent="0.3">
      <c r="A882" s="2" t="s">
        <v>1090</v>
      </c>
      <c r="B882" s="2">
        <v>7510873</v>
      </c>
      <c r="C882" s="3" t="str">
        <f t="shared" si="924"/>
        <v>Áno</v>
      </c>
      <c r="D882" s="3" t="str">
        <f t="shared" si="925"/>
        <v>Nie</v>
      </c>
      <c r="E882" s="3" t="s">
        <v>49</v>
      </c>
      <c r="F882" s="3" t="s">
        <v>48</v>
      </c>
      <c r="G882" s="2" t="str">
        <f t="shared" si="926"/>
        <v>Stredné zmluvy</v>
      </c>
      <c r="H882" s="5" t="s">
        <v>1091</v>
      </c>
      <c r="I882" s="2" t="s">
        <v>1092</v>
      </c>
      <c r="J882" s="2" t="s">
        <v>1093</v>
      </c>
      <c r="K882" s="5">
        <v>35760419</v>
      </c>
      <c r="L882" s="2" t="s">
        <v>85</v>
      </c>
      <c r="M882" s="2" t="s">
        <v>961</v>
      </c>
      <c r="N882" s="6">
        <v>44971.582754629628</v>
      </c>
      <c r="O882" s="4">
        <v>1637880</v>
      </c>
      <c r="P882" s="2">
        <v>119006</v>
      </c>
      <c r="Q882" s="2" t="s">
        <v>1094</v>
      </c>
      <c r="R882" s="2" t="s">
        <v>1095</v>
      </c>
      <c r="S882" s="2" t="s">
        <v>98</v>
      </c>
      <c r="T882" s="2" t="s">
        <v>287</v>
      </c>
      <c r="W882" s="4">
        <v>400</v>
      </c>
      <c r="X882" s="4">
        <v>480</v>
      </c>
      <c r="Y882" s="4">
        <f t="shared" ref="Y882" si="979">INDEX(InternalRates,MATCH($S882,InternalRates01,FALSE),2)</f>
        <v>278.98333333333335</v>
      </c>
      <c r="Z882" s="3" t="str">
        <f t="shared" si="960"/>
        <v>Nie</v>
      </c>
      <c r="AA882" s="3" t="str">
        <f t="shared" si="961"/>
        <v>ZoD</v>
      </c>
      <c r="AB882" s="4">
        <v>20</v>
      </c>
      <c r="AC882" s="4">
        <v>40</v>
      </c>
      <c r="AD882" s="3" t="s">
        <v>48</v>
      </c>
      <c r="AE882" s="6">
        <v>45539</v>
      </c>
      <c r="AF882" s="3" t="s">
        <v>59</v>
      </c>
      <c r="AG882" s="3" t="s">
        <v>49</v>
      </c>
      <c r="AH882" s="3">
        <f>YEAR(SrcDB[[#This Row],[Datum_zverejnenia]])</f>
        <v>2023</v>
      </c>
      <c r="AI882" s="3" cm="1">
        <f t="array" ref="AI882">COUNT(_xlfn.UNIQUE(_xlfn._xlws.FILTER(SrcDB[ID],SrcDB[Objednavatel_ICO]=$H882)))</f>
        <v>1</v>
      </c>
      <c r="AJ882" s="3" cm="1">
        <f t="array" ref="AJ882">COUNT(_xlfn.UNIQUE(_xlfn._xlws.FILTER(SrcDB[ID],SrcDB[Dodavatel_ICO]=$K882)))</f>
        <v>34</v>
      </c>
      <c r="AK882" s="3">
        <f t="shared" si="930"/>
        <v>0</v>
      </c>
      <c r="AL882" s="3">
        <f t="shared" si="931"/>
        <v>0</v>
      </c>
      <c r="AM882" s="17" t="str">
        <f>IF(SrcDB[[#This Row],[Pocet zmluv objednavatela]]&gt;3,SrcDB[[#This Row],[Objednavatel]],"Ostatné")</f>
        <v>Ostatné</v>
      </c>
      <c r="AN882" s="17" t="str">
        <f>IF(SrcDB[[#This Row],[Pocet zmluv dodavatela]]&gt;3,SrcDB[[#This Row],[Dodavatel]],"Ostatné")</f>
        <v>Asseco Central Europe, a.s.</v>
      </c>
    </row>
    <row r="883" spans="1:40" x14ac:dyDescent="0.3">
      <c r="A883" s="2" t="s">
        <v>1090</v>
      </c>
      <c r="B883" s="2">
        <v>7510873</v>
      </c>
      <c r="C883" s="3" t="str">
        <f t="shared" si="924"/>
        <v>Áno</v>
      </c>
      <c r="D883" s="3" t="str">
        <f t="shared" si="925"/>
        <v>Nie</v>
      </c>
      <c r="E883" s="3" t="s">
        <v>49</v>
      </c>
      <c r="F883" s="3" t="s">
        <v>48</v>
      </c>
      <c r="G883" s="2" t="str">
        <f t="shared" si="926"/>
        <v>Stredné zmluvy</v>
      </c>
      <c r="H883" s="5" t="s">
        <v>1091</v>
      </c>
      <c r="I883" s="2" t="s">
        <v>1092</v>
      </c>
      <c r="J883" s="2" t="s">
        <v>1093</v>
      </c>
      <c r="K883" s="5">
        <v>35760419</v>
      </c>
      <c r="L883" s="2" t="s">
        <v>85</v>
      </c>
      <c r="M883" s="2" t="s">
        <v>961</v>
      </c>
      <c r="N883" s="6">
        <v>44971.582754629628</v>
      </c>
      <c r="O883" s="4">
        <v>1637880</v>
      </c>
      <c r="P883" s="2">
        <v>119006</v>
      </c>
      <c r="Q883" s="2" t="s">
        <v>1094</v>
      </c>
      <c r="R883" s="2" t="s">
        <v>1095</v>
      </c>
      <c r="S883" s="2" t="s">
        <v>183</v>
      </c>
      <c r="T883" s="2" t="s">
        <v>183</v>
      </c>
      <c r="W883" s="4">
        <v>560</v>
      </c>
      <c r="X883" s="4">
        <v>672</v>
      </c>
      <c r="Y883" s="4">
        <f t="shared" ref="Y883" si="980">INDEX(InternalRates,MATCH($S883,InternalRates01,FALSE),2)</f>
        <v>278.98333333333335</v>
      </c>
      <c r="Z883" s="3" t="str">
        <f t="shared" si="960"/>
        <v>Nie</v>
      </c>
      <c r="AA883" s="3" t="str">
        <f t="shared" si="961"/>
        <v>ZoD</v>
      </c>
      <c r="AB883" s="4">
        <v>100</v>
      </c>
      <c r="AC883" s="4">
        <v>200</v>
      </c>
      <c r="AD883" s="3" t="s">
        <v>48</v>
      </c>
      <c r="AE883" s="6">
        <v>45539</v>
      </c>
      <c r="AF883" s="3" t="s">
        <v>59</v>
      </c>
      <c r="AG883" s="3" t="s">
        <v>49</v>
      </c>
      <c r="AH883" s="3">
        <f>YEAR(SrcDB[[#This Row],[Datum_zverejnenia]])</f>
        <v>2023</v>
      </c>
      <c r="AI883" s="3" cm="1">
        <f t="array" ref="AI883">COUNT(_xlfn.UNIQUE(_xlfn._xlws.FILTER(SrcDB[ID],SrcDB[Objednavatel_ICO]=$H883)))</f>
        <v>1</v>
      </c>
      <c r="AJ883" s="3" cm="1">
        <f t="array" ref="AJ883">COUNT(_xlfn.UNIQUE(_xlfn._xlws.FILTER(SrcDB[ID],SrcDB[Dodavatel_ICO]=$K883)))</f>
        <v>34</v>
      </c>
      <c r="AK883" s="3">
        <f t="shared" si="930"/>
        <v>0</v>
      </c>
      <c r="AL883" s="3">
        <f t="shared" si="931"/>
        <v>0</v>
      </c>
      <c r="AM883" s="17" t="str">
        <f>IF(SrcDB[[#This Row],[Pocet zmluv objednavatela]]&gt;3,SrcDB[[#This Row],[Objednavatel]],"Ostatné")</f>
        <v>Ostatné</v>
      </c>
      <c r="AN883" s="17" t="str">
        <f>IF(SrcDB[[#This Row],[Pocet zmluv dodavatela]]&gt;3,SrcDB[[#This Row],[Dodavatel]],"Ostatné")</f>
        <v>Asseco Central Europe, a.s.</v>
      </c>
    </row>
    <row r="884" spans="1:40" x14ac:dyDescent="0.3">
      <c r="A884" s="2" t="s">
        <v>1090</v>
      </c>
      <c r="B884" s="2">
        <v>7510873</v>
      </c>
      <c r="C884" s="3" t="str">
        <f t="shared" si="924"/>
        <v>Áno</v>
      </c>
      <c r="D884" s="3" t="str">
        <f t="shared" si="925"/>
        <v>Nie</v>
      </c>
      <c r="E884" s="3" t="s">
        <v>49</v>
      </c>
      <c r="F884" s="3" t="s">
        <v>48</v>
      </c>
      <c r="G884" s="2" t="str">
        <f t="shared" si="926"/>
        <v>Stredné zmluvy</v>
      </c>
      <c r="H884" s="5" t="s">
        <v>1091</v>
      </c>
      <c r="I884" s="2" t="s">
        <v>1092</v>
      </c>
      <c r="J884" s="2" t="s">
        <v>1093</v>
      </c>
      <c r="K884" s="5">
        <v>35760419</v>
      </c>
      <c r="L884" s="2" t="s">
        <v>85</v>
      </c>
      <c r="M884" s="2" t="s">
        <v>961</v>
      </c>
      <c r="N884" s="6">
        <v>44971.582754629628</v>
      </c>
      <c r="O884" s="4">
        <v>1637880</v>
      </c>
      <c r="P884" s="2">
        <v>119006</v>
      </c>
      <c r="Q884" s="2" t="s">
        <v>1094</v>
      </c>
      <c r="R884" s="2" t="s">
        <v>1095</v>
      </c>
      <c r="S884" s="2" t="s">
        <v>69</v>
      </c>
      <c r="T884" s="2" t="s">
        <v>70</v>
      </c>
      <c r="W884" s="4">
        <v>690</v>
      </c>
      <c r="X884" s="4">
        <v>828</v>
      </c>
      <c r="Y884" s="4">
        <f t="shared" ref="Y884" si="981">INDEX(InternalRates,MATCH($S884,InternalRates01,FALSE),2)</f>
        <v>278.98333333333335</v>
      </c>
      <c r="Z884" s="3" t="str">
        <f t="shared" si="960"/>
        <v>Nie</v>
      </c>
      <c r="AA884" s="3" t="str">
        <f t="shared" si="961"/>
        <v>ZoD</v>
      </c>
      <c r="AB884" s="4">
        <v>35</v>
      </c>
      <c r="AC884" s="4">
        <v>70</v>
      </c>
      <c r="AD884" s="3" t="s">
        <v>48</v>
      </c>
      <c r="AE884" s="6">
        <v>45539</v>
      </c>
      <c r="AF884" s="3" t="s">
        <v>59</v>
      </c>
      <c r="AG884" s="3" t="s">
        <v>49</v>
      </c>
      <c r="AH884" s="3">
        <f>YEAR(SrcDB[[#This Row],[Datum_zverejnenia]])</f>
        <v>2023</v>
      </c>
      <c r="AI884" s="3" cm="1">
        <f t="array" ref="AI884">COUNT(_xlfn.UNIQUE(_xlfn._xlws.FILTER(SrcDB[ID],SrcDB[Objednavatel_ICO]=$H884)))</f>
        <v>1</v>
      </c>
      <c r="AJ884" s="3" cm="1">
        <f t="array" ref="AJ884">COUNT(_xlfn.UNIQUE(_xlfn._xlws.FILTER(SrcDB[ID],SrcDB[Dodavatel_ICO]=$K884)))</f>
        <v>34</v>
      </c>
      <c r="AK884" s="3">
        <f t="shared" si="930"/>
        <v>0</v>
      </c>
      <c r="AL884" s="3">
        <f t="shared" si="931"/>
        <v>0</v>
      </c>
      <c r="AM884" s="17" t="str">
        <f>IF(SrcDB[[#This Row],[Pocet zmluv objednavatela]]&gt;3,SrcDB[[#This Row],[Objednavatel]],"Ostatné")</f>
        <v>Ostatné</v>
      </c>
      <c r="AN884" s="17" t="str">
        <f>IF(SrcDB[[#This Row],[Pocet zmluv dodavatela]]&gt;3,SrcDB[[#This Row],[Dodavatel]],"Ostatné")</f>
        <v>Asseco Central Europe, a.s.</v>
      </c>
    </row>
    <row r="885" spans="1:40" x14ac:dyDescent="0.3">
      <c r="A885" s="2" t="s">
        <v>1098</v>
      </c>
      <c r="B885" s="2">
        <v>7554741</v>
      </c>
      <c r="C885" s="3" t="str">
        <f t="shared" si="924"/>
        <v>Nie</v>
      </c>
      <c r="D885" s="3" t="str">
        <f t="shared" si="925"/>
        <v>Áno</v>
      </c>
      <c r="E885" s="3" t="s">
        <v>48</v>
      </c>
      <c r="F885" s="3" t="s">
        <v>49</v>
      </c>
      <c r="G885" s="2" t="str">
        <f t="shared" si="926"/>
        <v>Malé zmluvy</v>
      </c>
      <c r="H885" s="5">
        <v>36631124</v>
      </c>
      <c r="I885" s="2" t="s">
        <v>104</v>
      </c>
      <c r="J885" s="2" t="s">
        <v>105</v>
      </c>
      <c r="K885" s="5">
        <v>35795808</v>
      </c>
      <c r="L885" s="2" t="s">
        <v>1099</v>
      </c>
      <c r="M885" s="2" t="s">
        <v>1100</v>
      </c>
      <c r="N885" s="6">
        <v>44984.541898148149</v>
      </c>
      <c r="O885" s="4">
        <v>320000</v>
      </c>
      <c r="P885" s="2">
        <v>114573</v>
      </c>
      <c r="Q885" s="2" t="s">
        <v>1101</v>
      </c>
      <c r="R885" s="2" t="s">
        <v>1102</v>
      </c>
      <c r="S885" s="2" t="s">
        <v>123</v>
      </c>
      <c r="T885" s="2" t="s">
        <v>583</v>
      </c>
      <c r="V885" s="2" t="s">
        <v>583</v>
      </c>
      <c r="W885" s="4">
        <v>384</v>
      </c>
      <c r="X885" s="4">
        <v>460.79999999999995</v>
      </c>
      <c r="Y885" s="4">
        <f t="shared" ref="Y885" si="982">INDEX(InternalRates,MATCH($S885,InternalRates01,FALSE),2)</f>
        <v>231.85833333333335</v>
      </c>
      <c r="Z885" s="3" t="str">
        <f t="shared" si="960"/>
        <v>Nie</v>
      </c>
      <c r="AA885" s="3" t="str">
        <f t="shared" si="961"/>
        <v>SLA</v>
      </c>
      <c r="AD885" s="3" t="s">
        <v>48</v>
      </c>
      <c r="AE885" s="6">
        <v>45539</v>
      </c>
      <c r="AF885" s="3" t="s">
        <v>59</v>
      </c>
      <c r="AG885" s="3" t="s">
        <v>60</v>
      </c>
      <c r="AH885" s="3">
        <f>YEAR(SrcDB[[#This Row],[Datum_zverejnenia]])</f>
        <v>2023</v>
      </c>
      <c r="AI885" s="3" cm="1">
        <f t="array" ref="AI885">COUNT(_xlfn.UNIQUE(_xlfn._xlws.FILTER(SrcDB[ID],SrcDB[Objednavatel_ICO]=$H885)))</f>
        <v>17</v>
      </c>
      <c r="AJ885" s="3" cm="1">
        <f t="array" ref="AJ885">COUNT(_xlfn.UNIQUE(_xlfn._xlws.FILTER(SrcDB[ID],SrcDB[Dodavatel_ICO]=$K885)))</f>
        <v>1</v>
      </c>
      <c r="AK885" s="3">
        <f t="shared" si="930"/>
        <v>1</v>
      </c>
      <c r="AL885" s="3">
        <f t="shared" si="931"/>
        <v>1</v>
      </c>
      <c r="AM885" s="17" t="str">
        <f>IF(SrcDB[[#This Row],[Pocet zmluv objednavatela]]&gt;3,SrcDB[[#This Row],[Objednavatel]],"Ostatné")</f>
        <v>Slovenská pošta, a. s.</v>
      </c>
      <c r="AN885" s="17" t="str">
        <f>IF(SrcDB[[#This Row],[Pocet zmluv dodavatela]]&gt;3,SrcDB[[#This Row],[Dodavatel]],"Ostatné")</f>
        <v>Ostatné</v>
      </c>
    </row>
    <row r="886" spans="1:40" x14ac:dyDescent="0.3">
      <c r="A886" s="2" t="s">
        <v>1098</v>
      </c>
      <c r="B886" s="2">
        <v>7554741</v>
      </c>
      <c r="C886" s="3" t="str">
        <f t="shared" si="924"/>
        <v>Nie</v>
      </c>
      <c r="D886" s="3" t="str">
        <f t="shared" si="925"/>
        <v>Áno</v>
      </c>
      <c r="E886" s="3" t="s">
        <v>48</v>
      </c>
      <c r="F886" s="3" t="s">
        <v>49</v>
      </c>
      <c r="G886" s="2" t="str">
        <f t="shared" si="926"/>
        <v>Malé zmluvy</v>
      </c>
      <c r="H886" s="5">
        <v>36631124</v>
      </c>
      <c r="I886" s="2" t="s">
        <v>104</v>
      </c>
      <c r="J886" s="2" t="s">
        <v>105</v>
      </c>
      <c r="K886" s="5">
        <v>35795808</v>
      </c>
      <c r="L886" s="2" t="s">
        <v>1099</v>
      </c>
      <c r="M886" s="2" t="s">
        <v>1100</v>
      </c>
      <c r="N886" s="6">
        <v>44984.541898148149</v>
      </c>
      <c r="O886" s="4">
        <v>320000</v>
      </c>
      <c r="P886" s="2">
        <v>114573</v>
      </c>
      <c r="Q886" s="2" t="s">
        <v>1101</v>
      </c>
      <c r="R886" s="2" t="s">
        <v>1102</v>
      </c>
      <c r="S886" s="2" t="s">
        <v>123</v>
      </c>
      <c r="T886" s="2" t="s">
        <v>1103</v>
      </c>
      <c r="V886" s="2" t="s">
        <v>58</v>
      </c>
      <c r="W886" s="4">
        <v>384</v>
      </c>
      <c r="X886" s="4">
        <v>460.79999999999995</v>
      </c>
      <c r="Y886" s="4">
        <f t="shared" ref="Y886" si="983">INDEX(InternalRates,MATCH($S886,InternalRates01,FALSE),2)</f>
        <v>231.85833333333335</v>
      </c>
      <c r="Z886" s="3" t="str">
        <f t="shared" si="960"/>
        <v>Nie</v>
      </c>
      <c r="AA886" s="3" t="str">
        <f t="shared" si="961"/>
        <v>SLA</v>
      </c>
      <c r="AD886" s="3" t="s">
        <v>48</v>
      </c>
      <c r="AE886" s="6">
        <v>45539</v>
      </c>
      <c r="AF886" s="3" t="s">
        <v>59</v>
      </c>
      <c r="AG886" s="3" t="s">
        <v>60</v>
      </c>
      <c r="AH886" s="3">
        <f>YEAR(SrcDB[[#This Row],[Datum_zverejnenia]])</f>
        <v>2023</v>
      </c>
      <c r="AI886" s="3" cm="1">
        <f t="array" ref="AI886">COUNT(_xlfn.UNIQUE(_xlfn._xlws.FILTER(SrcDB[ID],SrcDB[Objednavatel_ICO]=$H886)))</f>
        <v>17</v>
      </c>
      <c r="AJ886" s="3" cm="1">
        <f t="array" ref="AJ886">COUNT(_xlfn.UNIQUE(_xlfn._xlws.FILTER(SrcDB[ID],SrcDB[Dodavatel_ICO]=$K886)))</f>
        <v>1</v>
      </c>
      <c r="AK886" s="3">
        <f t="shared" si="930"/>
        <v>0</v>
      </c>
      <c r="AL886" s="3">
        <f t="shared" si="931"/>
        <v>0</v>
      </c>
      <c r="AM886" s="17" t="str">
        <f>IF(SrcDB[[#This Row],[Pocet zmluv objednavatela]]&gt;3,SrcDB[[#This Row],[Objednavatel]],"Ostatné")</f>
        <v>Slovenská pošta, a. s.</v>
      </c>
      <c r="AN886" s="17" t="str">
        <f>IF(SrcDB[[#This Row],[Pocet zmluv dodavatela]]&gt;3,SrcDB[[#This Row],[Dodavatel]],"Ostatné")</f>
        <v>Ostatné</v>
      </c>
    </row>
    <row r="887" spans="1:40" x14ac:dyDescent="0.3">
      <c r="A887" s="2" t="s">
        <v>1098</v>
      </c>
      <c r="B887" s="2">
        <v>7554741</v>
      </c>
      <c r="C887" s="3" t="str">
        <f t="shared" si="924"/>
        <v>Nie</v>
      </c>
      <c r="D887" s="3" t="str">
        <f t="shared" si="925"/>
        <v>Áno</v>
      </c>
      <c r="E887" s="3" t="s">
        <v>48</v>
      </c>
      <c r="F887" s="3" t="s">
        <v>49</v>
      </c>
      <c r="G887" s="2" t="str">
        <f t="shared" si="926"/>
        <v>Malé zmluvy</v>
      </c>
      <c r="H887" s="5">
        <v>36631124</v>
      </c>
      <c r="I887" s="2" t="s">
        <v>104</v>
      </c>
      <c r="J887" s="2" t="s">
        <v>105</v>
      </c>
      <c r="K887" s="5">
        <v>35795808</v>
      </c>
      <c r="L887" s="2" t="s">
        <v>1099</v>
      </c>
      <c r="M887" s="2" t="s">
        <v>1100</v>
      </c>
      <c r="N887" s="6">
        <v>44984.541898148149</v>
      </c>
      <c r="O887" s="4">
        <v>320000</v>
      </c>
      <c r="P887" s="2">
        <v>114573</v>
      </c>
      <c r="Q887" s="2" t="s">
        <v>1101</v>
      </c>
      <c r="R887" s="2" t="s">
        <v>1102</v>
      </c>
      <c r="S887" s="2" t="s">
        <v>56</v>
      </c>
      <c r="T887" s="2" t="s">
        <v>286</v>
      </c>
      <c r="U887" s="2" t="s">
        <v>129</v>
      </c>
      <c r="W887" s="4">
        <v>440</v>
      </c>
      <c r="X887" s="4">
        <v>528</v>
      </c>
      <c r="Y887" s="4">
        <f t="shared" ref="Y887" si="984">INDEX(InternalRates,MATCH($S887,InternalRates01,FALSE),2)</f>
        <v>278.98333333333335</v>
      </c>
      <c r="Z887" s="3" t="str">
        <f t="shared" si="960"/>
        <v>Nie</v>
      </c>
      <c r="AA887" s="3" t="str">
        <f t="shared" si="961"/>
        <v>SLA</v>
      </c>
      <c r="AD887" s="3" t="s">
        <v>48</v>
      </c>
      <c r="AE887" s="6">
        <v>45539</v>
      </c>
      <c r="AF887" s="3" t="s">
        <v>59</v>
      </c>
      <c r="AG887" s="3" t="s">
        <v>60</v>
      </c>
      <c r="AH887" s="3">
        <f>YEAR(SrcDB[[#This Row],[Datum_zverejnenia]])</f>
        <v>2023</v>
      </c>
      <c r="AI887" s="3" cm="1">
        <f t="array" ref="AI887">COUNT(_xlfn.UNIQUE(_xlfn._xlws.FILTER(SrcDB[ID],SrcDB[Objednavatel_ICO]=$H887)))</f>
        <v>17</v>
      </c>
      <c r="AJ887" s="3" cm="1">
        <f t="array" ref="AJ887">COUNT(_xlfn.UNIQUE(_xlfn._xlws.FILTER(SrcDB[ID],SrcDB[Dodavatel_ICO]=$K887)))</f>
        <v>1</v>
      </c>
      <c r="AK887" s="3">
        <f t="shared" si="930"/>
        <v>0</v>
      </c>
      <c r="AL887" s="3">
        <f t="shared" si="931"/>
        <v>0</v>
      </c>
      <c r="AM887" s="17" t="str">
        <f>IF(SrcDB[[#This Row],[Pocet zmluv objednavatela]]&gt;3,SrcDB[[#This Row],[Objednavatel]],"Ostatné")</f>
        <v>Slovenská pošta, a. s.</v>
      </c>
      <c r="AN887" s="17" t="str">
        <f>IF(SrcDB[[#This Row],[Pocet zmluv dodavatela]]&gt;3,SrcDB[[#This Row],[Dodavatel]],"Ostatné")</f>
        <v>Ostatné</v>
      </c>
    </row>
    <row r="888" spans="1:40" x14ac:dyDescent="0.3">
      <c r="A888" s="2" t="s">
        <v>1098</v>
      </c>
      <c r="B888" s="2">
        <v>7554741</v>
      </c>
      <c r="C888" s="3" t="str">
        <f t="shared" si="924"/>
        <v>Nie</v>
      </c>
      <c r="D888" s="3" t="str">
        <f t="shared" si="925"/>
        <v>Áno</v>
      </c>
      <c r="E888" s="3" t="s">
        <v>48</v>
      </c>
      <c r="F888" s="3" t="s">
        <v>49</v>
      </c>
      <c r="G888" s="2" t="str">
        <f t="shared" si="926"/>
        <v>Malé zmluvy</v>
      </c>
      <c r="H888" s="5">
        <v>36631124</v>
      </c>
      <c r="I888" s="2" t="s">
        <v>104</v>
      </c>
      <c r="J888" s="2" t="s">
        <v>105</v>
      </c>
      <c r="K888" s="5">
        <v>35795808</v>
      </c>
      <c r="L888" s="2" t="s">
        <v>1099</v>
      </c>
      <c r="M888" s="2" t="s">
        <v>1100</v>
      </c>
      <c r="N888" s="6">
        <v>44984.541898148149</v>
      </c>
      <c r="O888" s="4">
        <v>320000</v>
      </c>
      <c r="P888" s="2">
        <v>114573</v>
      </c>
      <c r="Q888" s="2" t="s">
        <v>1101</v>
      </c>
      <c r="R888" s="2" t="s">
        <v>1102</v>
      </c>
      <c r="S888" s="2" t="s">
        <v>73</v>
      </c>
      <c r="T888" s="2" t="s">
        <v>469</v>
      </c>
      <c r="W888" s="4">
        <v>440</v>
      </c>
      <c r="X888" s="4">
        <v>528</v>
      </c>
      <c r="Y888" s="4">
        <f t="shared" ref="Y888" si="985">INDEX(InternalRates,MATCH($S888,InternalRates01,FALSE),2)</f>
        <v>278.98333333333335</v>
      </c>
      <c r="Z888" s="3" t="str">
        <f t="shared" si="960"/>
        <v>Nie</v>
      </c>
      <c r="AA888" s="3" t="str">
        <f t="shared" si="961"/>
        <v>SLA</v>
      </c>
      <c r="AD888" s="3" t="s">
        <v>48</v>
      </c>
      <c r="AE888" s="6">
        <v>45539</v>
      </c>
      <c r="AF888" s="3" t="s">
        <v>59</v>
      </c>
      <c r="AG888" s="3" t="s">
        <v>60</v>
      </c>
      <c r="AH888" s="3">
        <f>YEAR(SrcDB[[#This Row],[Datum_zverejnenia]])</f>
        <v>2023</v>
      </c>
      <c r="AI888" s="3" cm="1">
        <f t="array" ref="AI888">COUNT(_xlfn.UNIQUE(_xlfn._xlws.FILTER(SrcDB[ID],SrcDB[Objednavatel_ICO]=$H888)))</f>
        <v>17</v>
      </c>
      <c r="AJ888" s="3" cm="1">
        <f t="array" ref="AJ888">COUNT(_xlfn.UNIQUE(_xlfn._xlws.FILTER(SrcDB[ID],SrcDB[Dodavatel_ICO]=$K888)))</f>
        <v>1</v>
      </c>
      <c r="AK888" s="3">
        <f t="shared" si="930"/>
        <v>0</v>
      </c>
      <c r="AL888" s="3">
        <f t="shared" si="931"/>
        <v>0</v>
      </c>
      <c r="AM888" s="17" t="str">
        <f>IF(SrcDB[[#This Row],[Pocet zmluv objednavatela]]&gt;3,SrcDB[[#This Row],[Objednavatel]],"Ostatné")</f>
        <v>Slovenská pošta, a. s.</v>
      </c>
      <c r="AN888" s="17" t="str">
        <f>IF(SrcDB[[#This Row],[Pocet zmluv dodavatela]]&gt;3,SrcDB[[#This Row],[Dodavatel]],"Ostatné")</f>
        <v>Ostatné</v>
      </c>
    </row>
    <row r="889" spans="1:40" x14ac:dyDescent="0.3">
      <c r="A889" s="2" t="s">
        <v>1098</v>
      </c>
      <c r="B889" s="2">
        <v>7554741</v>
      </c>
      <c r="C889" s="3" t="str">
        <f t="shared" si="924"/>
        <v>Nie</v>
      </c>
      <c r="D889" s="3" t="str">
        <f t="shared" si="925"/>
        <v>Áno</v>
      </c>
      <c r="E889" s="3" t="s">
        <v>48</v>
      </c>
      <c r="F889" s="3" t="s">
        <v>49</v>
      </c>
      <c r="G889" s="2" t="str">
        <f t="shared" si="926"/>
        <v>Malé zmluvy</v>
      </c>
      <c r="H889" s="5">
        <v>36631124</v>
      </c>
      <c r="I889" s="2" t="s">
        <v>104</v>
      </c>
      <c r="J889" s="2" t="s">
        <v>105</v>
      </c>
      <c r="K889" s="5">
        <v>35795808</v>
      </c>
      <c r="L889" s="2" t="s">
        <v>1099</v>
      </c>
      <c r="M889" s="2" t="s">
        <v>1100</v>
      </c>
      <c r="N889" s="6">
        <v>44984.541898148149</v>
      </c>
      <c r="O889" s="4">
        <v>320000</v>
      </c>
      <c r="P889" s="2">
        <v>114573</v>
      </c>
      <c r="Q889" s="2" t="s">
        <v>1101</v>
      </c>
      <c r="R889" s="2" t="s">
        <v>1102</v>
      </c>
      <c r="S889" s="2" t="s">
        <v>98</v>
      </c>
      <c r="T889" s="2" t="s">
        <v>130</v>
      </c>
      <c r="W889" s="4">
        <v>440</v>
      </c>
      <c r="X889" s="4">
        <v>528</v>
      </c>
      <c r="Y889" s="4">
        <f t="shared" ref="Y889" si="986">INDEX(InternalRates,MATCH($S889,InternalRates01,FALSE),2)</f>
        <v>278.98333333333335</v>
      </c>
      <c r="Z889" s="3" t="str">
        <f t="shared" si="960"/>
        <v>Nie</v>
      </c>
      <c r="AA889" s="3" t="str">
        <f t="shared" si="961"/>
        <v>SLA</v>
      </c>
      <c r="AD889" s="3" t="s">
        <v>48</v>
      </c>
      <c r="AE889" s="6">
        <v>45539</v>
      </c>
      <c r="AF889" s="3" t="s">
        <v>59</v>
      </c>
      <c r="AG889" s="3" t="s">
        <v>60</v>
      </c>
      <c r="AH889" s="3">
        <f>YEAR(SrcDB[[#This Row],[Datum_zverejnenia]])</f>
        <v>2023</v>
      </c>
      <c r="AI889" s="3" cm="1">
        <f t="array" ref="AI889">COUNT(_xlfn.UNIQUE(_xlfn._xlws.FILTER(SrcDB[ID],SrcDB[Objednavatel_ICO]=$H889)))</f>
        <v>17</v>
      </c>
      <c r="AJ889" s="3" cm="1">
        <f t="array" ref="AJ889">COUNT(_xlfn.UNIQUE(_xlfn._xlws.FILTER(SrcDB[ID],SrcDB[Dodavatel_ICO]=$K889)))</f>
        <v>1</v>
      </c>
      <c r="AK889" s="3">
        <f t="shared" si="930"/>
        <v>0</v>
      </c>
      <c r="AL889" s="3">
        <f t="shared" si="931"/>
        <v>0</v>
      </c>
      <c r="AM889" s="17" t="str">
        <f>IF(SrcDB[[#This Row],[Pocet zmluv objednavatela]]&gt;3,SrcDB[[#This Row],[Objednavatel]],"Ostatné")</f>
        <v>Slovenská pošta, a. s.</v>
      </c>
      <c r="AN889" s="17" t="str">
        <f>IF(SrcDB[[#This Row],[Pocet zmluv dodavatela]]&gt;3,SrcDB[[#This Row],[Dodavatel]],"Ostatné")</f>
        <v>Ostatné</v>
      </c>
    </row>
    <row r="890" spans="1:40" x14ac:dyDescent="0.3">
      <c r="A890" s="2" t="s">
        <v>1098</v>
      </c>
      <c r="B890" s="2">
        <v>7554741</v>
      </c>
      <c r="C890" s="3" t="str">
        <f t="shared" si="924"/>
        <v>Nie</v>
      </c>
      <c r="D890" s="3" t="str">
        <f t="shared" si="925"/>
        <v>Áno</v>
      </c>
      <c r="E890" s="3" t="s">
        <v>48</v>
      </c>
      <c r="F890" s="3" t="s">
        <v>49</v>
      </c>
      <c r="G890" s="2" t="str">
        <f t="shared" si="926"/>
        <v>Malé zmluvy</v>
      </c>
      <c r="H890" s="5">
        <v>36631124</v>
      </c>
      <c r="I890" s="2" t="s">
        <v>104</v>
      </c>
      <c r="J890" s="2" t="s">
        <v>105</v>
      </c>
      <c r="K890" s="5">
        <v>35795808</v>
      </c>
      <c r="L890" s="2" t="s">
        <v>1099</v>
      </c>
      <c r="M890" s="2" t="s">
        <v>1100</v>
      </c>
      <c r="N890" s="6">
        <v>44984.541898148149</v>
      </c>
      <c r="O890" s="4">
        <v>320000</v>
      </c>
      <c r="P890" s="2">
        <v>114573</v>
      </c>
      <c r="Q890" s="2" t="s">
        <v>1101</v>
      </c>
      <c r="R890" s="2" t="s">
        <v>1102</v>
      </c>
      <c r="S890" s="2" t="s">
        <v>77</v>
      </c>
      <c r="T890" s="2" t="s">
        <v>471</v>
      </c>
      <c r="W890" s="4">
        <v>440</v>
      </c>
      <c r="X890" s="4">
        <v>528</v>
      </c>
      <c r="Y890" s="4">
        <f t="shared" ref="Y890" si="987">INDEX(InternalRates,MATCH($S890,InternalRates01,FALSE),2)</f>
        <v>278.98333333333335</v>
      </c>
      <c r="Z890" s="3" t="str">
        <f t="shared" si="960"/>
        <v>Nie</v>
      </c>
      <c r="AA890" s="3" t="str">
        <f t="shared" si="961"/>
        <v>SLA</v>
      </c>
      <c r="AD890" s="3" t="s">
        <v>48</v>
      </c>
      <c r="AE890" s="6">
        <v>45539</v>
      </c>
      <c r="AF890" s="3" t="s">
        <v>59</v>
      </c>
      <c r="AG890" s="3" t="s">
        <v>60</v>
      </c>
      <c r="AH890" s="3">
        <f>YEAR(SrcDB[[#This Row],[Datum_zverejnenia]])</f>
        <v>2023</v>
      </c>
      <c r="AI890" s="3" cm="1">
        <f t="array" ref="AI890">COUNT(_xlfn.UNIQUE(_xlfn._xlws.FILTER(SrcDB[ID],SrcDB[Objednavatel_ICO]=$H890)))</f>
        <v>17</v>
      </c>
      <c r="AJ890" s="3" cm="1">
        <f t="array" ref="AJ890">COUNT(_xlfn.UNIQUE(_xlfn._xlws.FILTER(SrcDB[ID],SrcDB[Dodavatel_ICO]=$K890)))</f>
        <v>1</v>
      </c>
      <c r="AK890" s="3">
        <f t="shared" si="930"/>
        <v>0</v>
      </c>
      <c r="AL890" s="3">
        <f t="shared" si="931"/>
        <v>0</v>
      </c>
      <c r="AM890" s="17" t="str">
        <f>IF(SrcDB[[#This Row],[Pocet zmluv objednavatela]]&gt;3,SrcDB[[#This Row],[Objednavatel]],"Ostatné")</f>
        <v>Slovenská pošta, a. s.</v>
      </c>
      <c r="AN890" s="17" t="str">
        <f>IF(SrcDB[[#This Row],[Pocet zmluv dodavatela]]&gt;3,SrcDB[[#This Row],[Dodavatel]],"Ostatné")</f>
        <v>Ostatné</v>
      </c>
    </row>
    <row r="891" spans="1:40" x14ac:dyDescent="0.3">
      <c r="A891" s="2" t="s">
        <v>1098</v>
      </c>
      <c r="B891" s="2">
        <v>7554741</v>
      </c>
      <c r="C891" s="3" t="str">
        <f t="shared" si="924"/>
        <v>Nie</v>
      </c>
      <c r="D891" s="3" t="str">
        <f t="shared" si="925"/>
        <v>Áno</v>
      </c>
      <c r="E891" s="3" t="s">
        <v>48</v>
      </c>
      <c r="F891" s="3" t="s">
        <v>49</v>
      </c>
      <c r="G891" s="2" t="str">
        <f t="shared" si="926"/>
        <v>Malé zmluvy</v>
      </c>
      <c r="H891" s="5">
        <v>36631124</v>
      </c>
      <c r="I891" s="2" t="s">
        <v>104</v>
      </c>
      <c r="J891" s="2" t="s">
        <v>105</v>
      </c>
      <c r="K891" s="5">
        <v>35795808</v>
      </c>
      <c r="L891" s="2" t="s">
        <v>1099</v>
      </c>
      <c r="M891" s="2" t="s">
        <v>1100</v>
      </c>
      <c r="N891" s="6">
        <v>44984.541898148149</v>
      </c>
      <c r="O891" s="4">
        <v>320000</v>
      </c>
      <c r="P891" s="2">
        <v>114573</v>
      </c>
      <c r="Q891" s="2" t="s">
        <v>1101</v>
      </c>
      <c r="R891" s="2" t="s">
        <v>1102</v>
      </c>
      <c r="S891" s="2" t="s">
        <v>123</v>
      </c>
      <c r="T891" s="2" t="s">
        <v>1104</v>
      </c>
      <c r="V891" s="2" t="s">
        <v>58</v>
      </c>
      <c r="W891" s="4">
        <v>440</v>
      </c>
      <c r="X891" s="4">
        <v>528</v>
      </c>
      <c r="Y891" s="4">
        <f t="shared" ref="Y891" si="988">INDEX(InternalRates,MATCH($S891,InternalRates01,FALSE),2)</f>
        <v>231.85833333333335</v>
      </c>
      <c r="Z891" s="3" t="str">
        <f t="shared" si="960"/>
        <v>Nie</v>
      </c>
      <c r="AA891" s="3" t="str">
        <f t="shared" si="961"/>
        <v>SLA</v>
      </c>
      <c r="AD891" s="3" t="s">
        <v>48</v>
      </c>
      <c r="AE891" s="6">
        <v>45539</v>
      </c>
      <c r="AF891" s="3" t="s">
        <v>59</v>
      </c>
      <c r="AG891" s="3" t="s">
        <v>60</v>
      </c>
      <c r="AH891" s="3">
        <f>YEAR(SrcDB[[#This Row],[Datum_zverejnenia]])</f>
        <v>2023</v>
      </c>
      <c r="AI891" s="3" cm="1">
        <f t="array" ref="AI891">COUNT(_xlfn.UNIQUE(_xlfn._xlws.FILTER(SrcDB[ID],SrcDB[Objednavatel_ICO]=$H891)))</f>
        <v>17</v>
      </c>
      <c r="AJ891" s="3" cm="1">
        <f t="array" ref="AJ891">COUNT(_xlfn.UNIQUE(_xlfn._xlws.FILTER(SrcDB[ID],SrcDB[Dodavatel_ICO]=$K891)))</f>
        <v>1</v>
      </c>
      <c r="AK891" s="3">
        <f t="shared" si="930"/>
        <v>0</v>
      </c>
      <c r="AL891" s="3">
        <f t="shared" si="931"/>
        <v>0</v>
      </c>
      <c r="AM891" s="17" t="str">
        <f>IF(SrcDB[[#This Row],[Pocet zmluv objednavatela]]&gt;3,SrcDB[[#This Row],[Objednavatel]],"Ostatné")</f>
        <v>Slovenská pošta, a. s.</v>
      </c>
      <c r="AN891" s="17" t="str">
        <f>IF(SrcDB[[#This Row],[Pocet zmluv dodavatela]]&gt;3,SrcDB[[#This Row],[Dodavatel]],"Ostatné")</f>
        <v>Ostatné</v>
      </c>
    </row>
    <row r="892" spans="1:40" x14ac:dyDescent="0.3">
      <c r="A892" s="2" t="s">
        <v>1105</v>
      </c>
      <c r="B892" s="2">
        <v>7602317</v>
      </c>
      <c r="C892" s="3" t="str">
        <f t="shared" si="924"/>
        <v>Áno</v>
      </c>
      <c r="D892" s="3" t="str">
        <f t="shared" si="925"/>
        <v>Nie</v>
      </c>
      <c r="E892" s="3" t="s">
        <v>49</v>
      </c>
      <c r="F892" s="3" t="s">
        <v>48</v>
      </c>
      <c r="G892" s="2" t="str">
        <f t="shared" si="926"/>
        <v>Stredné zmluvy</v>
      </c>
      <c r="H892" s="5">
        <v>30798841</v>
      </c>
      <c r="I892" s="2" t="s">
        <v>923</v>
      </c>
      <c r="J892" s="2" t="s">
        <v>1106</v>
      </c>
      <c r="K892" s="5">
        <v>35785284</v>
      </c>
      <c r="L892" s="2" t="s">
        <v>291</v>
      </c>
      <c r="M892" s="2" t="s">
        <v>1107</v>
      </c>
      <c r="N892" s="6">
        <v>44994.631874999999</v>
      </c>
      <c r="O892" s="4">
        <v>1314720</v>
      </c>
      <c r="P892" s="2">
        <v>114565</v>
      </c>
      <c r="Q892" s="2" t="s">
        <v>1108</v>
      </c>
      <c r="R892" s="2" t="s">
        <v>1109</v>
      </c>
      <c r="S892" s="2" t="s">
        <v>56</v>
      </c>
      <c r="T892" s="2" t="s">
        <v>94</v>
      </c>
      <c r="U892" s="2" t="s">
        <v>95</v>
      </c>
      <c r="W892" s="4">
        <v>498</v>
      </c>
      <c r="X892" s="4">
        <v>597.6</v>
      </c>
      <c r="Y892" s="4">
        <f t="shared" ref="Y892" si="989">INDEX(InternalRates,MATCH($S892,InternalRates01,FALSE),2)</f>
        <v>278.98333333333335</v>
      </c>
      <c r="Z892" s="3" t="str">
        <f t="shared" si="960"/>
        <v>Nie</v>
      </c>
      <c r="AA892" s="3" t="str">
        <f t="shared" si="961"/>
        <v>ZoD</v>
      </c>
      <c r="AB892" s="4">
        <v>35</v>
      </c>
      <c r="AC892" s="4">
        <v>23.333333333333332</v>
      </c>
      <c r="AD892" s="3" t="s">
        <v>49</v>
      </c>
      <c r="AE892" s="6">
        <v>45544</v>
      </c>
      <c r="AF892" s="3" t="s">
        <v>59</v>
      </c>
      <c r="AG892" s="3" t="s">
        <v>48</v>
      </c>
      <c r="AH892" s="3">
        <f>YEAR(SrcDB[[#This Row],[Datum_zverejnenia]])</f>
        <v>2023</v>
      </c>
      <c r="AI892" s="3" cm="1">
        <f t="array" ref="AI892">COUNT(_xlfn.UNIQUE(_xlfn._xlws.FILTER(SrcDB[ID],SrcDB[Objednavatel_ICO]=$H892)))</f>
        <v>2</v>
      </c>
      <c r="AJ892" s="3" cm="1">
        <f t="array" ref="AJ892">COUNT(_xlfn.UNIQUE(_xlfn._xlws.FILTER(SrcDB[ID],SrcDB[Dodavatel_ICO]=$K892)))</f>
        <v>7</v>
      </c>
      <c r="AK892" s="3">
        <f t="shared" si="930"/>
        <v>1</v>
      </c>
      <c r="AL892" s="3">
        <f t="shared" si="931"/>
        <v>1</v>
      </c>
      <c r="AM892" s="17" t="str">
        <f>IF(SrcDB[[#This Row],[Pocet zmluv objednavatela]]&gt;3,SrcDB[[#This Row],[Objednavatel]],"Ostatné")</f>
        <v>Ostatné</v>
      </c>
      <c r="AN892" s="17" t="str">
        <f>IF(SrcDB[[#This Row],[Pocet zmluv dodavatela]]&gt;3,SrcDB[[#This Row],[Dodavatel]],"Ostatné")</f>
        <v>Plaut Slovensko, s.r.o.</v>
      </c>
    </row>
    <row r="893" spans="1:40" x14ac:dyDescent="0.3">
      <c r="A893" s="2" t="s">
        <v>1105</v>
      </c>
      <c r="B893" s="2">
        <v>7602317</v>
      </c>
      <c r="C893" s="3" t="str">
        <f t="shared" si="924"/>
        <v>Áno</v>
      </c>
      <c r="D893" s="3" t="str">
        <f t="shared" si="925"/>
        <v>Nie</v>
      </c>
      <c r="E893" s="3" t="s">
        <v>49</v>
      </c>
      <c r="F893" s="3" t="s">
        <v>48</v>
      </c>
      <c r="G893" s="2" t="str">
        <f t="shared" si="926"/>
        <v>Stredné zmluvy</v>
      </c>
      <c r="H893" s="5">
        <v>30798841</v>
      </c>
      <c r="I893" s="2" t="s">
        <v>923</v>
      </c>
      <c r="J893" s="2" t="s">
        <v>1106</v>
      </c>
      <c r="K893" s="5">
        <v>35785284</v>
      </c>
      <c r="L893" s="2" t="s">
        <v>291</v>
      </c>
      <c r="M893" s="2" t="s">
        <v>1107</v>
      </c>
      <c r="N893" s="6">
        <v>44994.631874999999</v>
      </c>
      <c r="O893" s="4">
        <v>1314720</v>
      </c>
      <c r="P893" s="2">
        <v>114565</v>
      </c>
      <c r="Q893" s="2" t="s">
        <v>1108</v>
      </c>
      <c r="R893" s="2" t="s">
        <v>1109</v>
      </c>
      <c r="S893" s="2" t="s">
        <v>73</v>
      </c>
      <c r="T893" s="2" t="s">
        <v>90</v>
      </c>
      <c r="W893" s="4">
        <v>498</v>
      </c>
      <c r="X893" s="4">
        <v>597.6</v>
      </c>
      <c r="Y893" s="4">
        <f t="shared" ref="Y893" si="990">INDEX(InternalRates,MATCH($S893,InternalRates01,FALSE),2)</f>
        <v>278.98333333333335</v>
      </c>
      <c r="Z893" s="3" t="str">
        <f t="shared" si="960"/>
        <v>Nie</v>
      </c>
      <c r="AA893" s="3" t="str">
        <f t="shared" si="961"/>
        <v>ZoD</v>
      </c>
      <c r="AB893" s="4">
        <v>510</v>
      </c>
      <c r="AC893" s="4">
        <v>340</v>
      </c>
      <c r="AD893" s="3" t="s">
        <v>49</v>
      </c>
      <c r="AE893" s="6">
        <v>45544</v>
      </c>
      <c r="AF893" s="3" t="s">
        <v>59</v>
      </c>
      <c r="AG893" s="3" t="s">
        <v>48</v>
      </c>
      <c r="AH893" s="3">
        <f>YEAR(SrcDB[[#This Row],[Datum_zverejnenia]])</f>
        <v>2023</v>
      </c>
      <c r="AI893" s="3" cm="1">
        <f t="array" ref="AI893">COUNT(_xlfn.UNIQUE(_xlfn._xlws.FILTER(SrcDB[ID],SrcDB[Objednavatel_ICO]=$H893)))</f>
        <v>2</v>
      </c>
      <c r="AJ893" s="3" cm="1">
        <f t="array" ref="AJ893">COUNT(_xlfn.UNIQUE(_xlfn._xlws.FILTER(SrcDB[ID],SrcDB[Dodavatel_ICO]=$K893)))</f>
        <v>7</v>
      </c>
      <c r="AK893" s="3">
        <f t="shared" si="930"/>
        <v>0</v>
      </c>
      <c r="AL893" s="3">
        <f t="shared" si="931"/>
        <v>0</v>
      </c>
      <c r="AM893" s="17" t="str">
        <f>IF(SrcDB[[#This Row],[Pocet zmluv objednavatela]]&gt;3,SrcDB[[#This Row],[Objednavatel]],"Ostatné")</f>
        <v>Ostatné</v>
      </c>
      <c r="AN893" s="17" t="str">
        <f>IF(SrcDB[[#This Row],[Pocet zmluv dodavatela]]&gt;3,SrcDB[[#This Row],[Dodavatel]],"Ostatné")</f>
        <v>Plaut Slovensko, s.r.o.</v>
      </c>
    </row>
    <row r="894" spans="1:40" x14ac:dyDescent="0.3">
      <c r="A894" s="2" t="s">
        <v>1105</v>
      </c>
      <c r="B894" s="2">
        <v>7602317</v>
      </c>
      <c r="C894" s="3" t="str">
        <f t="shared" si="924"/>
        <v>Áno</v>
      </c>
      <c r="D894" s="3" t="str">
        <f t="shared" si="925"/>
        <v>Nie</v>
      </c>
      <c r="E894" s="3" t="s">
        <v>49</v>
      </c>
      <c r="F894" s="3" t="s">
        <v>48</v>
      </c>
      <c r="G894" s="2" t="str">
        <f t="shared" si="926"/>
        <v>Stredné zmluvy</v>
      </c>
      <c r="H894" s="5">
        <v>30798841</v>
      </c>
      <c r="I894" s="2" t="s">
        <v>923</v>
      </c>
      <c r="J894" s="2" t="s">
        <v>1106</v>
      </c>
      <c r="K894" s="5">
        <v>35785284</v>
      </c>
      <c r="L894" s="2" t="s">
        <v>291</v>
      </c>
      <c r="M894" s="2" t="s">
        <v>1107</v>
      </c>
      <c r="N894" s="6">
        <v>44994.631874999999</v>
      </c>
      <c r="O894" s="4">
        <v>1314720</v>
      </c>
      <c r="P894" s="2">
        <v>114565</v>
      </c>
      <c r="Q894" s="2" t="s">
        <v>1108</v>
      </c>
      <c r="R894" s="2" t="s">
        <v>1109</v>
      </c>
      <c r="S894" s="2" t="s">
        <v>71</v>
      </c>
      <c r="T894" s="2" t="s">
        <v>196</v>
      </c>
      <c r="W894" s="4">
        <v>498</v>
      </c>
      <c r="X894" s="4">
        <v>597.6</v>
      </c>
      <c r="Y894" s="4">
        <f t="shared" ref="Y894" si="991">INDEX(InternalRates,MATCH($S894,InternalRates01,FALSE),2)</f>
        <v>354.0333333333333</v>
      </c>
      <c r="Z894" s="3" t="str">
        <f t="shared" si="960"/>
        <v>Nie</v>
      </c>
      <c r="AA894" s="3" t="str">
        <f t="shared" si="961"/>
        <v>ZoD</v>
      </c>
      <c r="AB894" s="4">
        <v>219</v>
      </c>
      <c r="AC894" s="4">
        <v>146</v>
      </c>
      <c r="AD894" s="3" t="s">
        <v>49</v>
      </c>
      <c r="AE894" s="6">
        <v>45544</v>
      </c>
      <c r="AF894" s="3" t="s">
        <v>59</v>
      </c>
      <c r="AG894" s="3" t="s">
        <v>48</v>
      </c>
      <c r="AH894" s="3">
        <f>YEAR(SrcDB[[#This Row],[Datum_zverejnenia]])</f>
        <v>2023</v>
      </c>
      <c r="AI894" s="3" cm="1">
        <f t="array" ref="AI894">COUNT(_xlfn.UNIQUE(_xlfn._xlws.FILTER(SrcDB[ID],SrcDB[Objednavatel_ICO]=$H894)))</f>
        <v>2</v>
      </c>
      <c r="AJ894" s="3" cm="1">
        <f t="array" ref="AJ894">COUNT(_xlfn.UNIQUE(_xlfn._xlws.FILTER(SrcDB[ID],SrcDB[Dodavatel_ICO]=$K894)))</f>
        <v>7</v>
      </c>
      <c r="AK894" s="3">
        <f t="shared" si="930"/>
        <v>0</v>
      </c>
      <c r="AL894" s="3">
        <f t="shared" si="931"/>
        <v>0</v>
      </c>
      <c r="AM894" s="17" t="str">
        <f>IF(SrcDB[[#This Row],[Pocet zmluv objednavatela]]&gt;3,SrcDB[[#This Row],[Objednavatel]],"Ostatné")</f>
        <v>Ostatné</v>
      </c>
      <c r="AN894" s="17" t="str">
        <f>IF(SrcDB[[#This Row],[Pocet zmluv dodavatela]]&gt;3,SrcDB[[#This Row],[Dodavatel]],"Ostatné")</f>
        <v>Plaut Slovensko, s.r.o.</v>
      </c>
    </row>
    <row r="895" spans="1:40" x14ac:dyDescent="0.3">
      <c r="A895" s="2" t="s">
        <v>1105</v>
      </c>
      <c r="B895" s="2">
        <v>7602317</v>
      </c>
      <c r="C895" s="3" t="str">
        <f t="shared" si="924"/>
        <v>Áno</v>
      </c>
      <c r="D895" s="3" t="str">
        <f t="shared" si="925"/>
        <v>Nie</v>
      </c>
      <c r="E895" s="3" t="s">
        <v>49</v>
      </c>
      <c r="F895" s="3" t="s">
        <v>48</v>
      </c>
      <c r="G895" s="2" t="str">
        <f t="shared" si="926"/>
        <v>Stredné zmluvy</v>
      </c>
      <c r="H895" s="5">
        <v>30798841</v>
      </c>
      <c r="I895" s="2" t="s">
        <v>923</v>
      </c>
      <c r="J895" s="2" t="s">
        <v>1106</v>
      </c>
      <c r="K895" s="5">
        <v>35785284</v>
      </c>
      <c r="L895" s="2" t="s">
        <v>291</v>
      </c>
      <c r="M895" s="2" t="s">
        <v>1107</v>
      </c>
      <c r="N895" s="6">
        <v>44994.631874999999</v>
      </c>
      <c r="O895" s="4">
        <v>1314720</v>
      </c>
      <c r="P895" s="2">
        <v>114565</v>
      </c>
      <c r="Q895" s="2" t="s">
        <v>1108</v>
      </c>
      <c r="R895" s="2" t="s">
        <v>1109</v>
      </c>
      <c r="S895" s="2" t="s">
        <v>56</v>
      </c>
      <c r="T895" s="2" t="s">
        <v>288</v>
      </c>
      <c r="U895" s="2" t="s">
        <v>289</v>
      </c>
      <c r="W895" s="4">
        <v>498</v>
      </c>
      <c r="X895" s="4">
        <v>597.6</v>
      </c>
      <c r="Y895" s="4">
        <f t="shared" ref="Y895" si="992">INDEX(InternalRates,MATCH($S895,InternalRates01,FALSE),2)</f>
        <v>278.98333333333335</v>
      </c>
      <c r="Z895" s="3" t="str">
        <f t="shared" si="960"/>
        <v>Nie</v>
      </c>
      <c r="AA895" s="3" t="str">
        <f t="shared" si="961"/>
        <v>ZoD</v>
      </c>
      <c r="AB895" s="4">
        <v>160</v>
      </c>
      <c r="AC895" s="4">
        <v>106.66666666666667</v>
      </c>
      <c r="AD895" s="3" t="s">
        <v>49</v>
      </c>
      <c r="AE895" s="6">
        <v>45544</v>
      </c>
      <c r="AF895" s="3" t="s">
        <v>59</v>
      </c>
      <c r="AG895" s="3" t="s">
        <v>48</v>
      </c>
      <c r="AH895" s="3">
        <f>YEAR(SrcDB[[#This Row],[Datum_zverejnenia]])</f>
        <v>2023</v>
      </c>
      <c r="AI895" s="3" cm="1">
        <f t="array" ref="AI895">COUNT(_xlfn.UNIQUE(_xlfn._xlws.FILTER(SrcDB[ID],SrcDB[Objednavatel_ICO]=$H895)))</f>
        <v>2</v>
      </c>
      <c r="AJ895" s="3" cm="1">
        <f t="array" ref="AJ895">COUNT(_xlfn.UNIQUE(_xlfn._xlws.FILTER(SrcDB[ID],SrcDB[Dodavatel_ICO]=$K895)))</f>
        <v>7</v>
      </c>
      <c r="AK895" s="3">
        <f t="shared" si="930"/>
        <v>0</v>
      </c>
      <c r="AL895" s="3">
        <f t="shared" si="931"/>
        <v>0</v>
      </c>
      <c r="AM895" s="17" t="str">
        <f>IF(SrcDB[[#This Row],[Pocet zmluv objednavatela]]&gt;3,SrcDB[[#This Row],[Objednavatel]],"Ostatné")</f>
        <v>Ostatné</v>
      </c>
      <c r="AN895" s="17" t="str">
        <f>IF(SrcDB[[#This Row],[Pocet zmluv dodavatela]]&gt;3,SrcDB[[#This Row],[Dodavatel]],"Ostatné")</f>
        <v>Plaut Slovensko, s.r.o.</v>
      </c>
    </row>
    <row r="896" spans="1:40" x14ac:dyDescent="0.3">
      <c r="A896" s="2" t="s">
        <v>1105</v>
      </c>
      <c r="B896" s="2">
        <v>7602317</v>
      </c>
      <c r="C896" s="3" t="str">
        <f t="shared" si="924"/>
        <v>Áno</v>
      </c>
      <c r="D896" s="3" t="str">
        <f t="shared" si="925"/>
        <v>Nie</v>
      </c>
      <c r="E896" s="3" t="s">
        <v>49</v>
      </c>
      <c r="F896" s="3" t="s">
        <v>48</v>
      </c>
      <c r="G896" s="2" t="str">
        <f t="shared" si="926"/>
        <v>Stredné zmluvy</v>
      </c>
      <c r="H896" s="5">
        <v>30798841</v>
      </c>
      <c r="I896" s="2" t="s">
        <v>923</v>
      </c>
      <c r="J896" s="2" t="s">
        <v>1106</v>
      </c>
      <c r="K896" s="5">
        <v>35785284</v>
      </c>
      <c r="L896" s="2" t="s">
        <v>291</v>
      </c>
      <c r="M896" s="2" t="s">
        <v>1107</v>
      </c>
      <c r="N896" s="6">
        <v>44994.631874999999</v>
      </c>
      <c r="O896" s="4">
        <v>1314720</v>
      </c>
      <c r="P896" s="2">
        <v>114565</v>
      </c>
      <c r="Q896" s="2" t="s">
        <v>1108</v>
      </c>
      <c r="R896" s="2" t="s">
        <v>1109</v>
      </c>
      <c r="S896" s="2" t="s">
        <v>69</v>
      </c>
      <c r="T896" s="2" t="s">
        <v>285</v>
      </c>
      <c r="W896" s="4">
        <v>498</v>
      </c>
      <c r="X896" s="4">
        <v>597.6</v>
      </c>
      <c r="Y896" s="4">
        <f t="shared" ref="Y896" si="993">INDEX(InternalRates,MATCH($S896,InternalRates01,FALSE),2)</f>
        <v>278.98333333333335</v>
      </c>
      <c r="Z896" s="3" t="str">
        <f t="shared" si="960"/>
        <v>Nie</v>
      </c>
      <c r="AA896" s="3" t="str">
        <f t="shared" si="961"/>
        <v>ZoD</v>
      </c>
      <c r="AB896" s="4">
        <v>87</v>
      </c>
      <c r="AC896" s="4">
        <v>58</v>
      </c>
      <c r="AD896" s="3" t="s">
        <v>49</v>
      </c>
      <c r="AE896" s="6">
        <v>45544</v>
      </c>
      <c r="AF896" s="3" t="s">
        <v>59</v>
      </c>
      <c r="AG896" s="3" t="s">
        <v>48</v>
      </c>
      <c r="AH896" s="3">
        <f>YEAR(SrcDB[[#This Row],[Datum_zverejnenia]])</f>
        <v>2023</v>
      </c>
      <c r="AI896" s="3" cm="1">
        <f t="array" ref="AI896">COUNT(_xlfn.UNIQUE(_xlfn._xlws.FILTER(SrcDB[ID],SrcDB[Objednavatel_ICO]=$H896)))</f>
        <v>2</v>
      </c>
      <c r="AJ896" s="3" cm="1">
        <f t="array" ref="AJ896">COUNT(_xlfn.UNIQUE(_xlfn._xlws.FILTER(SrcDB[ID],SrcDB[Dodavatel_ICO]=$K896)))</f>
        <v>7</v>
      </c>
      <c r="AK896" s="3">
        <f t="shared" si="930"/>
        <v>0</v>
      </c>
      <c r="AL896" s="3">
        <f t="shared" si="931"/>
        <v>0</v>
      </c>
      <c r="AM896" s="17" t="str">
        <f>IF(SrcDB[[#This Row],[Pocet zmluv objednavatela]]&gt;3,SrcDB[[#This Row],[Objednavatel]],"Ostatné")</f>
        <v>Ostatné</v>
      </c>
      <c r="AN896" s="17" t="str">
        <f>IF(SrcDB[[#This Row],[Pocet zmluv dodavatela]]&gt;3,SrcDB[[#This Row],[Dodavatel]],"Ostatné")</f>
        <v>Plaut Slovensko, s.r.o.</v>
      </c>
    </row>
    <row r="897" spans="1:40" x14ac:dyDescent="0.3">
      <c r="A897" s="2" t="s">
        <v>1105</v>
      </c>
      <c r="B897" s="2">
        <v>7602317</v>
      </c>
      <c r="C897" s="3" t="str">
        <f t="shared" si="924"/>
        <v>Áno</v>
      </c>
      <c r="D897" s="3" t="str">
        <f t="shared" si="925"/>
        <v>Nie</v>
      </c>
      <c r="E897" s="3" t="s">
        <v>49</v>
      </c>
      <c r="F897" s="3" t="s">
        <v>48</v>
      </c>
      <c r="G897" s="2" t="str">
        <f t="shared" si="926"/>
        <v>Stredné zmluvy</v>
      </c>
      <c r="H897" s="5">
        <v>30798841</v>
      </c>
      <c r="I897" s="2" t="s">
        <v>923</v>
      </c>
      <c r="J897" s="2" t="s">
        <v>1106</v>
      </c>
      <c r="K897" s="5">
        <v>35785284</v>
      </c>
      <c r="L897" s="2" t="s">
        <v>291</v>
      </c>
      <c r="M897" s="2" t="s">
        <v>1107</v>
      </c>
      <c r="N897" s="6">
        <v>44994.631874999999</v>
      </c>
      <c r="O897" s="4">
        <v>1314720</v>
      </c>
      <c r="P897" s="2">
        <v>114565</v>
      </c>
      <c r="Q897" s="2" t="s">
        <v>1108</v>
      </c>
      <c r="R897" s="2" t="s">
        <v>1109</v>
      </c>
      <c r="S897" s="2" t="s">
        <v>79</v>
      </c>
      <c r="T897" s="2" t="s">
        <v>93</v>
      </c>
      <c r="W897" s="4">
        <v>498</v>
      </c>
      <c r="X897" s="4">
        <v>597.6</v>
      </c>
      <c r="Y897" s="4">
        <f t="shared" ref="Y897" si="994">INDEX(InternalRates,MATCH($S897,InternalRates01,FALSE),2)</f>
        <v>278.98333333333335</v>
      </c>
      <c r="Z897" s="3" t="str">
        <f t="shared" si="960"/>
        <v>Nie</v>
      </c>
      <c r="AA897" s="3" t="str">
        <f t="shared" si="961"/>
        <v>ZoD</v>
      </c>
      <c r="AB897" s="4">
        <v>137</v>
      </c>
      <c r="AC897" s="4">
        <v>91.333333333333329</v>
      </c>
      <c r="AD897" s="3" t="s">
        <v>49</v>
      </c>
      <c r="AE897" s="6">
        <v>45544</v>
      </c>
      <c r="AF897" s="3" t="s">
        <v>59</v>
      </c>
      <c r="AG897" s="3" t="s">
        <v>48</v>
      </c>
      <c r="AH897" s="3">
        <f>YEAR(SrcDB[[#This Row],[Datum_zverejnenia]])</f>
        <v>2023</v>
      </c>
      <c r="AI897" s="3" cm="1">
        <f t="array" ref="AI897">COUNT(_xlfn.UNIQUE(_xlfn._xlws.FILTER(SrcDB[ID],SrcDB[Objednavatel_ICO]=$H897)))</f>
        <v>2</v>
      </c>
      <c r="AJ897" s="3" cm="1">
        <f t="array" ref="AJ897">COUNT(_xlfn.UNIQUE(_xlfn._xlws.FILTER(SrcDB[ID],SrcDB[Dodavatel_ICO]=$K897)))</f>
        <v>7</v>
      </c>
      <c r="AK897" s="3">
        <f t="shared" si="930"/>
        <v>0</v>
      </c>
      <c r="AL897" s="3">
        <f t="shared" si="931"/>
        <v>0</v>
      </c>
      <c r="AM897" s="17" t="str">
        <f>IF(SrcDB[[#This Row],[Pocet zmluv objednavatela]]&gt;3,SrcDB[[#This Row],[Objednavatel]],"Ostatné")</f>
        <v>Ostatné</v>
      </c>
      <c r="AN897" s="17" t="str">
        <f>IF(SrcDB[[#This Row],[Pocet zmluv dodavatela]]&gt;3,SrcDB[[#This Row],[Dodavatel]],"Ostatné")</f>
        <v>Plaut Slovensko, s.r.o.</v>
      </c>
    </row>
    <row r="898" spans="1:40" x14ac:dyDescent="0.3">
      <c r="A898" s="2" t="s">
        <v>1105</v>
      </c>
      <c r="B898" s="2">
        <v>7602317</v>
      </c>
      <c r="C898" s="3" t="str">
        <f t="shared" ref="C898:C961" si="995">IF(OR(NOT(ISERROR(FIND("O DIEL",UPPER($A898)))),NOT(ISERROR(FIND("O IMPLEM",UPPER($A898)))))=TRUE,"Áno",IF(OR(NOT(ISERROR(FIND("PODPOR",UPPER($A898)))),NOT(ISERROR(FIND("SLA",UPPER($A898)))),NOT(ISERROR(FIND("SERVIS",UPPER($A898)))))=TRUE,"Nie","Nejasné"))</f>
        <v>Áno</v>
      </c>
      <c r="D898" s="3" t="str">
        <f t="shared" ref="D898:D961" si="996">IF(OR(NOT(ISERROR(FIND("PODPOR",UPPER($A898)))),NOT(ISERROR(FIND("SLA",UPPER($A898)))),NOT(ISERROR(FIND("SERVIS",UPPER($A898)))))=TRUE,"Áno",IF(OR(NOT(ISERROR(FIND("O DIEL",UPPER($A898)))),NOT(ISERROR(FIND("O IMPLEM",UPPER($A898)))))=TRUE,"Nie","Nejasné"))</f>
        <v>Nie</v>
      </c>
      <c r="E898" s="3" t="s">
        <v>49</v>
      </c>
      <c r="F898" s="3" t="s">
        <v>48</v>
      </c>
      <c r="G898" s="2" t="str">
        <f t="shared" ref="G898:G961" si="997">IF($O898&gt;=8000000,"Veľké zmluvy",IF($O898&gt;=1000000,"Stredné zmluvy","Malé zmluvy"))</f>
        <v>Stredné zmluvy</v>
      </c>
      <c r="H898" s="5">
        <v>30798841</v>
      </c>
      <c r="I898" s="2" t="s">
        <v>923</v>
      </c>
      <c r="J898" s="2" t="s">
        <v>1106</v>
      </c>
      <c r="K898" s="5">
        <v>35785284</v>
      </c>
      <c r="L898" s="2" t="s">
        <v>291</v>
      </c>
      <c r="M898" s="2" t="s">
        <v>1107</v>
      </c>
      <c r="N898" s="6">
        <v>44994.631874999999</v>
      </c>
      <c r="O898" s="4">
        <v>1314720</v>
      </c>
      <c r="P898" s="2">
        <v>114565</v>
      </c>
      <c r="Q898" s="2" t="s">
        <v>1108</v>
      </c>
      <c r="R898" s="2" t="s">
        <v>1109</v>
      </c>
      <c r="S898" s="2" t="s">
        <v>56</v>
      </c>
      <c r="T898" s="2" t="s">
        <v>96</v>
      </c>
      <c r="U898" s="2" t="s">
        <v>97</v>
      </c>
      <c r="W898" s="4">
        <v>498</v>
      </c>
      <c r="X898" s="4">
        <v>597.6</v>
      </c>
      <c r="Y898" s="4">
        <f t="shared" ref="Y898" si="998">INDEX(InternalRates,MATCH($S898,InternalRates01,FALSE),2)</f>
        <v>278.98333333333335</v>
      </c>
      <c r="Z898" s="3" t="str">
        <f t="shared" si="960"/>
        <v>Nie</v>
      </c>
      <c r="AA898" s="3" t="str">
        <f t="shared" si="961"/>
        <v>ZoD</v>
      </c>
      <c r="AB898" s="4">
        <v>5</v>
      </c>
      <c r="AC898" s="4">
        <v>3.3333333333333335</v>
      </c>
      <c r="AD898" s="3" t="s">
        <v>49</v>
      </c>
      <c r="AE898" s="6">
        <v>45544</v>
      </c>
      <c r="AF898" s="3" t="s">
        <v>59</v>
      </c>
      <c r="AG898" s="3" t="s">
        <v>48</v>
      </c>
      <c r="AH898" s="3">
        <f>YEAR(SrcDB[[#This Row],[Datum_zverejnenia]])</f>
        <v>2023</v>
      </c>
      <c r="AI898" s="3" cm="1">
        <f t="array" ref="AI898">COUNT(_xlfn.UNIQUE(_xlfn._xlws.FILTER(SrcDB[ID],SrcDB[Objednavatel_ICO]=$H898)))</f>
        <v>2</v>
      </c>
      <c r="AJ898" s="3" cm="1">
        <f t="array" ref="AJ898">COUNT(_xlfn.UNIQUE(_xlfn._xlws.FILTER(SrcDB[ID],SrcDB[Dodavatel_ICO]=$K898)))</f>
        <v>7</v>
      </c>
      <c r="AK898" s="3">
        <f t="shared" si="930"/>
        <v>0</v>
      </c>
      <c r="AL898" s="3">
        <f t="shared" si="931"/>
        <v>0</v>
      </c>
      <c r="AM898" s="17" t="str">
        <f>IF(SrcDB[[#This Row],[Pocet zmluv objednavatela]]&gt;3,SrcDB[[#This Row],[Objednavatel]],"Ostatné")</f>
        <v>Ostatné</v>
      </c>
      <c r="AN898" s="17" t="str">
        <f>IF(SrcDB[[#This Row],[Pocet zmluv dodavatela]]&gt;3,SrcDB[[#This Row],[Dodavatel]],"Ostatné")</f>
        <v>Plaut Slovensko, s.r.o.</v>
      </c>
    </row>
    <row r="899" spans="1:40" x14ac:dyDescent="0.3">
      <c r="A899" s="2" t="s">
        <v>1105</v>
      </c>
      <c r="B899" s="2">
        <v>7602317</v>
      </c>
      <c r="C899" s="3" t="str">
        <f t="shared" si="995"/>
        <v>Áno</v>
      </c>
      <c r="D899" s="3" t="str">
        <f t="shared" si="996"/>
        <v>Nie</v>
      </c>
      <c r="E899" s="3" t="s">
        <v>49</v>
      </c>
      <c r="F899" s="3" t="s">
        <v>48</v>
      </c>
      <c r="G899" s="2" t="str">
        <f t="shared" si="997"/>
        <v>Stredné zmluvy</v>
      </c>
      <c r="H899" s="5">
        <v>30798841</v>
      </c>
      <c r="I899" s="2" t="s">
        <v>923</v>
      </c>
      <c r="J899" s="2" t="s">
        <v>1106</v>
      </c>
      <c r="K899" s="5">
        <v>35785284</v>
      </c>
      <c r="L899" s="2" t="s">
        <v>291</v>
      </c>
      <c r="M899" s="2" t="s">
        <v>1107</v>
      </c>
      <c r="N899" s="6">
        <v>44994.631874999999</v>
      </c>
      <c r="O899" s="4">
        <v>1314720</v>
      </c>
      <c r="P899" s="2">
        <v>114565</v>
      </c>
      <c r="Q899" s="2" t="s">
        <v>1108</v>
      </c>
      <c r="R899" s="2" t="s">
        <v>1109</v>
      </c>
      <c r="S899" s="2" t="s">
        <v>77</v>
      </c>
      <c r="T899" s="2" t="s">
        <v>92</v>
      </c>
      <c r="W899" s="4">
        <v>498</v>
      </c>
      <c r="X899" s="4">
        <v>597.6</v>
      </c>
      <c r="Y899" s="4">
        <f t="shared" ref="Y899" si="999">INDEX(InternalRates,MATCH($S899,InternalRates01,FALSE),2)</f>
        <v>278.98333333333335</v>
      </c>
      <c r="Z899" s="3" t="str">
        <f t="shared" si="960"/>
        <v>Nie</v>
      </c>
      <c r="AA899" s="3" t="str">
        <f t="shared" si="961"/>
        <v>ZoD</v>
      </c>
      <c r="AB899" s="4">
        <v>1047</v>
      </c>
      <c r="AC899" s="4">
        <v>698</v>
      </c>
      <c r="AD899" s="3" t="s">
        <v>49</v>
      </c>
      <c r="AE899" s="6">
        <v>45544</v>
      </c>
      <c r="AF899" s="3" t="s">
        <v>59</v>
      </c>
      <c r="AG899" s="3" t="s">
        <v>48</v>
      </c>
      <c r="AH899" s="3">
        <f>YEAR(SrcDB[[#This Row],[Datum_zverejnenia]])</f>
        <v>2023</v>
      </c>
      <c r="AI899" s="3" cm="1">
        <f t="array" ref="AI899">COUNT(_xlfn.UNIQUE(_xlfn._xlws.FILTER(SrcDB[ID],SrcDB[Objednavatel_ICO]=$H899)))</f>
        <v>2</v>
      </c>
      <c r="AJ899" s="3" cm="1">
        <f t="array" ref="AJ899">COUNT(_xlfn.UNIQUE(_xlfn._xlws.FILTER(SrcDB[ID],SrcDB[Dodavatel_ICO]=$K899)))</f>
        <v>7</v>
      </c>
      <c r="AK899" s="3">
        <f t="shared" si="930"/>
        <v>0</v>
      </c>
      <c r="AL899" s="3">
        <f t="shared" si="931"/>
        <v>0</v>
      </c>
      <c r="AM899" s="17" t="str">
        <f>IF(SrcDB[[#This Row],[Pocet zmluv objednavatela]]&gt;3,SrcDB[[#This Row],[Objednavatel]],"Ostatné")</f>
        <v>Ostatné</v>
      </c>
      <c r="AN899" s="17" t="str">
        <f>IF(SrcDB[[#This Row],[Pocet zmluv dodavatela]]&gt;3,SrcDB[[#This Row],[Dodavatel]],"Ostatné")</f>
        <v>Plaut Slovensko, s.r.o.</v>
      </c>
    </row>
    <row r="900" spans="1:40" x14ac:dyDescent="0.3">
      <c r="A900" s="2" t="s">
        <v>523</v>
      </c>
      <c r="B900" s="2">
        <v>7611282</v>
      </c>
      <c r="C900" s="3" t="str">
        <f t="shared" si="995"/>
        <v>Nejasné</v>
      </c>
      <c r="D900" s="3" t="str">
        <f t="shared" si="996"/>
        <v>Nejasné</v>
      </c>
      <c r="E900" s="3" t="s">
        <v>49</v>
      </c>
      <c r="F900" s="3" t="s">
        <v>48</v>
      </c>
      <c r="G900" s="2" t="str">
        <f t="shared" si="997"/>
        <v>Stredné zmluvy</v>
      </c>
      <c r="H900" s="5" t="s">
        <v>969</v>
      </c>
      <c r="I900" s="2" t="s">
        <v>970</v>
      </c>
      <c r="J900" s="2" t="s">
        <v>817</v>
      </c>
      <c r="K900" s="5">
        <v>46117491</v>
      </c>
      <c r="L900" s="2" t="s">
        <v>707</v>
      </c>
      <c r="M900" s="2" t="s">
        <v>708</v>
      </c>
      <c r="N900" s="6">
        <v>44998.453541666669</v>
      </c>
      <c r="O900" s="4">
        <v>3911040</v>
      </c>
      <c r="P900" s="2">
        <v>114688</v>
      </c>
      <c r="Q900" s="2" t="s">
        <v>1110</v>
      </c>
      <c r="R900" s="2" t="s">
        <v>1111</v>
      </c>
      <c r="S900" s="2" t="s">
        <v>69</v>
      </c>
      <c r="T900" s="2" t="s">
        <v>285</v>
      </c>
      <c r="W900" s="4">
        <v>340</v>
      </c>
      <c r="X900" s="4">
        <v>408</v>
      </c>
      <c r="Y900" s="4">
        <f t="shared" ref="Y900" si="1000">INDEX(InternalRates,MATCH($S900,InternalRates01,FALSE),2)</f>
        <v>278.98333333333335</v>
      </c>
      <c r="Z900" s="3" t="str">
        <f t="shared" si="960"/>
        <v>Nie</v>
      </c>
      <c r="AA900" s="3" t="str">
        <f t="shared" si="961"/>
        <v>ZoD</v>
      </c>
      <c r="AB900" s="4">
        <v>420</v>
      </c>
      <c r="AC900" s="4">
        <v>105</v>
      </c>
      <c r="AD900" s="3" t="s">
        <v>48</v>
      </c>
      <c r="AE900" s="6">
        <v>45544</v>
      </c>
      <c r="AF900" s="3" t="s">
        <v>59</v>
      </c>
      <c r="AG900" s="3" t="s">
        <v>48</v>
      </c>
      <c r="AH900" s="3">
        <f>YEAR(SrcDB[[#This Row],[Datum_zverejnenia]])</f>
        <v>2023</v>
      </c>
      <c r="AI900" s="3" cm="1">
        <f t="array" ref="AI900">COUNT(_xlfn.UNIQUE(_xlfn._xlws.FILTER(SrcDB[ID],SrcDB[Objednavatel_ICO]=$H900)))</f>
        <v>3</v>
      </c>
      <c r="AJ900" s="3" cm="1">
        <f t="array" ref="AJ900">COUNT(_xlfn.UNIQUE(_xlfn._xlws.FILTER(SrcDB[ID],SrcDB[Dodavatel_ICO]=$K900)))</f>
        <v>7</v>
      </c>
      <c r="AK900" s="3">
        <f t="shared" ref="AK900:AK963" si="1001">IF($H899&lt;&gt;$H900,1,IF($B899&lt;&gt;$B900,1,0))</f>
        <v>1</v>
      </c>
      <c r="AL900" s="3">
        <f t="shared" ref="AL900:AL963" si="1002">IF($K899&lt;&gt;$K900,1,IF($B899&lt;&gt;$B900,1,0))</f>
        <v>1</v>
      </c>
      <c r="AM900" s="17" t="str">
        <f>IF(SrcDB[[#This Row],[Pocet zmluv objednavatela]]&gt;3,SrcDB[[#This Row],[Objednavatel]],"Ostatné")</f>
        <v>Ostatné</v>
      </c>
      <c r="AN900" s="17" t="str">
        <f>IF(SrcDB[[#This Row],[Pocet zmluv dodavatela]]&gt;3,SrcDB[[#This Row],[Dodavatel]],"Ostatné")</f>
        <v>JUMP soft a.s.</v>
      </c>
    </row>
    <row r="901" spans="1:40" x14ac:dyDescent="0.3">
      <c r="A901" s="2" t="s">
        <v>523</v>
      </c>
      <c r="B901" s="2">
        <v>7611282</v>
      </c>
      <c r="C901" s="3" t="str">
        <f t="shared" si="995"/>
        <v>Nejasné</v>
      </c>
      <c r="D901" s="3" t="str">
        <f t="shared" si="996"/>
        <v>Nejasné</v>
      </c>
      <c r="E901" s="3" t="s">
        <v>49</v>
      </c>
      <c r="F901" s="3" t="s">
        <v>48</v>
      </c>
      <c r="G901" s="2" t="str">
        <f t="shared" si="997"/>
        <v>Stredné zmluvy</v>
      </c>
      <c r="H901" s="5" t="s">
        <v>969</v>
      </c>
      <c r="I901" s="2" t="s">
        <v>970</v>
      </c>
      <c r="J901" s="2" t="s">
        <v>817</v>
      </c>
      <c r="K901" s="5">
        <v>46117491</v>
      </c>
      <c r="L901" s="2" t="s">
        <v>707</v>
      </c>
      <c r="M901" s="2" t="s">
        <v>708</v>
      </c>
      <c r="N901" s="6">
        <v>44998.453541666669</v>
      </c>
      <c r="O901" s="4">
        <v>3911040</v>
      </c>
      <c r="P901" s="2">
        <v>114688</v>
      </c>
      <c r="Q901" s="2" t="s">
        <v>1110</v>
      </c>
      <c r="R901" s="2" t="s">
        <v>1111</v>
      </c>
      <c r="S901" s="2" t="s">
        <v>56</v>
      </c>
      <c r="T901" s="2" t="s">
        <v>1112</v>
      </c>
      <c r="U901" s="2" t="s">
        <v>76</v>
      </c>
      <c r="W901" s="4">
        <v>350</v>
      </c>
      <c r="X901" s="4">
        <v>420</v>
      </c>
      <c r="Y901" s="4">
        <f t="shared" ref="Y901" si="1003">INDEX(InternalRates,MATCH($S901,InternalRates01,FALSE),2)</f>
        <v>278.98333333333335</v>
      </c>
      <c r="Z901" s="3" t="str">
        <f t="shared" si="960"/>
        <v>Nie</v>
      </c>
      <c r="AA901" s="3" t="str">
        <f t="shared" si="961"/>
        <v>ZoD</v>
      </c>
      <c r="AB901" s="4">
        <v>210</v>
      </c>
      <c r="AC901" s="4">
        <v>52.5</v>
      </c>
      <c r="AD901" s="3" t="s">
        <v>48</v>
      </c>
      <c r="AE901" s="6">
        <v>45544</v>
      </c>
      <c r="AF901" s="3" t="s">
        <v>59</v>
      </c>
      <c r="AG901" s="3" t="s">
        <v>48</v>
      </c>
      <c r="AH901" s="3">
        <f>YEAR(SrcDB[[#This Row],[Datum_zverejnenia]])</f>
        <v>2023</v>
      </c>
      <c r="AI901" s="3" cm="1">
        <f t="array" ref="AI901">COUNT(_xlfn.UNIQUE(_xlfn._xlws.FILTER(SrcDB[ID],SrcDB[Objednavatel_ICO]=$H901)))</f>
        <v>3</v>
      </c>
      <c r="AJ901" s="3" cm="1">
        <f t="array" ref="AJ901">COUNT(_xlfn.UNIQUE(_xlfn._xlws.FILTER(SrcDB[ID],SrcDB[Dodavatel_ICO]=$K901)))</f>
        <v>7</v>
      </c>
      <c r="AK901" s="3">
        <f t="shared" si="1001"/>
        <v>0</v>
      </c>
      <c r="AL901" s="3">
        <f t="shared" si="1002"/>
        <v>0</v>
      </c>
      <c r="AM901" s="17" t="str">
        <f>IF(SrcDB[[#This Row],[Pocet zmluv objednavatela]]&gt;3,SrcDB[[#This Row],[Objednavatel]],"Ostatné")</f>
        <v>Ostatné</v>
      </c>
      <c r="AN901" s="17" t="str">
        <f>IF(SrcDB[[#This Row],[Pocet zmluv dodavatela]]&gt;3,SrcDB[[#This Row],[Dodavatel]],"Ostatné")</f>
        <v>JUMP soft a.s.</v>
      </c>
    </row>
    <row r="902" spans="1:40" x14ac:dyDescent="0.3">
      <c r="A902" s="2" t="s">
        <v>523</v>
      </c>
      <c r="B902" s="2">
        <v>7611282</v>
      </c>
      <c r="C902" s="3" t="str">
        <f t="shared" si="995"/>
        <v>Nejasné</v>
      </c>
      <c r="D902" s="3" t="str">
        <f t="shared" si="996"/>
        <v>Nejasné</v>
      </c>
      <c r="E902" s="3" t="s">
        <v>49</v>
      </c>
      <c r="F902" s="3" t="s">
        <v>48</v>
      </c>
      <c r="G902" s="2" t="str">
        <f t="shared" si="997"/>
        <v>Stredné zmluvy</v>
      </c>
      <c r="H902" s="5" t="s">
        <v>969</v>
      </c>
      <c r="I902" s="2" t="s">
        <v>970</v>
      </c>
      <c r="J902" s="2" t="s">
        <v>817</v>
      </c>
      <c r="K902" s="5">
        <v>46117491</v>
      </c>
      <c r="L902" s="2" t="s">
        <v>707</v>
      </c>
      <c r="M902" s="2" t="s">
        <v>708</v>
      </c>
      <c r="N902" s="6">
        <v>44998.453541666669</v>
      </c>
      <c r="O902" s="4">
        <v>3911040</v>
      </c>
      <c r="P902" s="2">
        <v>114688</v>
      </c>
      <c r="Q902" s="2" t="s">
        <v>1110</v>
      </c>
      <c r="R902" s="2" t="s">
        <v>1111</v>
      </c>
      <c r="S902" s="2" t="s">
        <v>77</v>
      </c>
      <c r="T902" s="2" t="s">
        <v>1113</v>
      </c>
      <c r="W902" s="4">
        <v>360</v>
      </c>
      <c r="X902" s="4">
        <v>432</v>
      </c>
      <c r="Y902" s="4">
        <f t="shared" ref="Y902" si="1004">INDEX(InternalRates,MATCH($S902,InternalRates01,FALSE),2)</f>
        <v>278.98333333333335</v>
      </c>
      <c r="Z902" s="3" t="str">
        <f t="shared" si="960"/>
        <v>Nie</v>
      </c>
      <c r="AA902" s="3" t="str">
        <f t="shared" si="961"/>
        <v>ZoD</v>
      </c>
      <c r="AB902" s="4">
        <v>2520</v>
      </c>
      <c r="AC902" s="4">
        <v>630</v>
      </c>
      <c r="AD902" s="3" t="s">
        <v>48</v>
      </c>
      <c r="AE902" s="6">
        <v>45544</v>
      </c>
      <c r="AF902" s="3" t="s">
        <v>59</v>
      </c>
      <c r="AG902" s="3" t="s">
        <v>48</v>
      </c>
      <c r="AH902" s="3">
        <f>YEAR(SrcDB[[#This Row],[Datum_zverejnenia]])</f>
        <v>2023</v>
      </c>
      <c r="AI902" s="3" cm="1">
        <f t="array" ref="AI902">COUNT(_xlfn.UNIQUE(_xlfn._xlws.FILTER(SrcDB[ID],SrcDB[Objednavatel_ICO]=$H902)))</f>
        <v>3</v>
      </c>
      <c r="AJ902" s="3" cm="1">
        <f t="array" ref="AJ902">COUNT(_xlfn.UNIQUE(_xlfn._xlws.FILTER(SrcDB[ID],SrcDB[Dodavatel_ICO]=$K902)))</f>
        <v>7</v>
      </c>
      <c r="AK902" s="3">
        <f t="shared" si="1001"/>
        <v>0</v>
      </c>
      <c r="AL902" s="3">
        <f t="shared" si="1002"/>
        <v>0</v>
      </c>
      <c r="AM902" s="17" t="str">
        <f>IF(SrcDB[[#This Row],[Pocet zmluv objednavatela]]&gt;3,SrcDB[[#This Row],[Objednavatel]],"Ostatné")</f>
        <v>Ostatné</v>
      </c>
      <c r="AN902" s="17" t="str">
        <f>IF(SrcDB[[#This Row],[Pocet zmluv dodavatela]]&gt;3,SrcDB[[#This Row],[Dodavatel]],"Ostatné")</f>
        <v>JUMP soft a.s.</v>
      </c>
    </row>
    <row r="903" spans="1:40" x14ac:dyDescent="0.3">
      <c r="A903" s="2" t="s">
        <v>523</v>
      </c>
      <c r="B903" s="2">
        <v>7611282</v>
      </c>
      <c r="C903" s="3" t="str">
        <f t="shared" si="995"/>
        <v>Nejasné</v>
      </c>
      <c r="D903" s="3" t="str">
        <f t="shared" si="996"/>
        <v>Nejasné</v>
      </c>
      <c r="E903" s="3" t="s">
        <v>49</v>
      </c>
      <c r="F903" s="3" t="s">
        <v>48</v>
      </c>
      <c r="G903" s="2" t="str">
        <f t="shared" si="997"/>
        <v>Stredné zmluvy</v>
      </c>
      <c r="H903" s="5" t="s">
        <v>969</v>
      </c>
      <c r="I903" s="2" t="s">
        <v>970</v>
      </c>
      <c r="J903" s="2" t="s">
        <v>817</v>
      </c>
      <c r="K903" s="5">
        <v>46117491</v>
      </c>
      <c r="L903" s="2" t="s">
        <v>707</v>
      </c>
      <c r="M903" s="2" t="s">
        <v>708</v>
      </c>
      <c r="N903" s="6">
        <v>44998.453541666669</v>
      </c>
      <c r="O903" s="4">
        <v>3911040</v>
      </c>
      <c r="P903" s="2">
        <v>114688</v>
      </c>
      <c r="Q903" s="2" t="s">
        <v>1110</v>
      </c>
      <c r="R903" s="2" t="s">
        <v>1111</v>
      </c>
      <c r="S903" s="2" t="s">
        <v>77</v>
      </c>
      <c r="T903" s="2" t="s">
        <v>1114</v>
      </c>
      <c r="W903" s="4">
        <v>350</v>
      </c>
      <c r="X903" s="4">
        <v>420</v>
      </c>
      <c r="Y903" s="4">
        <f t="shared" ref="Y903" si="1005">INDEX(InternalRates,MATCH($S903,InternalRates01,FALSE),2)</f>
        <v>278.98333333333335</v>
      </c>
      <c r="Z903" s="3" t="str">
        <f t="shared" si="960"/>
        <v>Nie</v>
      </c>
      <c r="AA903" s="3" t="str">
        <f t="shared" si="961"/>
        <v>ZoD</v>
      </c>
      <c r="AB903" s="4">
        <v>210</v>
      </c>
      <c r="AC903" s="4">
        <v>52.5</v>
      </c>
      <c r="AD903" s="3" t="s">
        <v>48</v>
      </c>
      <c r="AE903" s="6">
        <v>45544</v>
      </c>
      <c r="AF903" s="3" t="s">
        <v>59</v>
      </c>
      <c r="AG903" s="3" t="s">
        <v>48</v>
      </c>
      <c r="AH903" s="3">
        <f>YEAR(SrcDB[[#This Row],[Datum_zverejnenia]])</f>
        <v>2023</v>
      </c>
      <c r="AI903" s="3" cm="1">
        <f t="array" ref="AI903">COUNT(_xlfn.UNIQUE(_xlfn._xlws.FILTER(SrcDB[ID],SrcDB[Objednavatel_ICO]=$H903)))</f>
        <v>3</v>
      </c>
      <c r="AJ903" s="3" cm="1">
        <f t="array" ref="AJ903">COUNT(_xlfn.UNIQUE(_xlfn._xlws.FILTER(SrcDB[ID],SrcDB[Dodavatel_ICO]=$K903)))</f>
        <v>7</v>
      </c>
      <c r="AK903" s="3">
        <f t="shared" si="1001"/>
        <v>0</v>
      </c>
      <c r="AL903" s="3">
        <f t="shared" si="1002"/>
        <v>0</v>
      </c>
      <c r="AM903" s="17" t="str">
        <f>IF(SrcDB[[#This Row],[Pocet zmluv objednavatela]]&gt;3,SrcDB[[#This Row],[Objednavatel]],"Ostatné")</f>
        <v>Ostatné</v>
      </c>
      <c r="AN903" s="17" t="str">
        <f>IF(SrcDB[[#This Row],[Pocet zmluv dodavatela]]&gt;3,SrcDB[[#This Row],[Dodavatel]],"Ostatné")</f>
        <v>JUMP soft a.s.</v>
      </c>
    </row>
    <row r="904" spans="1:40" x14ac:dyDescent="0.3">
      <c r="A904" s="2" t="s">
        <v>523</v>
      </c>
      <c r="B904" s="2">
        <v>7611282</v>
      </c>
      <c r="C904" s="3" t="str">
        <f t="shared" si="995"/>
        <v>Nejasné</v>
      </c>
      <c r="D904" s="3" t="str">
        <f t="shared" si="996"/>
        <v>Nejasné</v>
      </c>
      <c r="E904" s="3" t="s">
        <v>49</v>
      </c>
      <c r="F904" s="3" t="s">
        <v>48</v>
      </c>
      <c r="G904" s="2" t="str">
        <f t="shared" si="997"/>
        <v>Stredné zmluvy</v>
      </c>
      <c r="H904" s="5" t="s">
        <v>969</v>
      </c>
      <c r="I904" s="2" t="s">
        <v>970</v>
      </c>
      <c r="J904" s="2" t="s">
        <v>817</v>
      </c>
      <c r="K904" s="5">
        <v>46117491</v>
      </c>
      <c r="L904" s="2" t="s">
        <v>707</v>
      </c>
      <c r="M904" s="2" t="s">
        <v>708</v>
      </c>
      <c r="N904" s="6">
        <v>44998.453541666669</v>
      </c>
      <c r="O904" s="4">
        <v>3911040</v>
      </c>
      <c r="P904" s="2">
        <v>114688</v>
      </c>
      <c r="Q904" s="2" t="s">
        <v>1110</v>
      </c>
      <c r="R904" s="2" t="s">
        <v>1111</v>
      </c>
      <c r="S904" s="2" t="s">
        <v>102</v>
      </c>
      <c r="T904" s="2" t="s">
        <v>1115</v>
      </c>
      <c r="W904" s="4">
        <v>300</v>
      </c>
      <c r="X904" s="4">
        <v>360</v>
      </c>
      <c r="Y904" s="4">
        <f t="shared" ref="Y904" si="1006">INDEX(InternalRates,MATCH($S904,InternalRates01,FALSE),2)</f>
        <v>278.98333333333335</v>
      </c>
      <c r="Z904" s="3" t="str">
        <f t="shared" si="960"/>
        <v>Nie</v>
      </c>
      <c r="AA904" s="3" t="str">
        <f t="shared" si="961"/>
        <v>ZoD</v>
      </c>
      <c r="AB904" s="4">
        <v>420</v>
      </c>
      <c r="AC904" s="4">
        <v>105</v>
      </c>
      <c r="AD904" s="3" t="s">
        <v>48</v>
      </c>
      <c r="AE904" s="6">
        <v>45544</v>
      </c>
      <c r="AF904" s="3" t="s">
        <v>59</v>
      </c>
      <c r="AG904" s="3" t="s">
        <v>48</v>
      </c>
      <c r="AH904" s="3">
        <f>YEAR(SrcDB[[#This Row],[Datum_zverejnenia]])</f>
        <v>2023</v>
      </c>
      <c r="AI904" s="3" cm="1">
        <f t="array" ref="AI904">COUNT(_xlfn.UNIQUE(_xlfn._xlws.FILTER(SrcDB[ID],SrcDB[Objednavatel_ICO]=$H904)))</f>
        <v>3</v>
      </c>
      <c r="AJ904" s="3" cm="1">
        <f t="array" ref="AJ904">COUNT(_xlfn.UNIQUE(_xlfn._xlws.FILTER(SrcDB[ID],SrcDB[Dodavatel_ICO]=$K904)))</f>
        <v>7</v>
      </c>
      <c r="AK904" s="3">
        <f t="shared" si="1001"/>
        <v>0</v>
      </c>
      <c r="AL904" s="3">
        <f t="shared" si="1002"/>
        <v>0</v>
      </c>
      <c r="AM904" s="17" t="str">
        <f>IF(SrcDB[[#This Row],[Pocet zmluv objednavatela]]&gt;3,SrcDB[[#This Row],[Objednavatel]],"Ostatné")</f>
        <v>Ostatné</v>
      </c>
      <c r="AN904" s="17" t="str">
        <f>IF(SrcDB[[#This Row],[Pocet zmluv dodavatela]]&gt;3,SrcDB[[#This Row],[Dodavatel]],"Ostatné")</f>
        <v>JUMP soft a.s.</v>
      </c>
    </row>
    <row r="905" spans="1:40" x14ac:dyDescent="0.3">
      <c r="A905" s="2" t="s">
        <v>523</v>
      </c>
      <c r="B905" s="2">
        <v>7611282</v>
      </c>
      <c r="C905" s="3" t="str">
        <f t="shared" si="995"/>
        <v>Nejasné</v>
      </c>
      <c r="D905" s="3" t="str">
        <f t="shared" si="996"/>
        <v>Nejasné</v>
      </c>
      <c r="E905" s="3" t="s">
        <v>49</v>
      </c>
      <c r="F905" s="3" t="s">
        <v>48</v>
      </c>
      <c r="G905" s="2" t="str">
        <f t="shared" si="997"/>
        <v>Stredné zmluvy</v>
      </c>
      <c r="H905" s="5" t="s">
        <v>969</v>
      </c>
      <c r="I905" s="2" t="s">
        <v>970</v>
      </c>
      <c r="J905" s="2" t="s">
        <v>817</v>
      </c>
      <c r="K905" s="5">
        <v>46117491</v>
      </c>
      <c r="L905" s="2" t="s">
        <v>707</v>
      </c>
      <c r="M905" s="2" t="s">
        <v>708</v>
      </c>
      <c r="N905" s="6">
        <v>44998.453541666669</v>
      </c>
      <c r="O905" s="4">
        <v>3911040</v>
      </c>
      <c r="P905" s="2">
        <v>114688</v>
      </c>
      <c r="Q905" s="2" t="s">
        <v>1110</v>
      </c>
      <c r="R905" s="2" t="s">
        <v>1111</v>
      </c>
      <c r="S905" s="2" t="s">
        <v>79</v>
      </c>
      <c r="T905" s="2" t="s">
        <v>1116</v>
      </c>
      <c r="W905" s="4">
        <v>350</v>
      </c>
      <c r="X905" s="4">
        <v>420</v>
      </c>
      <c r="Y905" s="4">
        <f t="shared" ref="Y905" si="1007">INDEX(InternalRates,MATCH($S905,InternalRates01,FALSE),2)</f>
        <v>278.98333333333335</v>
      </c>
      <c r="Z905" s="3" t="str">
        <f t="shared" si="960"/>
        <v>Nie</v>
      </c>
      <c r="AA905" s="3" t="str">
        <f t="shared" si="961"/>
        <v>ZoD</v>
      </c>
      <c r="AB905" s="4">
        <v>210</v>
      </c>
      <c r="AC905" s="4">
        <v>52.5</v>
      </c>
      <c r="AD905" s="3" t="s">
        <v>48</v>
      </c>
      <c r="AE905" s="6">
        <v>45544</v>
      </c>
      <c r="AF905" s="3" t="s">
        <v>59</v>
      </c>
      <c r="AG905" s="3" t="s">
        <v>48</v>
      </c>
      <c r="AH905" s="3">
        <f>YEAR(SrcDB[[#This Row],[Datum_zverejnenia]])</f>
        <v>2023</v>
      </c>
      <c r="AI905" s="3" cm="1">
        <f t="array" ref="AI905">COUNT(_xlfn.UNIQUE(_xlfn._xlws.FILTER(SrcDB[ID],SrcDB[Objednavatel_ICO]=$H905)))</f>
        <v>3</v>
      </c>
      <c r="AJ905" s="3" cm="1">
        <f t="array" ref="AJ905">COUNT(_xlfn.UNIQUE(_xlfn._xlws.FILTER(SrcDB[ID],SrcDB[Dodavatel_ICO]=$K905)))</f>
        <v>7</v>
      </c>
      <c r="AK905" s="3">
        <f t="shared" si="1001"/>
        <v>0</v>
      </c>
      <c r="AL905" s="3">
        <f t="shared" si="1002"/>
        <v>0</v>
      </c>
      <c r="AM905" s="17" t="str">
        <f>IF(SrcDB[[#This Row],[Pocet zmluv objednavatela]]&gt;3,SrcDB[[#This Row],[Objednavatel]],"Ostatné")</f>
        <v>Ostatné</v>
      </c>
      <c r="AN905" s="17" t="str">
        <f>IF(SrcDB[[#This Row],[Pocet zmluv dodavatela]]&gt;3,SrcDB[[#This Row],[Dodavatel]],"Ostatné")</f>
        <v>JUMP soft a.s.</v>
      </c>
    </row>
    <row r="906" spans="1:40" x14ac:dyDescent="0.3">
      <c r="A906" s="2" t="s">
        <v>523</v>
      </c>
      <c r="B906" s="2">
        <v>7611282</v>
      </c>
      <c r="C906" s="3" t="str">
        <f t="shared" si="995"/>
        <v>Nejasné</v>
      </c>
      <c r="D906" s="3" t="str">
        <f t="shared" si="996"/>
        <v>Nejasné</v>
      </c>
      <c r="E906" s="3" t="s">
        <v>49</v>
      </c>
      <c r="F906" s="3" t="s">
        <v>48</v>
      </c>
      <c r="G906" s="2" t="str">
        <f t="shared" si="997"/>
        <v>Stredné zmluvy</v>
      </c>
      <c r="H906" s="5" t="s">
        <v>969</v>
      </c>
      <c r="I906" s="2" t="s">
        <v>970</v>
      </c>
      <c r="J906" s="2" t="s">
        <v>817</v>
      </c>
      <c r="K906" s="5">
        <v>46117491</v>
      </c>
      <c r="L906" s="2" t="s">
        <v>707</v>
      </c>
      <c r="M906" s="2" t="s">
        <v>708</v>
      </c>
      <c r="N906" s="6">
        <v>44998.453541666669</v>
      </c>
      <c r="O906" s="4">
        <v>3911040</v>
      </c>
      <c r="P906" s="2">
        <v>114688</v>
      </c>
      <c r="Q906" s="2" t="s">
        <v>1110</v>
      </c>
      <c r="R906" s="2" t="s">
        <v>1111</v>
      </c>
      <c r="S906" s="2" t="s">
        <v>79</v>
      </c>
      <c r="T906" s="2" t="s">
        <v>1117</v>
      </c>
      <c r="W906" s="4">
        <v>320</v>
      </c>
      <c r="X906" s="4">
        <v>384</v>
      </c>
      <c r="Y906" s="4">
        <f t="shared" ref="Y906" si="1008">INDEX(InternalRates,MATCH($S906,InternalRates01,FALSE),2)</f>
        <v>278.98333333333335</v>
      </c>
      <c r="Z906" s="3" t="str">
        <f t="shared" si="960"/>
        <v>Nie</v>
      </c>
      <c r="AA906" s="3" t="str">
        <f t="shared" si="961"/>
        <v>ZoD</v>
      </c>
      <c r="AB906" s="4">
        <v>1260</v>
      </c>
      <c r="AC906" s="4">
        <v>315</v>
      </c>
      <c r="AD906" s="3" t="s">
        <v>48</v>
      </c>
      <c r="AE906" s="6">
        <v>45544</v>
      </c>
      <c r="AF906" s="3" t="s">
        <v>59</v>
      </c>
      <c r="AG906" s="3" t="s">
        <v>48</v>
      </c>
      <c r="AH906" s="3">
        <f>YEAR(SrcDB[[#This Row],[Datum_zverejnenia]])</f>
        <v>2023</v>
      </c>
      <c r="AI906" s="3" cm="1">
        <f t="array" ref="AI906">COUNT(_xlfn.UNIQUE(_xlfn._xlws.FILTER(SrcDB[ID],SrcDB[Objednavatel_ICO]=$H906)))</f>
        <v>3</v>
      </c>
      <c r="AJ906" s="3" cm="1">
        <f t="array" ref="AJ906">COUNT(_xlfn.UNIQUE(_xlfn._xlws.FILTER(SrcDB[ID],SrcDB[Dodavatel_ICO]=$K906)))</f>
        <v>7</v>
      </c>
      <c r="AK906" s="3">
        <f t="shared" si="1001"/>
        <v>0</v>
      </c>
      <c r="AL906" s="3">
        <f t="shared" si="1002"/>
        <v>0</v>
      </c>
      <c r="AM906" s="17" t="str">
        <f>IF(SrcDB[[#This Row],[Pocet zmluv objednavatela]]&gt;3,SrcDB[[#This Row],[Objednavatel]],"Ostatné")</f>
        <v>Ostatné</v>
      </c>
      <c r="AN906" s="17" t="str">
        <f>IF(SrcDB[[#This Row],[Pocet zmluv dodavatela]]&gt;3,SrcDB[[#This Row],[Dodavatel]],"Ostatné")</f>
        <v>JUMP soft a.s.</v>
      </c>
    </row>
    <row r="907" spans="1:40" x14ac:dyDescent="0.3">
      <c r="A907" s="2" t="s">
        <v>523</v>
      </c>
      <c r="B907" s="2">
        <v>7611282</v>
      </c>
      <c r="C907" s="3" t="str">
        <f t="shared" si="995"/>
        <v>Nejasné</v>
      </c>
      <c r="D907" s="3" t="str">
        <f t="shared" si="996"/>
        <v>Nejasné</v>
      </c>
      <c r="E907" s="3" t="s">
        <v>49</v>
      </c>
      <c r="F907" s="3" t="s">
        <v>48</v>
      </c>
      <c r="G907" s="2" t="str">
        <f t="shared" si="997"/>
        <v>Stredné zmluvy</v>
      </c>
      <c r="H907" s="5" t="s">
        <v>969</v>
      </c>
      <c r="I907" s="2" t="s">
        <v>970</v>
      </c>
      <c r="J907" s="2" t="s">
        <v>817</v>
      </c>
      <c r="K907" s="5">
        <v>46117491</v>
      </c>
      <c r="L907" s="2" t="s">
        <v>707</v>
      </c>
      <c r="M907" s="2" t="s">
        <v>708</v>
      </c>
      <c r="N907" s="6">
        <v>44998.453541666669</v>
      </c>
      <c r="O907" s="4">
        <v>3911040</v>
      </c>
      <c r="P907" s="2">
        <v>114688</v>
      </c>
      <c r="Q907" s="2" t="s">
        <v>1110</v>
      </c>
      <c r="R907" s="2" t="s">
        <v>1111</v>
      </c>
      <c r="S907" s="2" t="s">
        <v>73</v>
      </c>
      <c r="T907" s="2" t="s">
        <v>206</v>
      </c>
      <c r="W907" s="4">
        <v>350</v>
      </c>
      <c r="X907" s="4">
        <v>420</v>
      </c>
      <c r="Y907" s="4">
        <f t="shared" ref="Y907" si="1009">INDEX(InternalRates,MATCH($S907,InternalRates01,FALSE),2)</f>
        <v>278.98333333333335</v>
      </c>
      <c r="Z907" s="3" t="str">
        <f t="shared" si="960"/>
        <v>Nie</v>
      </c>
      <c r="AA907" s="3" t="str">
        <f t="shared" si="961"/>
        <v>ZoD</v>
      </c>
      <c r="AB907" s="4">
        <v>1890</v>
      </c>
      <c r="AC907" s="4">
        <v>472.5</v>
      </c>
      <c r="AD907" s="3" t="s">
        <v>48</v>
      </c>
      <c r="AE907" s="6">
        <v>45544</v>
      </c>
      <c r="AF907" s="3" t="s">
        <v>59</v>
      </c>
      <c r="AG907" s="3" t="s">
        <v>48</v>
      </c>
      <c r="AH907" s="3">
        <f>YEAR(SrcDB[[#This Row],[Datum_zverejnenia]])</f>
        <v>2023</v>
      </c>
      <c r="AI907" s="3" cm="1">
        <f t="array" ref="AI907">COUNT(_xlfn.UNIQUE(_xlfn._xlws.FILTER(SrcDB[ID],SrcDB[Objednavatel_ICO]=$H907)))</f>
        <v>3</v>
      </c>
      <c r="AJ907" s="3" cm="1">
        <f t="array" ref="AJ907">COUNT(_xlfn.UNIQUE(_xlfn._xlws.FILTER(SrcDB[ID],SrcDB[Dodavatel_ICO]=$K907)))</f>
        <v>7</v>
      </c>
      <c r="AK907" s="3">
        <f t="shared" si="1001"/>
        <v>0</v>
      </c>
      <c r="AL907" s="3">
        <f t="shared" si="1002"/>
        <v>0</v>
      </c>
      <c r="AM907" s="17" t="str">
        <f>IF(SrcDB[[#This Row],[Pocet zmluv objednavatela]]&gt;3,SrcDB[[#This Row],[Objednavatel]],"Ostatné")</f>
        <v>Ostatné</v>
      </c>
      <c r="AN907" s="17" t="str">
        <f>IF(SrcDB[[#This Row],[Pocet zmluv dodavatela]]&gt;3,SrcDB[[#This Row],[Dodavatel]],"Ostatné")</f>
        <v>JUMP soft a.s.</v>
      </c>
    </row>
    <row r="908" spans="1:40" x14ac:dyDescent="0.3">
      <c r="A908" s="2" t="s">
        <v>523</v>
      </c>
      <c r="B908" s="2">
        <v>7611282</v>
      </c>
      <c r="C908" s="3" t="str">
        <f t="shared" si="995"/>
        <v>Nejasné</v>
      </c>
      <c r="D908" s="3" t="str">
        <f t="shared" si="996"/>
        <v>Nejasné</v>
      </c>
      <c r="E908" s="3" t="s">
        <v>49</v>
      </c>
      <c r="F908" s="3" t="s">
        <v>48</v>
      </c>
      <c r="G908" s="2" t="str">
        <f t="shared" si="997"/>
        <v>Stredné zmluvy</v>
      </c>
      <c r="H908" s="5" t="s">
        <v>969</v>
      </c>
      <c r="I908" s="2" t="s">
        <v>970</v>
      </c>
      <c r="J908" s="2" t="s">
        <v>817</v>
      </c>
      <c r="K908" s="5">
        <v>46117491</v>
      </c>
      <c r="L908" s="2" t="s">
        <v>707</v>
      </c>
      <c r="M908" s="2" t="s">
        <v>708</v>
      </c>
      <c r="N908" s="6">
        <v>44998.453541666669</v>
      </c>
      <c r="O908" s="4">
        <v>3911040</v>
      </c>
      <c r="P908" s="2">
        <v>114688</v>
      </c>
      <c r="Q908" s="2" t="s">
        <v>1110</v>
      </c>
      <c r="R908" s="2" t="s">
        <v>1111</v>
      </c>
      <c r="S908" s="2" t="s">
        <v>73</v>
      </c>
      <c r="T908" s="2" t="s">
        <v>90</v>
      </c>
      <c r="W908" s="4">
        <v>340</v>
      </c>
      <c r="X908" s="4">
        <v>408</v>
      </c>
      <c r="Y908" s="4">
        <f t="shared" ref="Y908" si="1010">INDEX(InternalRates,MATCH($S908,InternalRates01,FALSE),2)</f>
        <v>278.98333333333335</v>
      </c>
      <c r="Z908" s="3" t="str">
        <f t="shared" si="960"/>
        <v>Nie</v>
      </c>
      <c r="AA908" s="3" t="str">
        <f t="shared" si="961"/>
        <v>ZoD</v>
      </c>
      <c r="AB908" s="4">
        <v>420</v>
      </c>
      <c r="AC908" s="4">
        <v>105</v>
      </c>
      <c r="AD908" s="3" t="s">
        <v>48</v>
      </c>
      <c r="AE908" s="6">
        <v>45544</v>
      </c>
      <c r="AF908" s="3" t="s">
        <v>59</v>
      </c>
      <c r="AG908" s="3" t="s">
        <v>48</v>
      </c>
      <c r="AH908" s="3">
        <f>YEAR(SrcDB[[#This Row],[Datum_zverejnenia]])</f>
        <v>2023</v>
      </c>
      <c r="AI908" s="3" cm="1">
        <f t="array" ref="AI908">COUNT(_xlfn.UNIQUE(_xlfn._xlws.FILTER(SrcDB[ID],SrcDB[Objednavatel_ICO]=$H908)))</f>
        <v>3</v>
      </c>
      <c r="AJ908" s="3" cm="1">
        <f t="array" ref="AJ908">COUNT(_xlfn.UNIQUE(_xlfn._xlws.FILTER(SrcDB[ID],SrcDB[Dodavatel_ICO]=$K908)))</f>
        <v>7</v>
      </c>
      <c r="AK908" s="3">
        <f t="shared" si="1001"/>
        <v>0</v>
      </c>
      <c r="AL908" s="3">
        <f t="shared" si="1002"/>
        <v>0</v>
      </c>
      <c r="AM908" s="17" t="str">
        <f>IF(SrcDB[[#This Row],[Pocet zmluv objednavatela]]&gt;3,SrcDB[[#This Row],[Objednavatel]],"Ostatné")</f>
        <v>Ostatné</v>
      </c>
      <c r="AN908" s="17" t="str">
        <f>IF(SrcDB[[#This Row],[Pocet zmluv dodavatela]]&gt;3,SrcDB[[#This Row],[Dodavatel]],"Ostatné")</f>
        <v>JUMP soft a.s.</v>
      </c>
    </row>
    <row r="909" spans="1:40" x14ac:dyDescent="0.3">
      <c r="A909" s="2" t="s">
        <v>523</v>
      </c>
      <c r="B909" s="2">
        <v>7611282</v>
      </c>
      <c r="C909" s="3" t="str">
        <f t="shared" si="995"/>
        <v>Nejasné</v>
      </c>
      <c r="D909" s="3" t="str">
        <f t="shared" si="996"/>
        <v>Nejasné</v>
      </c>
      <c r="E909" s="3" t="s">
        <v>49</v>
      </c>
      <c r="F909" s="3" t="s">
        <v>48</v>
      </c>
      <c r="G909" s="2" t="str">
        <f t="shared" si="997"/>
        <v>Stredné zmluvy</v>
      </c>
      <c r="H909" s="5" t="s">
        <v>969</v>
      </c>
      <c r="I909" s="2" t="s">
        <v>970</v>
      </c>
      <c r="J909" s="2" t="s">
        <v>817</v>
      </c>
      <c r="K909" s="5">
        <v>46117491</v>
      </c>
      <c r="L909" s="2" t="s">
        <v>707</v>
      </c>
      <c r="M909" s="2" t="s">
        <v>708</v>
      </c>
      <c r="N909" s="6">
        <v>44998.453541666669</v>
      </c>
      <c r="O909" s="4">
        <v>3911040</v>
      </c>
      <c r="P909" s="2">
        <v>114688</v>
      </c>
      <c r="Q909" s="2" t="s">
        <v>1110</v>
      </c>
      <c r="R909" s="2" t="s">
        <v>1111</v>
      </c>
      <c r="S909" s="2" t="s">
        <v>56</v>
      </c>
      <c r="T909" s="2" t="s">
        <v>288</v>
      </c>
      <c r="U909" s="2" t="s">
        <v>289</v>
      </c>
      <c r="W909" s="4">
        <v>300</v>
      </c>
      <c r="X909" s="4">
        <v>360</v>
      </c>
      <c r="Y909" s="4">
        <f t="shared" ref="Y909" si="1011">INDEX(InternalRates,MATCH($S909,InternalRates01,FALSE),2)</f>
        <v>278.98333333333335</v>
      </c>
      <c r="Z909" s="3" t="str">
        <f t="shared" si="960"/>
        <v>Nie</v>
      </c>
      <c r="AA909" s="3" t="str">
        <f t="shared" si="961"/>
        <v>ZoD</v>
      </c>
      <c r="AB909" s="4">
        <v>210</v>
      </c>
      <c r="AC909" s="4">
        <v>52.5</v>
      </c>
      <c r="AD909" s="3" t="s">
        <v>48</v>
      </c>
      <c r="AE909" s="6">
        <v>45544</v>
      </c>
      <c r="AF909" s="3" t="s">
        <v>59</v>
      </c>
      <c r="AG909" s="3" t="s">
        <v>48</v>
      </c>
      <c r="AH909" s="3">
        <f>YEAR(SrcDB[[#This Row],[Datum_zverejnenia]])</f>
        <v>2023</v>
      </c>
      <c r="AI909" s="3" cm="1">
        <f t="array" ref="AI909">COUNT(_xlfn.UNIQUE(_xlfn._xlws.FILTER(SrcDB[ID],SrcDB[Objednavatel_ICO]=$H909)))</f>
        <v>3</v>
      </c>
      <c r="AJ909" s="3" cm="1">
        <f t="array" ref="AJ909">COUNT(_xlfn.UNIQUE(_xlfn._xlws.FILTER(SrcDB[ID],SrcDB[Dodavatel_ICO]=$K909)))</f>
        <v>7</v>
      </c>
      <c r="AK909" s="3">
        <f t="shared" si="1001"/>
        <v>0</v>
      </c>
      <c r="AL909" s="3">
        <f t="shared" si="1002"/>
        <v>0</v>
      </c>
      <c r="AM909" s="17" t="str">
        <f>IF(SrcDB[[#This Row],[Pocet zmluv objednavatela]]&gt;3,SrcDB[[#This Row],[Objednavatel]],"Ostatné")</f>
        <v>Ostatné</v>
      </c>
      <c r="AN909" s="17" t="str">
        <f>IF(SrcDB[[#This Row],[Pocet zmluv dodavatela]]&gt;3,SrcDB[[#This Row],[Dodavatel]],"Ostatné")</f>
        <v>JUMP soft a.s.</v>
      </c>
    </row>
    <row r="910" spans="1:40" x14ac:dyDescent="0.3">
      <c r="A910" s="2" t="s">
        <v>523</v>
      </c>
      <c r="B910" s="2">
        <v>7611282</v>
      </c>
      <c r="C910" s="3" t="str">
        <f t="shared" si="995"/>
        <v>Nejasné</v>
      </c>
      <c r="D910" s="3" t="str">
        <f t="shared" si="996"/>
        <v>Nejasné</v>
      </c>
      <c r="E910" s="3" t="s">
        <v>49</v>
      </c>
      <c r="F910" s="3" t="s">
        <v>48</v>
      </c>
      <c r="G910" s="2" t="str">
        <f t="shared" si="997"/>
        <v>Stredné zmluvy</v>
      </c>
      <c r="H910" s="5" t="s">
        <v>969</v>
      </c>
      <c r="I910" s="2" t="s">
        <v>970</v>
      </c>
      <c r="J910" s="2" t="s">
        <v>817</v>
      </c>
      <c r="K910" s="5">
        <v>46117491</v>
      </c>
      <c r="L910" s="2" t="s">
        <v>707</v>
      </c>
      <c r="M910" s="2" t="s">
        <v>708</v>
      </c>
      <c r="N910" s="6">
        <v>44998.453541666669</v>
      </c>
      <c r="O910" s="4">
        <v>3911040</v>
      </c>
      <c r="P910" s="2">
        <v>114688</v>
      </c>
      <c r="Q910" s="2" t="s">
        <v>1110</v>
      </c>
      <c r="R910" s="2" t="s">
        <v>1111</v>
      </c>
      <c r="S910" s="2" t="s">
        <v>77</v>
      </c>
      <c r="T910" s="2" t="s">
        <v>1118</v>
      </c>
      <c r="W910" s="4">
        <v>290</v>
      </c>
      <c r="X910" s="4">
        <v>348</v>
      </c>
      <c r="Y910" s="4">
        <f t="shared" ref="Y910" si="1012">INDEX(InternalRates,MATCH($S910,InternalRates01,FALSE),2)</f>
        <v>278.98333333333335</v>
      </c>
      <c r="Z910" s="3" t="str">
        <f t="shared" si="960"/>
        <v>Nie</v>
      </c>
      <c r="AA910" s="3" t="str">
        <f t="shared" si="961"/>
        <v>ZoD</v>
      </c>
      <c r="AB910" s="4">
        <v>210</v>
      </c>
      <c r="AC910" s="4">
        <v>52.5</v>
      </c>
      <c r="AD910" s="3" t="s">
        <v>48</v>
      </c>
      <c r="AE910" s="6">
        <v>45544</v>
      </c>
      <c r="AF910" s="3" t="s">
        <v>59</v>
      </c>
      <c r="AG910" s="3" t="s">
        <v>48</v>
      </c>
      <c r="AH910" s="3">
        <f>YEAR(SrcDB[[#This Row],[Datum_zverejnenia]])</f>
        <v>2023</v>
      </c>
      <c r="AI910" s="3" cm="1">
        <f t="array" ref="AI910">COUNT(_xlfn.UNIQUE(_xlfn._xlws.FILTER(SrcDB[ID],SrcDB[Objednavatel_ICO]=$H910)))</f>
        <v>3</v>
      </c>
      <c r="AJ910" s="3" cm="1">
        <f t="array" ref="AJ910">COUNT(_xlfn.UNIQUE(_xlfn._xlws.FILTER(SrcDB[ID],SrcDB[Dodavatel_ICO]=$K910)))</f>
        <v>7</v>
      </c>
      <c r="AK910" s="3">
        <f t="shared" si="1001"/>
        <v>0</v>
      </c>
      <c r="AL910" s="3">
        <f t="shared" si="1002"/>
        <v>0</v>
      </c>
      <c r="AM910" s="17" t="str">
        <f>IF(SrcDB[[#This Row],[Pocet zmluv objednavatela]]&gt;3,SrcDB[[#This Row],[Objednavatel]],"Ostatné")</f>
        <v>Ostatné</v>
      </c>
      <c r="AN910" s="17" t="str">
        <f>IF(SrcDB[[#This Row],[Pocet zmluv dodavatela]]&gt;3,SrcDB[[#This Row],[Dodavatel]],"Ostatné")</f>
        <v>JUMP soft a.s.</v>
      </c>
    </row>
    <row r="911" spans="1:40" x14ac:dyDescent="0.3">
      <c r="A911" s="2" t="s">
        <v>523</v>
      </c>
      <c r="B911" s="2">
        <v>7611282</v>
      </c>
      <c r="C911" s="3" t="str">
        <f t="shared" si="995"/>
        <v>Nejasné</v>
      </c>
      <c r="D911" s="3" t="str">
        <f t="shared" si="996"/>
        <v>Nejasné</v>
      </c>
      <c r="E911" s="3" t="s">
        <v>49</v>
      </c>
      <c r="F911" s="3" t="s">
        <v>48</v>
      </c>
      <c r="G911" s="2" t="str">
        <f t="shared" si="997"/>
        <v>Stredné zmluvy</v>
      </c>
      <c r="H911" s="5" t="s">
        <v>969</v>
      </c>
      <c r="I911" s="2" t="s">
        <v>970</v>
      </c>
      <c r="J911" s="2" t="s">
        <v>817</v>
      </c>
      <c r="K911" s="5">
        <v>46117491</v>
      </c>
      <c r="L911" s="2" t="s">
        <v>707</v>
      </c>
      <c r="M911" s="2" t="s">
        <v>708</v>
      </c>
      <c r="N911" s="6">
        <v>44998.453541666669</v>
      </c>
      <c r="O911" s="4">
        <v>3911040</v>
      </c>
      <c r="P911" s="2">
        <v>114688</v>
      </c>
      <c r="Q911" s="2" t="s">
        <v>1110</v>
      </c>
      <c r="R911" s="2" t="s">
        <v>1111</v>
      </c>
      <c r="S911" s="2" t="s">
        <v>56</v>
      </c>
      <c r="T911" s="2" t="s">
        <v>1119</v>
      </c>
      <c r="U911" s="2" t="s">
        <v>95</v>
      </c>
      <c r="W911" s="4">
        <v>350</v>
      </c>
      <c r="X911" s="4">
        <v>420</v>
      </c>
      <c r="Y911" s="4">
        <f t="shared" ref="Y911" si="1013">INDEX(InternalRates,MATCH($S911,InternalRates01,FALSE),2)</f>
        <v>278.98333333333335</v>
      </c>
      <c r="Z911" s="3" t="str">
        <f t="shared" si="960"/>
        <v>Nie</v>
      </c>
      <c r="AA911" s="3" t="str">
        <f t="shared" si="961"/>
        <v>ZoD</v>
      </c>
      <c r="AB911" s="4">
        <v>210</v>
      </c>
      <c r="AC911" s="4">
        <v>52.5</v>
      </c>
      <c r="AD911" s="3" t="s">
        <v>48</v>
      </c>
      <c r="AE911" s="6">
        <v>45544</v>
      </c>
      <c r="AF911" s="3" t="s">
        <v>59</v>
      </c>
      <c r="AG911" s="3" t="s">
        <v>48</v>
      </c>
      <c r="AH911" s="3">
        <f>YEAR(SrcDB[[#This Row],[Datum_zverejnenia]])</f>
        <v>2023</v>
      </c>
      <c r="AI911" s="3" cm="1">
        <f t="array" ref="AI911">COUNT(_xlfn.UNIQUE(_xlfn._xlws.FILTER(SrcDB[ID],SrcDB[Objednavatel_ICO]=$H911)))</f>
        <v>3</v>
      </c>
      <c r="AJ911" s="3" cm="1">
        <f t="array" ref="AJ911">COUNT(_xlfn.UNIQUE(_xlfn._xlws.FILTER(SrcDB[ID],SrcDB[Dodavatel_ICO]=$K911)))</f>
        <v>7</v>
      </c>
      <c r="AK911" s="3">
        <f t="shared" si="1001"/>
        <v>0</v>
      </c>
      <c r="AL911" s="3">
        <f t="shared" si="1002"/>
        <v>0</v>
      </c>
      <c r="AM911" s="17" t="str">
        <f>IF(SrcDB[[#This Row],[Pocet zmluv objednavatela]]&gt;3,SrcDB[[#This Row],[Objednavatel]],"Ostatné")</f>
        <v>Ostatné</v>
      </c>
      <c r="AN911" s="17" t="str">
        <f>IF(SrcDB[[#This Row],[Pocet zmluv dodavatela]]&gt;3,SrcDB[[#This Row],[Dodavatel]],"Ostatné")</f>
        <v>JUMP soft a.s.</v>
      </c>
    </row>
    <row r="912" spans="1:40" x14ac:dyDescent="0.3">
      <c r="A912" s="2" t="s">
        <v>523</v>
      </c>
      <c r="B912" s="2">
        <v>7611282</v>
      </c>
      <c r="C912" s="3" t="str">
        <f t="shared" si="995"/>
        <v>Nejasné</v>
      </c>
      <c r="D912" s="3" t="str">
        <f t="shared" si="996"/>
        <v>Nejasné</v>
      </c>
      <c r="E912" s="3" t="s">
        <v>49</v>
      </c>
      <c r="F912" s="3" t="s">
        <v>48</v>
      </c>
      <c r="G912" s="2" t="str">
        <f t="shared" si="997"/>
        <v>Stredné zmluvy</v>
      </c>
      <c r="H912" s="5" t="s">
        <v>969</v>
      </c>
      <c r="I912" s="2" t="s">
        <v>970</v>
      </c>
      <c r="J912" s="2" t="s">
        <v>817</v>
      </c>
      <c r="K912" s="5">
        <v>46117491</v>
      </c>
      <c r="L912" s="2" t="s">
        <v>707</v>
      </c>
      <c r="M912" s="2" t="s">
        <v>708</v>
      </c>
      <c r="N912" s="6">
        <v>44998.453541666669</v>
      </c>
      <c r="O912" s="4">
        <v>3911040</v>
      </c>
      <c r="P912" s="2">
        <v>114688</v>
      </c>
      <c r="Q912" s="2" t="s">
        <v>1110</v>
      </c>
      <c r="R912" s="2" t="s">
        <v>1111</v>
      </c>
      <c r="S912" s="2" t="s">
        <v>56</v>
      </c>
      <c r="T912" s="2" t="s">
        <v>96</v>
      </c>
      <c r="U912" s="2" t="s">
        <v>97</v>
      </c>
      <c r="W912" s="4">
        <v>300</v>
      </c>
      <c r="X912" s="4">
        <v>360</v>
      </c>
      <c r="Y912" s="4">
        <f t="shared" ref="Y912" si="1014">INDEX(InternalRates,MATCH($S912,InternalRates01,FALSE),2)</f>
        <v>278.98333333333335</v>
      </c>
      <c r="Z912" s="3" t="str">
        <f t="shared" si="960"/>
        <v>Nie</v>
      </c>
      <c r="AA912" s="3" t="str">
        <f t="shared" si="961"/>
        <v>ZoD</v>
      </c>
      <c r="AB912" s="4">
        <v>210</v>
      </c>
      <c r="AC912" s="4">
        <v>52.5</v>
      </c>
      <c r="AD912" s="3" t="s">
        <v>48</v>
      </c>
      <c r="AE912" s="6">
        <v>45544</v>
      </c>
      <c r="AF912" s="3" t="s">
        <v>59</v>
      </c>
      <c r="AG912" s="3" t="s">
        <v>48</v>
      </c>
      <c r="AH912" s="3">
        <f>YEAR(SrcDB[[#This Row],[Datum_zverejnenia]])</f>
        <v>2023</v>
      </c>
      <c r="AI912" s="3" cm="1">
        <f t="array" ref="AI912">COUNT(_xlfn.UNIQUE(_xlfn._xlws.FILTER(SrcDB[ID],SrcDB[Objednavatel_ICO]=$H912)))</f>
        <v>3</v>
      </c>
      <c r="AJ912" s="3" cm="1">
        <f t="array" ref="AJ912">COUNT(_xlfn.UNIQUE(_xlfn._xlws.FILTER(SrcDB[ID],SrcDB[Dodavatel_ICO]=$K912)))</f>
        <v>7</v>
      </c>
      <c r="AK912" s="3">
        <f t="shared" si="1001"/>
        <v>0</v>
      </c>
      <c r="AL912" s="3">
        <f t="shared" si="1002"/>
        <v>0</v>
      </c>
      <c r="AM912" s="17" t="str">
        <f>IF(SrcDB[[#This Row],[Pocet zmluv objednavatela]]&gt;3,SrcDB[[#This Row],[Objednavatel]],"Ostatné")</f>
        <v>Ostatné</v>
      </c>
      <c r="AN912" s="17" t="str">
        <f>IF(SrcDB[[#This Row],[Pocet zmluv dodavatela]]&gt;3,SrcDB[[#This Row],[Dodavatel]],"Ostatné")</f>
        <v>JUMP soft a.s.</v>
      </c>
    </row>
    <row r="913" spans="1:40" x14ac:dyDescent="0.3">
      <c r="A913" s="2" t="s">
        <v>523</v>
      </c>
      <c r="B913" s="2">
        <v>7611381</v>
      </c>
      <c r="C913" s="3" t="str">
        <f t="shared" si="995"/>
        <v>Nejasné</v>
      </c>
      <c r="D913" s="3" t="str">
        <f t="shared" si="996"/>
        <v>Nejasné</v>
      </c>
      <c r="E913" s="3" t="s">
        <v>49</v>
      </c>
      <c r="F913" s="3" t="s">
        <v>48</v>
      </c>
      <c r="G913" s="2" t="str">
        <f t="shared" si="997"/>
        <v>Stredné zmluvy</v>
      </c>
      <c r="H913" s="5" t="s">
        <v>969</v>
      </c>
      <c r="I913" s="2" t="s">
        <v>970</v>
      </c>
      <c r="J913" s="2" t="s">
        <v>817</v>
      </c>
      <c r="K913" s="5">
        <v>31326650</v>
      </c>
      <c r="L913" s="2" t="s">
        <v>156</v>
      </c>
      <c r="M913" s="2" t="s">
        <v>1120</v>
      </c>
      <c r="N913" s="6">
        <v>44998.453726851854</v>
      </c>
      <c r="O913" s="4">
        <v>4042080</v>
      </c>
      <c r="P913" s="2">
        <v>114688</v>
      </c>
      <c r="Q913" s="2" t="s">
        <v>1121</v>
      </c>
      <c r="R913" s="2" t="s">
        <v>1122</v>
      </c>
      <c r="S913" s="2" t="s">
        <v>102</v>
      </c>
      <c r="T913" s="2" t="s">
        <v>1123</v>
      </c>
      <c r="W913" s="4">
        <v>350</v>
      </c>
      <c r="X913" s="4">
        <v>420</v>
      </c>
      <c r="Y913" s="4">
        <f t="shared" ref="Y913" si="1015">INDEX(InternalRates,MATCH($S913,InternalRates01,FALSE),2)</f>
        <v>278.98333333333335</v>
      </c>
      <c r="Z913" s="3" t="str">
        <f t="shared" si="960"/>
        <v>Nie</v>
      </c>
      <c r="AA913" s="3" t="str">
        <f t="shared" si="961"/>
        <v>ZoD</v>
      </c>
      <c r="AB913" s="4">
        <v>210</v>
      </c>
      <c r="AC913" s="4">
        <v>52.5</v>
      </c>
      <c r="AD913" s="3" t="s">
        <v>48</v>
      </c>
      <c r="AE913" s="6">
        <v>45544</v>
      </c>
      <c r="AF913" s="3" t="s">
        <v>59</v>
      </c>
      <c r="AG913" s="3" t="s">
        <v>48</v>
      </c>
      <c r="AH913" s="3">
        <f>YEAR(SrcDB[[#This Row],[Datum_zverejnenia]])</f>
        <v>2023</v>
      </c>
      <c r="AI913" s="3" cm="1">
        <f t="array" ref="AI913">COUNT(_xlfn.UNIQUE(_xlfn._xlws.FILTER(SrcDB[ID],SrcDB[Objednavatel_ICO]=$H913)))</f>
        <v>3</v>
      </c>
      <c r="AJ913" s="3" cm="1">
        <f t="array" ref="AJ913">COUNT(_xlfn.UNIQUE(_xlfn._xlws.FILTER(SrcDB[ID],SrcDB[Dodavatel_ICO]=$K913)))</f>
        <v>8</v>
      </c>
      <c r="AK913" s="3">
        <f t="shared" si="1001"/>
        <v>1</v>
      </c>
      <c r="AL913" s="3">
        <f t="shared" si="1002"/>
        <v>1</v>
      </c>
      <c r="AM913" s="17" t="str">
        <f>IF(SrcDB[[#This Row],[Pocet zmluv objednavatela]]&gt;3,SrcDB[[#This Row],[Objednavatel]],"Ostatné")</f>
        <v>Ostatné</v>
      </c>
      <c r="AN913" s="17" t="str">
        <f>IF(SrcDB[[#This Row],[Pocet zmluv dodavatela]]&gt;3,SrcDB[[#This Row],[Dodavatel]],"Ostatné")</f>
        <v>TEMPEST a.s.</v>
      </c>
    </row>
    <row r="914" spans="1:40" x14ac:dyDescent="0.3">
      <c r="A914" s="2" t="s">
        <v>523</v>
      </c>
      <c r="B914" s="2">
        <v>7611381</v>
      </c>
      <c r="C914" s="3" t="str">
        <f t="shared" si="995"/>
        <v>Nejasné</v>
      </c>
      <c r="D914" s="3" t="str">
        <f t="shared" si="996"/>
        <v>Nejasné</v>
      </c>
      <c r="E914" s="3" t="s">
        <v>49</v>
      </c>
      <c r="F914" s="3" t="s">
        <v>48</v>
      </c>
      <c r="G914" s="2" t="str">
        <f t="shared" si="997"/>
        <v>Stredné zmluvy</v>
      </c>
      <c r="H914" s="5" t="s">
        <v>969</v>
      </c>
      <c r="I914" s="2" t="s">
        <v>970</v>
      </c>
      <c r="J914" s="2" t="s">
        <v>817</v>
      </c>
      <c r="K914" s="5">
        <v>31326650</v>
      </c>
      <c r="L914" s="2" t="s">
        <v>156</v>
      </c>
      <c r="M914" s="2" t="s">
        <v>1120</v>
      </c>
      <c r="N914" s="6">
        <v>44998.453726851854</v>
      </c>
      <c r="O914" s="4">
        <v>4042080</v>
      </c>
      <c r="P914" s="2">
        <v>114688</v>
      </c>
      <c r="Q914" s="2" t="s">
        <v>1121</v>
      </c>
      <c r="R914" s="2" t="s">
        <v>1122</v>
      </c>
      <c r="S914" s="2" t="s">
        <v>69</v>
      </c>
      <c r="T914" s="2" t="s">
        <v>285</v>
      </c>
      <c r="W914" s="4">
        <v>400</v>
      </c>
      <c r="X914" s="4">
        <v>480</v>
      </c>
      <c r="Y914" s="4">
        <f t="shared" ref="Y914" si="1016">INDEX(InternalRates,MATCH($S914,InternalRates01,FALSE),2)</f>
        <v>278.98333333333335</v>
      </c>
      <c r="Z914" s="3" t="str">
        <f t="shared" si="960"/>
        <v>Nie</v>
      </c>
      <c r="AA914" s="3" t="str">
        <f t="shared" si="961"/>
        <v>ZoD</v>
      </c>
      <c r="AB914" s="4">
        <v>420</v>
      </c>
      <c r="AC914" s="4">
        <v>105</v>
      </c>
      <c r="AD914" s="3" t="s">
        <v>48</v>
      </c>
      <c r="AE914" s="6">
        <v>45544</v>
      </c>
      <c r="AF914" s="3" t="s">
        <v>59</v>
      </c>
      <c r="AG914" s="3" t="s">
        <v>48</v>
      </c>
      <c r="AH914" s="3">
        <f>YEAR(SrcDB[[#This Row],[Datum_zverejnenia]])</f>
        <v>2023</v>
      </c>
      <c r="AI914" s="3" cm="1">
        <f t="array" ref="AI914">COUNT(_xlfn.UNIQUE(_xlfn._xlws.FILTER(SrcDB[ID],SrcDB[Objednavatel_ICO]=$H914)))</f>
        <v>3</v>
      </c>
      <c r="AJ914" s="3" cm="1">
        <f t="array" ref="AJ914">COUNT(_xlfn.UNIQUE(_xlfn._xlws.FILTER(SrcDB[ID],SrcDB[Dodavatel_ICO]=$K914)))</f>
        <v>8</v>
      </c>
      <c r="AK914" s="3">
        <f t="shared" si="1001"/>
        <v>0</v>
      </c>
      <c r="AL914" s="3">
        <f t="shared" si="1002"/>
        <v>0</v>
      </c>
      <c r="AM914" s="17" t="str">
        <f>IF(SrcDB[[#This Row],[Pocet zmluv objednavatela]]&gt;3,SrcDB[[#This Row],[Objednavatel]],"Ostatné")</f>
        <v>Ostatné</v>
      </c>
      <c r="AN914" s="17" t="str">
        <f>IF(SrcDB[[#This Row],[Pocet zmluv dodavatela]]&gt;3,SrcDB[[#This Row],[Dodavatel]],"Ostatné")</f>
        <v>TEMPEST a.s.</v>
      </c>
    </row>
    <row r="915" spans="1:40" x14ac:dyDescent="0.3">
      <c r="A915" s="2" t="s">
        <v>523</v>
      </c>
      <c r="B915" s="2">
        <v>7611381</v>
      </c>
      <c r="C915" s="3" t="str">
        <f t="shared" si="995"/>
        <v>Nejasné</v>
      </c>
      <c r="D915" s="3" t="str">
        <f t="shared" si="996"/>
        <v>Nejasné</v>
      </c>
      <c r="E915" s="3" t="s">
        <v>49</v>
      </c>
      <c r="F915" s="3" t="s">
        <v>48</v>
      </c>
      <c r="G915" s="2" t="str">
        <f t="shared" si="997"/>
        <v>Stredné zmluvy</v>
      </c>
      <c r="H915" s="5" t="s">
        <v>969</v>
      </c>
      <c r="I915" s="2" t="s">
        <v>970</v>
      </c>
      <c r="J915" s="2" t="s">
        <v>817</v>
      </c>
      <c r="K915" s="5">
        <v>31326650</v>
      </c>
      <c r="L915" s="2" t="s">
        <v>156</v>
      </c>
      <c r="M915" s="2" t="s">
        <v>1120</v>
      </c>
      <c r="N915" s="6">
        <v>44998.453726851854</v>
      </c>
      <c r="O915" s="4">
        <v>4042080</v>
      </c>
      <c r="P915" s="2">
        <v>114688</v>
      </c>
      <c r="Q915" s="2" t="s">
        <v>1121</v>
      </c>
      <c r="R915" s="2" t="s">
        <v>1122</v>
      </c>
      <c r="S915" s="2" t="s">
        <v>71</v>
      </c>
      <c r="T915" s="2" t="s">
        <v>196</v>
      </c>
      <c r="W915" s="4">
        <v>400</v>
      </c>
      <c r="X915" s="4">
        <v>480</v>
      </c>
      <c r="Y915" s="4">
        <f t="shared" ref="Y915" si="1017">INDEX(InternalRates,MATCH($S915,InternalRates01,FALSE),2)</f>
        <v>354.0333333333333</v>
      </c>
      <c r="Z915" s="3" t="str">
        <f t="shared" si="960"/>
        <v>Nie</v>
      </c>
      <c r="AA915" s="3" t="str">
        <f t="shared" si="961"/>
        <v>ZoD</v>
      </c>
      <c r="AB915" s="4">
        <v>210</v>
      </c>
      <c r="AC915" s="4">
        <v>52.5</v>
      </c>
      <c r="AD915" s="3" t="s">
        <v>48</v>
      </c>
      <c r="AE915" s="6">
        <v>45544</v>
      </c>
      <c r="AF915" s="3" t="s">
        <v>59</v>
      </c>
      <c r="AG915" s="3" t="s">
        <v>48</v>
      </c>
      <c r="AH915" s="3">
        <f>YEAR(SrcDB[[#This Row],[Datum_zverejnenia]])</f>
        <v>2023</v>
      </c>
      <c r="AI915" s="3" cm="1">
        <f t="array" ref="AI915">COUNT(_xlfn.UNIQUE(_xlfn._xlws.FILTER(SrcDB[ID],SrcDB[Objednavatel_ICO]=$H915)))</f>
        <v>3</v>
      </c>
      <c r="AJ915" s="3" cm="1">
        <f t="array" ref="AJ915">COUNT(_xlfn.UNIQUE(_xlfn._xlws.FILTER(SrcDB[ID],SrcDB[Dodavatel_ICO]=$K915)))</f>
        <v>8</v>
      </c>
      <c r="AK915" s="3">
        <f t="shared" si="1001"/>
        <v>0</v>
      </c>
      <c r="AL915" s="3">
        <f t="shared" si="1002"/>
        <v>0</v>
      </c>
      <c r="AM915" s="17" t="str">
        <f>IF(SrcDB[[#This Row],[Pocet zmluv objednavatela]]&gt;3,SrcDB[[#This Row],[Objednavatel]],"Ostatné")</f>
        <v>Ostatné</v>
      </c>
      <c r="AN915" s="17" t="str">
        <f>IF(SrcDB[[#This Row],[Pocet zmluv dodavatela]]&gt;3,SrcDB[[#This Row],[Dodavatel]],"Ostatné")</f>
        <v>TEMPEST a.s.</v>
      </c>
    </row>
    <row r="916" spans="1:40" x14ac:dyDescent="0.3">
      <c r="A916" s="2" t="s">
        <v>523</v>
      </c>
      <c r="B916" s="2">
        <v>7611381</v>
      </c>
      <c r="C916" s="3" t="str">
        <f t="shared" si="995"/>
        <v>Nejasné</v>
      </c>
      <c r="D916" s="3" t="str">
        <f t="shared" si="996"/>
        <v>Nejasné</v>
      </c>
      <c r="E916" s="3" t="s">
        <v>49</v>
      </c>
      <c r="F916" s="3" t="s">
        <v>48</v>
      </c>
      <c r="G916" s="2" t="str">
        <f t="shared" si="997"/>
        <v>Stredné zmluvy</v>
      </c>
      <c r="H916" s="5" t="s">
        <v>969</v>
      </c>
      <c r="I916" s="2" t="s">
        <v>970</v>
      </c>
      <c r="J916" s="2" t="s">
        <v>817</v>
      </c>
      <c r="K916" s="5">
        <v>31326650</v>
      </c>
      <c r="L916" s="2" t="s">
        <v>156</v>
      </c>
      <c r="M916" s="2" t="s">
        <v>1120</v>
      </c>
      <c r="N916" s="6">
        <v>44998.453726851854</v>
      </c>
      <c r="O916" s="4">
        <v>4042080</v>
      </c>
      <c r="P916" s="2">
        <v>114688</v>
      </c>
      <c r="Q916" s="2" t="s">
        <v>1121</v>
      </c>
      <c r="R916" s="2" t="s">
        <v>1122</v>
      </c>
      <c r="S916" s="2" t="s">
        <v>102</v>
      </c>
      <c r="T916" s="2" t="s">
        <v>1124</v>
      </c>
      <c r="W916" s="4">
        <v>350</v>
      </c>
      <c r="X916" s="4">
        <v>420</v>
      </c>
      <c r="Y916" s="4">
        <f t="shared" ref="Y916" si="1018">INDEX(InternalRates,MATCH($S916,InternalRates01,FALSE),2)</f>
        <v>278.98333333333335</v>
      </c>
      <c r="Z916" s="3" t="str">
        <f t="shared" si="960"/>
        <v>Nie</v>
      </c>
      <c r="AA916" s="3" t="str">
        <f t="shared" si="961"/>
        <v>ZoD</v>
      </c>
      <c r="AB916" s="4">
        <v>210</v>
      </c>
      <c r="AC916" s="4">
        <v>52.5</v>
      </c>
      <c r="AD916" s="3" t="s">
        <v>48</v>
      </c>
      <c r="AE916" s="6">
        <v>45544</v>
      </c>
      <c r="AF916" s="3" t="s">
        <v>59</v>
      </c>
      <c r="AG916" s="3" t="s">
        <v>48</v>
      </c>
      <c r="AH916" s="3">
        <f>YEAR(SrcDB[[#This Row],[Datum_zverejnenia]])</f>
        <v>2023</v>
      </c>
      <c r="AI916" s="3" cm="1">
        <f t="array" ref="AI916">COUNT(_xlfn.UNIQUE(_xlfn._xlws.FILTER(SrcDB[ID],SrcDB[Objednavatel_ICO]=$H916)))</f>
        <v>3</v>
      </c>
      <c r="AJ916" s="3" cm="1">
        <f t="array" ref="AJ916">COUNT(_xlfn.UNIQUE(_xlfn._xlws.FILTER(SrcDB[ID],SrcDB[Dodavatel_ICO]=$K916)))</f>
        <v>8</v>
      </c>
      <c r="AK916" s="3">
        <f t="shared" si="1001"/>
        <v>0</v>
      </c>
      <c r="AL916" s="3">
        <f t="shared" si="1002"/>
        <v>0</v>
      </c>
      <c r="AM916" s="17" t="str">
        <f>IF(SrcDB[[#This Row],[Pocet zmluv objednavatela]]&gt;3,SrcDB[[#This Row],[Objednavatel]],"Ostatné")</f>
        <v>Ostatné</v>
      </c>
      <c r="AN916" s="17" t="str">
        <f>IF(SrcDB[[#This Row],[Pocet zmluv dodavatela]]&gt;3,SrcDB[[#This Row],[Dodavatel]],"Ostatné")</f>
        <v>TEMPEST a.s.</v>
      </c>
    </row>
    <row r="917" spans="1:40" x14ac:dyDescent="0.3">
      <c r="A917" s="2" t="s">
        <v>523</v>
      </c>
      <c r="B917" s="2">
        <v>7611381</v>
      </c>
      <c r="C917" s="3" t="str">
        <f t="shared" si="995"/>
        <v>Nejasné</v>
      </c>
      <c r="D917" s="3" t="str">
        <f t="shared" si="996"/>
        <v>Nejasné</v>
      </c>
      <c r="E917" s="3" t="s">
        <v>49</v>
      </c>
      <c r="F917" s="3" t="s">
        <v>48</v>
      </c>
      <c r="G917" s="2" t="str">
        <f t="shared" si="997"/>
        <v>Stredné zmluvy</v>
      </c>
      <c r="H917" s="5" t="s">
        <v>969</v>
      </c>
      <c r="I917" s="2" t="s">
        <v>970</v>
      </c>
      <c r="J917" s="2" t="s">
        <v>817</v>
      </c>
      <c r="K917" s="5">
        <v>31326650</v>
      </c>
      <c r="L917" s="2" t="s">
        <v>156</v>
      </c>
      <c r="M917" s="2" t="s">
        <v>1120</v>
      </c>
      <c r="N917" s="6">
        <v>44998.453726851854</v>
      </c>
      <c r="O917" s="4">
        <v>4042080</v>
      </c>
      <c r="P917" s="2">
        <v>114688</v>
      </c>
      <c r="Q917" s="2" t="s">
        <v>1121</v>
      </c>
      <c r="R917" s="2" t="s">
        <v>1122</v>
      </c>
      <c r="S917" s="2" t="s">
        <v>102</v>
      </c>
      <c r="T917" s="2" t="s">
        <v>1125</v>
      </c>
      <c r="W917" s="4">
        <v>350</v>
      </c>
      <c r="X917" s="4">
        <v>420</v>
      </c>
      <c r="Y917" s="4">
        <f t="shared" ref="Y917" si="1019">INDEX(InternalRates,MATCH($S917,InternalRates01,FALSE),2)</f>
        <v>278.98333333333335</v>
      </c>
      <c r="Z917" s="3" t="str">
        <f t="shared" si="960"/>
        <v>Nie</v>
      </c>
      <c r="AA917" s="3" t="str">
        <f t="shared" si="961"/>
        <v>ZoD</v>
      </c>
      <c r="AB917" s="4">
        <v>420</v>
      </c>
      <c r="AC917" s="4">
        <v>105</v>
      </c>
      <c r="AD917" s="3" t="s">
        <v>48</v>
      </c>
      <c r="AE917" s="6">
        <v>45544</v>
      </c>
      <c r="AF917" s="3" t="s">
        <v>59</v>
      </c>
      <c r="AG917" s="3" t="s">
        <v>48</v>
      </c>
      <c r="AH917" s="3">
        <f>YEAR(SrcDB[[#This Row],[Datum_zverejnenia]])</f>
        <v>2023</v>
      </c>
      <c r="AI917" s="3" cm="1">
        <f t="array" ref="AI917">COUNT(_xlfn.UNIQUE(_xlfn._xlws.FILTER(SrcDB[ID],SrcDB[Objednavatel_ICO]=$H917)))</f>
        <v>3</v>
      </c>
      <c r="AJ917" s="3" cm="1">
        <f t="array" ref="AJ917">COUNT(_xlfn.UNIQUE(_xlfn._xlws.FILTER(SrcDB[ID],SrcDB[Dodavatel_ICO]=$K917)))</f>
        <v>8</v>
      </c>
      <c r="AK917" s="3">
        <f t="shared" si="1001"/>
        <v>0</v>
      </c>
      <c r="AL917" s="3">
        <f t="shared" si="1002"/>
        <v>0</v>
      </c>
      <c r="AM917" s="17" t="str">
        <f>IF(SrcDB[[#This Row],[Pocet zmluv objednavatela]]&gt;3,SrcDB[[#This Row],[Objednavatel]],"Ostatné")</f>
        <v>Ostatné</v>
      </c>
      <c r="AN917" s="17" t="str">
        <f>IF(SrcDB[[#This Row],[Pocet zmluv dodavatela]]&gt;3,SrcDB[[#This Row],[Dodavatel]],"Ostatné")</f>
        <v>TEMPEST a.s.</v>
      </c>
    </row>
    <row r="918" spans="1:40" x14ac:dyDescent="0.3">
      <c r="A918" s="2" t="s">
        <v>523</v>
      </c>
      <c r="B918" s="2">
        <v>7611381</v>
      </c>
      <c r="C918" s="3" t="str">
        <f t="shared" si="995"/>
        <v>Nejasné</v>
      </c>
      <c r="D918" s="3" t="str">
        <f t="shared" si="996"/>
        <v>Nejasné</v>
      </c>
      <c r="E918" s="3" t="s">
        <v>49</v>
      </c>
      <c r="F918" s="3" t="s">
        <v>48</v>
      </c>
      <c r="G918" s="2" t="str">
        <f t="shared" si="997"/>
        <v>Stredné zmluvy</v>
      </c>
      <c r="H918" s="5" t="s">
        <v>969</v>
      </c>
      <c r="I918" s="2" t="s">
        <v>970</v>
      </c>
      <c r="J918" s="2" t="s">
        <v>817</v>
      </c>
      <c r="K918" s="5">
        <v>31326650</v>
      </c>
      <c r="L918" s="2" t="s">
        <v>156</v>
      </c>
      <c r="M918" s="2" t="s">
        <v>1120</v>
      </c>
      <c r="N918" s="6">
        <v>44998.453726851854</v>
      </c>
      <c r="O918" s="4">
        <v>4042080</v>
      </c>
      <c r="P918" s="2">
        <v>114688</v>
      </c>
      <c r="Q918" s="2" t="s">
        <v>1121</v>
      </c>
      <c r="R918" s="2" t="s">
        <v>1122</v>
      </c>
      <c r="S918" s="2" t="s">
        <v>56</v>
      </c>
      <c r="T918" s="2" t="s">
        <v>1112</v>
      </c>
      <c r="U918" s="2" t="s">
        <v>76</v>
      </c>
      <c r="W918" s="4">
        <v>350</v>
      </c>
      <c r="X918" s="4">
        <v>420</v>
      </c>
      <c r="Y918" s="4">
        <f t="shared" ref="Y918" si="1020">INDEX(InternalRates,MATCH($S918,InternalRates01,FALSE),2)</f>
        <v>278.98333333333335</v>
      </c>
      <c r="Z918" s="3" t="str">
        <f t="shared" si="960"/>
        <v>Nie</v>
      </c>
      <c r="AA918" s="3" t="str">
        <f t="shared" si="961"/>
        <v>ZoD</v>
      </c>
      <c r="AB918" s="4">
        <v>210</v>
      </c>
      <c r="AC918" s="4">
        <v>52.5</v>
      </c>
      <c r="AD918" s="3" t="s">
        <v>48</v>
      </c>
      <c r="AE918" s="6">
        <v>45544</v>
      </c>
      <c r="AF918" s="3" t="s">
        <v>59</v>
      </c>
      <c r="AG918" s="3" t="s">
        <v>48</v>
      </c>
      <c r="AH918" s="3">
        <f>YEAR(SrcDB[[#This Row],[Datum_zverejnenia]])</f>
        <v>2023</v>
      </c>
      <c r="AI918" s="3" cm="1">
        <f t="array" ref="AI918">COUNT(_xlfn.UNIQUE(_xlfn._xlws.FILTER(SrcDB[ID],SrcDB[Objednavatel_ICO]=$H918)))</f>
        <v>3</v>
      </c>
      <c r="AJ918" s="3" cm="1">
        <f t="array" ref="AJ918">COUNT(_xlfn.UNIQUE(_xlfn._xlws.FILTER(SrcDB[ID],SrcDB[Dodavatel_ICO]=$K918)))</f>
        <v>8</v>
      </c>
      <c r="AK918" s="3">
        <f t="shared" si="1001"/>
        <v>0</v>
      </c>
      <c r="AL918" s="3">
        <f t="shared" si="1002"/>
        <v>0</v>
      </c>
      <c r="AM918" s="17" t="str">
        <f>IF(SrcDB[[#This Row],[Pocet zmluv objednavatela]]&gt;3,SrcDB[[#This Row],[Objednavatel]],"Ostatné")</f>
        <v>Ostatné</v>
      </c>
      <c r="AN918" s="17" t="str">
        <f>IF(SrcDB[[#This Row],[Pocet zmluv dodavatela]]&gt;3,SrcDB[[#This Row],[Dodavatel]],"Ostatné")</f>
        <v>TEMPEST a.s.</v>
      </c>
    </row>
    <row r="919" spans="1:40" x14ac:dyDescent="0.3">
      <c r="A919" s="2" t="s">
        <v>523</v>
      </c>
      <c r="B919" s="2">
        <v>7611381</v>
      </c>
      <c r="C919" s="3" t="str">
        <f t="shared" si="995"/>
        <v>Nejasné</v>
      </c>
      <c r="D919" s="3" t="str">
        <f t="shared" si="996"/>
        <v>Nejasné</v>
      </c>
      <c r="E919" s="3" t="s">
        <v>49</v>
      </c>
      <c r="F919" s="3" t="s">
        <v>48</v>
      </c>
      <c r="G919" s="2" t="str">
        <f t="shared" si="997"/>
        <v>Stredné zmluvy</v>
      </c>
      <c r="H919" s="5" t="s">
        <v>969</v>
      </c>
      <c r="I919" s="2" t="s">
        <v>970</v>
      </c>
      <c r="J919" s="2" t="s">
        <v>817</v>
      </c>
      <c r="K919" s="5">
        <v>31326650</v>
      </c>
      <c r="L919" s="2" t="s">
        <v>156</v>
      </c>
      <c r="M919" s="2" t="s">
        <v>1120</v>
      </c>
      <c r="N919" s="6">
        <v>44998.453726851854</v>
      </c>
      <c r="O919" s="4">
        <v>4042080</v>
      </c>
      <c r="P919" s="2">
        <v>114688</v>
      </c>
      <c r="Q919" s="2" t="s">
        <v>1121</v>
      </c>
      <c r="R919" s="2" t="s">
        <v>1122</v>
      </c>
      <c r="S919" s="2" t="s">
        <v>77</v>
      </c>
      <c r="T919" s="2" t="s">
        <v>1113</v>
      </c>
      <c r="W919" s="4">
        <v>290</v>
      </c>
      <c r="X919" s="4">
        <v>348</v>
      </c>
      <c r="Y919" s="4">
        <f t="shared" ref="Y919" si="1021">INDEX(InternalRates,MATCH($S919,InternalRates01,FALSE),2)</f>
        <v>278.98333333333335</v>
      </c>
      <c r="Z919" s="3" t="str">
        <f t="shared" si="960"/>
        <v>Nie</v>
      </c>
      <c r="AA919" s="3" t="str">
        <f t="shared" si="961"/>
        <v>ZoD</v>
      </c>
      <c r="AB919" s="4">
        <v>2520</v>
      </c>
      <c r="AC919" s="4">
        <v>630</v>
      </c>
      <c r="AD919" s="3" t="s">
        <v>48</v>
      </c>
      <c r="AE919" s="6">
        <v>45544</v>
      </c>
      <c r="AF919" s="3" t="s">
        <v>59</v>
      </c>
      <c r="AG919" s="3" t="s">
        <v>48</v>
      </c>
      <c r="AH919" s="3">
        <f>YEAR(SrcDB[[#This Row],[Datum_zverejnenia]])</f>
        <v>2023</v>
      </c>
      <c r="AI919" s="3" cm="1">
        <f t="array" ref="AI919">COUNT(_xlfn.UNIQUE(_xlfn._xlws.FILTER(SrcDB[ID],SrcDB[Objednavatel_ICO]=$H919)))</f>
        <v>3</v>
      </c>
      <c r="AJ919" s="3" cm="1">
        <f t="array" ref="AJ919">COUNT(_xlfn.UNIQUE(_xlfn._xlws.FILTER(SrcDB[ID],SrcDB[Dodavatel_ICO]=$K919)))</f>
        <v>8</v>
      </c>
      <c r="AK919" s="3">
        <f t="shared" si="1001"/>
        <v>0</v>
      </c>
      <c r="AL919" s="3">
        <f t="shared" si="1002"/>
        <v>0</v>
      </c>
      <c r="AM919" s="17" t="str">
        <f>IF(SrcDB[[#This Row],[Pocet zmluv objednavatela]]&gt;3,SrcDB[[#This Row],[Objednavatel]],"Ostatné")</f>
        <v>Ostatné</v>
      </c>
      <c r="AN919" s="17" t="str">
        <f>IF(SrcDB[[#This Row],[Pocet zmluv dodavatela]]&gt;3,SrcDB[[#This Row],[Dodavatel]],"Ostatné")</f>
        <v>TEMPEST a.s.</v>
      </c>
    </row>
    <row r="920" spans="1:40" x14ac:dyDescent="0.3">
      <c r="A920" s="2" t="s">
        <v>523</v>
      </c>
      <c r="B920" s="2">
        <v>7611381</v>
      </c>
      <c r="C920" s="3" t="str">
        <f t="shared" si="995"/>
        <v>Nejasné</v>
      </c>
      <c r="D920" s="3" t="str">
        <f t="shared" si="996"/>
        <v>Nejasné</v>
      </c>
      <c r="E920" s="3" t="s">
        <v>49</v>
      </c>
      <c r="F920" s="3" t="s">
        <v>48</v>
      </c>
      <c r="G920" s="2" t="str">
        <f t="shared" si="997"/>
        <v>Stredné zmluvy</v>
      </c>
      <c r="H920" s="5" t="s">
        <v>969</v>
      </c>
      <c r="I920" s="2" t="s">
        <v>970</v>
      </c>
      <c r="J920" s="2" t="s">
        <v>817</v>
      </c>
      <c r="K920" s="5">
        <v>31326650</v>
      </c>
      <c r="L920" s="2" t="s">
        <v>156</v>
      </c>
      <c r="M920" s="2" t="s">
        <v>1120</v>
      </c>
      <c r="N920" s="6">
        <v>44998.453726851854</v>
      </c>
      <c r="O920" s="4">
        <v>4042080</v>
      </c>
      <c r="P920" s="2">
        <v>114688</v>
      </c>
      <c r="Q920" s="2" t="s">
        <v>1121</v>
      </c>
      <c r="R920" s="2" t="s">
        <v>1122</v>
      </c>
      <c r="S920" s="2" t="s">
        <v>77</v>
      </c>
      <c r="T920" s="2" t="s">
        <v>1114</v>
      </c>
      <c r="W920" s="4">
        <v>350</v>
      </c>
      <c r="X920" s="4">
        <v>420</v>
      </c>
      <c r="Y920" s="4">
        <f t="shared" ref="Y920" si="1022">INDEX(InternalRates,MATCH($S920,InternalRates01,FALSE),2)</f>
        <v>278.98333333333335</v>
      </c>
      <c r="Z920" s="3" t="str">
        <f t="shared" si="960"/>
        <v>Nie</v>
      </c>
      <c r="AA920" s="3" t="str">
        <f t="shared" si="961"/>
        <v>ZoD</v>
      </c>
      <c r="AB920" s="4">
        <v>210</v>
      </c>
      <c r="AC920" s="4">
        <v>52.5</v>
      </c>
      <c r="AD920" s="3" t="s">
        <v>48</v>
      </c>
      <c r="AE920" s="6">
        <v>45544</v>
      </c>
      <c r="AF920" s="3" t="s">
        <v>59</v>
      </c>
      <c r="AG920" s="3" t="s">
        <v>48</v>
      </c>
      <c r="AH920" s="3">
        <f>YEAR(SrcDB[[#This Row],[Datum_zverejnenia]])</f>
        <v>2023</v>
      </c>
      <c r="AI920" s="3" cm="1">
        <f t="array" ref="AI920">COUNT(_xlfn.UNIQUE(_xlfn._xlws.FILTER(SrcDB[ID],SrcDB[Objednavatel_ICO]=$H920)))</f>
        <v>3</v>
      </c>
      <c r="AJ920" s="3" cm="1">
        <f t="array" ref="AJ920">COUNT(_xlfn.UNIQUE(_xlfn._xlws.FILTER(SrcDB[ID],SrcDB[Dodavatel_ICO]=$K920)))</f>
        <v>8</v>
      </c>
      <c r="AK920" s="3">
        <f t="shared" si="1001"/>
        <v>0</v>
      </c>
      <c r="AL920" s="3">
        <f t="shared" si="1002"/>
        <v>0</v>
      </c>
      <c r="AM920" s="17" t="str">
        <f>IF(SrcDB[[#This Row],[Pocet zmluv objednavatela]]&gt;3,SrcDB[[#This Row],[Objednavatel]],"Ostatné")</f>
        <v>Ostatné</v>
      </c>
      <c r="AN920" s="17" t="str">
        <f>IF(SrcDB[[#This Row],[Pocet zmluv dodavatela]]&gt;3,SrcDB[[#This Row],[Dodavatel]],"Ostatné")</f>
        <v>TEMPEST a.s.</v>
      </c>
    </row>
    <row r="921" spans="1:40" x14ac:dyDescent="0.3">
      <c r="A921" s="2" t="s">
        <v>523</v>
      </c>
      <c r="B921" s="2">
        <v>7611381</v>
      </c>
      <c r="C921" s="3" t="str">
        <f t="shared" si="995"/>
        <v>Nejasné</v>
      </c>
      <c r="D921" s="3" t="str">
        <f t="shared" si="996"/>
        <v>Nejasné</v>
      </c>
      <c r="E921" s="3" t="s">
        <v>49</v>
      </c>
      <c r="F921" s="3" t="s">
        <v>48</v>
      </c>
      <c r="G921" s="2" t="str">
        <f t="shared" si="997"/>
        <v>Stredné zmluvy</v>
      </c>
      <c r="H921" s="5" t="s">
        <v>969</v>
      </c>
      <c r="I921" s="2" t="s">
        <v>970</v>
      </c>
      <c r="J921" s="2" t="s">
        <v>817</v>
      </c>
      <c r="K921" s="5">
        <v>31326650</v>
      </c>
      <c r="L921" s="2" t="s">
        <v>156</v>
      </c>
      <c r="M921" s="2" t="s">
        <v>1120</v>
      </c>
      <c r="N921" s="6">
        <v>44998.453726851854</v>
      </c>
      <c r="O921" s="4">
        <v>4042080</v>
      </c>
      <c r="P921" s="2">
        <v>114688</v>
      </c>
      <c r="Q921" s="2" t="s">
        <v>1121</v>
      </c>
      <c r="R921" s="2" t="s">
        <v>1122</v>
      </c>
      <c r="S921" s="2" t="s">
        <v>102</v>
      </c>
      <c r="T921" s="2" t="s">
        <v>1115</v>
      </c>
      <c r="W921" s="4">
        <v>320</v>
      </c>
      <c r="X921" s="4">
        <v>384</v>
      </c>
      <c r="Y921" s="4">
        <f t="shared" ref="Y921" si="1023">INDEX(InternalRates,MATCH($S921,InternalRates01,FALSE),2)</f>
        <v>278.98333333333335</v>
      </c>
      <c r="Z921" s="3" t="str">
        <f t="shared" si="960"/>
        <v>Nie</v>
      </c>
      <c r="AA921" s="3" t="str">
        <f t="shared" si="961"/>
        <v>ZoD</v>
      </c>
      <c r="AB921" s="4">
        <v>420</v>
      </c>
      <c r="AC921" s="4">
        <v>105</v>
      </c>
      <c r="AD921" s="3" t="s">
        <v>48</v>
      </c>
      <c r="AE921" s="6">
        <v>45544</v>
      </c>
      <c r="AF921" s="3" t="s">
        <v>59</v>
      </c>
      <c r="AG921" s="3" t="s">
        <v>48</v>
      </c>
      <c r="AH921" s="3">
        <f>YEAR(SrcDB[[#This Row],[Datum_zverejnenia]])</f>
        <v>2023</v>
      </c>
      <c r="AI921" s="3" cm="1">
        <f t="array" ref="AI921">COUNT(_xlfn.UNIQUE(_xlfn._xlws.FILTER(SrcDB[ID],SrcDB[Objednavatel_ICO]=$H921)))</f>
        <v>3</v>
      </c>
      <c r="AJ921" s="3" cm="1">
        <f t="array" ref="AJ921">COUNT(_xlfn.UNIQUE(_xlfn._xlws.FILTER(SrcDB[ID],SrcDB[Dodavatel_ICO]=$K921)))</f>
        <v>8</v>
      </c>
      <c r="AK921" s="3">
        <f t="shared" si="1001"/>
        <v>0</v>
      </c>
      <c r="AL921" s="3">
        <f t="shared" si="1002"/>
        <v>0</v>
      </c>
      <c r="AM921" s="17" t="str">
        <f>IF(SrcDB[[#This Row],[Pocet zmluv objednavatela]]&gt;3,SrcDB[[#This Row],[Objednavatel]],"Ostatné")</f>
        <v>Ostatné</v>
      </c>
      <c r="AN921" s="17" t="str">
        <f>IF(SrcDB[[#This Row],[Pocet zmluv dodavatela]]&gt;3,SrcDB[[#This Row],[Dodavatel]],"Ostatné")</f>
        <v>TEMPEST a.s.</v>
      </c>
    </row>
    <row r="922" spans="1:40" x14ac:dyDescent="0.3">
      <c r="A922" s="2" t="s">
        <v>523</v>
      </c>
      <c r="B922" s="2">
        <v>7611381</v>
      </c>
      <c r="C922" s="3" t="str">
        <f t="shared" si="995"/>
        <v>Nejasné</v>
      </c>
      <c r="D922" s="3" t="str">
        <f t="shared" si="996"/>
        <v>Nejasné</v>
      </c>
      <c r="E922" s="3" t="s">
        <v>49</v>
      </c>
      <c r="F922" s="3" t="s">
        <v>48</v>
      </c>
      <c r="G922" s="2" t="str">
        <f t="shared" si="997"/>
        <v>Stredné zmluvy</v>
      </c>
      <c r="H922" s="5" t="s">
        <v>969</v>
      </c>
      <c r="I922" s="2" t="s">
        <v>970</v>
      </c>
      <c r="J922" s="2" t="s">
        <v>817</v>
      </c>
      <c r="K922" s="5">
        <v>31326650</v>
      </c>
      <c r="L922" s="2" t="s">
        <v>156</v>
      </c>
      <c r="M922" s="2" t="s">
        <v>1120</v>
      </c>
      <c r="N922" s="6">
        <v>44998.453726851854</v>
      </c>
      <c r="O922" s="4">
        <v>4042080</v>
      </c>
      <c r="P922" s="2">
        <v>114688</v>
      </c>
      <c r="Q922" s="2" t="s">
        <v>1121</v>
      </c>
      <c r="R922" s="2" t="s">
        <v>1122</v>
      </c>
      <c r="S922" s="2" t="s">
        <v>79</v>
      </c>
      <c r="T922" s="2" t="s">
        <v>1116</v>
      </c>
      <c r="W922" s="4">
        <v>350</v>
      </c>
      <c r="X922" s="4">
        <v>420</v>
      </c>
      <c r="Y922" s="4">
        <f t="shared" ref="Y922" si="1024">INDEX(InternalRates,MATCH($S922,InternalRates01,FALSE),2)</f>
        <v>278.98333333333335</v>
      </c>
      <c r="Z922" s="3" t="str">
        <f t="shared" si="960"/>
        <v>Nie</v>
      </c>
      <c r="AA922" s="3" t="str">
        <f t="shared" si="961"/>
        <v>ZoD</v>
      </c>
      <c r="AB922" s="4">
        <v>210</v>
      </c>
      <c r="AC922" s="4">
        <v>52.5</v>
      </c>
      <c r="AD922" s="3" t="s">
        <v>48</v>
      </c>
      <c r="AE922" s="6">
        <v>45544</v>
      </c>
      <c r="AF922" s="3" t="s">
        <v>59</v>
      </c>
      <c r="AG922" s="3" t="s">
        <v>48</v>
      </c>
      <c r="AH922" s="3">
        <f>YEAR(SrcDB[[#This Row],[Datum_zverejnenia]])</f>
        <v>2023</v>
      </c>
      <c r="AI922" s="3" cm="1">
        <f t="array" ref="AI922">COUNT(_xlfn.UNIQUE(_xlfn._xlws.FILTER(SrcDB[ID],SrcDB[Objednavatel_ICO]=$H922)))</f>
        <v>3</v>
      </c>
      <c r="AJ922" s="3" cm="1">
        <f t="array" ref="AJ922">COUNT(_xlfn.UNIQUE(_xlfn._xlws.FILTER(SrcDB[ID],SrcDB[Dodavatel_ICO]=$K922)))</f>
        <v>8</v>
      </c>
      <c r="AK922" s="3">
        <f t="shared" si="1001"/>
        <v>0</v>
      </c>
      <c r="AL922" s="3">
        <f t="shared" si="1002"/>
        <v>0</v>
      </c>
      <c r="AM922" s="17" t="str">
        <f>IF(SrcDB[[#This Row],[Pocet zmluv objednavatela]]&gt;3,SrcDB[[#This Row],[Objednavatel]],"Ostatné")</f>
        <v>Ostatné</v>
      </c>
      <c r="AN922" s="17" t="str">
        <f>IF(SrcDB[[#This Row],[Pocet zmluv dodavatela]]&gt;3,SrcDB[[#This Row],[Dodavatel]],"Ostatné")</f>
        <v>TEMPEST a.s.</v>
      </c>
    </row>
    <row r="923" spans="1:40" x14ac:dyDescent="0.3">
      <c r="A923" s="2" t="s">
        <v>523</v>
      </c>
      <c r="B923" s="2">
        <v>7611381</v>
      </c>
      <c r="C923" s="3" t="str">
        <f t="shared" si="995"/>
        <v>Nejasné</v>
      </c>
      <c r="D923" s="3" t="str">
        <f t="shared" si="996"/>
        <v>Nejasné</v>
      </c>
      <c r="E923" s="3" t="s">
        <v>49</v>
      </c>
      <c r="F923" s="3" t="s">
        <v>48</v>
      </c>
      <c r="G923" s="2" t="str">
        <f t="shared" si="997"/>
        <v>Stredné zmluvy</v>
      </c>
      <c r="H923" s="5" t="s">
        <v>969</v>
      </c>
      <c r="I923" s="2" t="s">
        <v>970</v>
      </c>
      <c r="J923" s="2" t="s">
        <v>817</v>
      </c>
      <c r="K923" s="5">
        <v>31326650</v>
      </c>
      <c r="L923" s="2" t="s">
        <v>156</v>
      </c>
      <c r="M923" s="2" t="s">
        <v>1120</v>
      </c>
      <c r="N923" s="6">
        <v>44998.453726851854</v>
      </c>
      <c r="O923" s="4">
        <v>4042080</v>
      </c>
      <c r="P923" s="2">
        <v>114688</v>
      </c>
      <c r="Q923" s="2" t="s">
        <v>1121</v>
      </c>
      <c r="R923" s="2" t="s">
        <v>1122</v>
      </c>
      <c r="S923" s="2" t="s">
        <v>79</v>
      </c>
      <c r="T923" s="2" t="s">
        <v>1117</v>
      </c>
      <c r="W923" s="4">
        <v>290</v>
      </c>
      <c r="X923" s="4">
        <v>348</v>
      </c>
      <c r="Y923" s="4">
        <f t="shared" ref="Y923" si="1025">INDEX(InternalRates,MATCH($S923,InternalRates01,FALSE),2)</f>
        <v>278.98333333333335</v>
      </c>
      <c r="Z923" s="3" t="str">
        <f t="shared" si="960"/>
        <v>Nie</v>
      </c>
      <c r="AA923" s="3" t="str">
        <f t="shared" si="961"/>
        <v>ZoD</v>
      </c>
      <c r="AB923" s="4">
        <v>1260</v>
      </c>
      <c r="AC923" s="4">
        <v>315</v>
      </c>
      <c r="AD923" s="3" t="s">
        <v>48</v>
      </c>
      <c r="AE923" s="6">
        <v>45544</v>
      </c>
      <c r="AF923" s="3" t="s">
        <v>59</v>
      </c>
      <c r="AG923" s="3" t="s">
        <v>48</v>
      </c>
      <c r="AH923" s="3">
        <f>YEAR(SrcDB[[#This Row],[Datum_zverejnenia]])</f>
        <v>2023</v>
      </c>
      <c r="AI923" s="3" cm="1">
        <f t="array" ref="AI923">COUNT(_xlfn.UNIQUE(_xlfn._xlws.FILTER(SrcDB[ID],SrcDB[Objednavatel_ICO]=$H923)))</f>
        <v>3</v>
      </c>
      <c r="AJ923" s="3" cm="1">
        <f t="array" ref="AJ923">COUNT(_xlfn.UNIQUE(_xlfn._xlws.FILTER(SrcDB[ID],SrcDB[Dodavatel_ICO]=$K923)))</f>
        <v>8</v>
      </c>
      <c r="AK923" s="3">
        <f t="shared" si="1001"/>
        <v>0</v>
      </c>
      <c r="AL923" s="3">
        <f t="shared" si="1002"/>
        <v>0</v>
      </c>
      <c r="AM923" s="17" t="str">
        <f>IF(SrcDB[[#This Row],[Pocet zmluv objednavatela]]&gt;3,SrcDB[[#This Row],[Objednavatel]],"Ostatné")</f>
        <v>Ostatné</v>
      </c>
      <c r="AN923" s="17" t="str">
        <f>IF(SrcDB[[#This Row],[Pocet zmluv dodavatela]]&gt;3,SrcDB[[#This Row],[Dodavatel]],"Ostatné")</f>
        <v>TEMPEST a.s.</v>
      </c>
    </row>
    <row r="924" spans="1:40" x14ac:dyDescent="0.3">
      <c r="A924" s="2" t="s">
        <v>523</v>
      </c>
      <c r="B924" s="2">
        <v>7611381</v>
      </c>
      <c r="C924" s="3" t="str">
        <f t="shared" si="995"/>
        <v>Nejasné</v>
      </c>
      <c r="D924" s="3" t="str">
        <f t="shared" si="996"/>
        <v>Nejasné</v>
      </c>
      <c r="E924" s="3" t="s">
        <v>49</v>
      </c>
      <c r="F924" s="3" t="s">
        <v>48</v>
      </c>
      <c r="G924" s="2" t="str">
        <f t="shared" si="997"/>
        <v>Stredné zmluvy</v>
      </c>
      <c r="H924" s="5" t="s">
        <v>969</v>
      </c>
      <c r="I924" s="2" t="s">
        <v>970</v>
      </c>
      <c r="J924" s="2" t="s">
        <v>817</v>
      </c>
      <c r="K924" s="5">
        <v>31326650</v>
      </c>
      <c r="L924" s="2" t="s">
        <v>156</v>
      </c>
      <c r="M924" s="2" t="s">
        <v>1120</v>
      </c>
      <c r="N924" s="6">
        <v>44998.453726851854</v>
      </c>
      <c r="O924" s="4">
        <v>4042080</v>
      </c>
      <c r="P924" s="2">
        <v>114688</v>
      </c>
      <c r="Q924" s="2" t="s">
        <v>1121</v>
      </c>
      <c r="R924" s="2" t="s">
        <v>1122</v>
      </c>
      <c r="S924" s="2" t="s">
        <v>73</v>
      </c>
      <c r="T924" s="2" t="s">
        <v>206</v>
      </c>
      <c r="W924" s="4">
        <v>320</v>
      </c>
      <c r="X924" s="4">
        <v>384</v>
      </c>
      <c r="Y924" s="4">
        <f t="shared" ref="Y924" si="1026">INDEX(InternalRates,MATCH($S924,InternalRates01,FALSE),2)</f>
        <v>278.98333333333335</v>
      </c>
      <c r="Z924" s="3" t="str">
        <f t="shared" si="960"/>
        <v>Nie</v>
      </c>
      <c r="AA924" s="3" t="str">
        <f t="shared" si="961"/>
        <v>ZoD</v>
      </c>
      <c r="AB924" s="4">
        <v>1890</v>
      </c>
      <c r="AC924" s="4">
        <v>472.5</v>
      </c>
      <c r="AD924" s="3" t="s">
        <v>48</v>
      </c>
      <c r="AE924" s="6">
        <v>45544</v>
      </c>
      <c r="AF924" s="3" t="s">
        <v>59</v>
      </c>
      <c r="AG924" s="3" t="s">
        <v>48</v>
      </c>
      <c r="AH924" s="3">
        <f>YEAR(SrcDB[[#This Row],[Datum_zverejnenia]])</f>
        <v>2023</v>
      </c>
      <c r="AI924" s="3" cm="1">
        <f t="array" ref="AI924">COUNT(_xlfn.UNIQUE(_xlfn._xlws.FILTER(SrcDB[ID],SrcDB[Objednavatel_ICO]=$H924)))</f>
        <v>3</v>
      </c>
      <c r="AJ924" s="3" cm="1">
        <f t="array" ref="AJ924">COUNT(_xlfn.UNIQUE(_xlfn._xlws.FILTER(SrcDB[ID],SrcDB[Dodavatel_ICO]=$K924)))</f>
        <v>8</v>
      </c>
      <c r="AK924" s="3">
        <f t="shared" si="1001"/>
        <v>0</v>
      </c>
      <c r="AL924" s="3">
        <f t="shared" si="1002"/>
        <v>0</v>
      </c>
      <c r="AM924" s="17" t="str">
        <f>IF(SrcDB[[#This Row],[Pocet zmluv objednavatela]]&gt;3,SrcDB[[#This Row],[Objednavatel]],"Ostatné")</f>
        <v>Ostatné</v>
      </c>
      <c r="AN924" s="17" t="str">
        <f>IF(SrcDB[[#This Row],[Pocet zmluv dodavatela]]&gt;3,SrcDB[[#This Row],[Dodavatel]],"Ostatné")</f>
        <v>TEMPEST a.s.</v>
      </c>
    </row>
    <row r="925" spans="1:40" x14ac:dyDescent="0.3">
      <c r="A925" s="2" t="s">
        <v>523</v>
      </c>
      <c r="B925" s="2">
        <v>7611381</v>
      </c>
      <c r="C925" s="3" t="str">
        <f t="shared" si="995"/>
        <v>Nejasné</v>
      </c>
      <c r="D925" s="3" t="str">
        <f t="shared" si="996"/>
        <v>Nejasné</v>
      </c>
      <c r="E925" s="3" t="s">
        <v>49</v>
      </c>
      <c r="F925" s="3" t="s">
        <v>48</v>
      </c>
      <c r="G925" s="2" t="str">
        <f t="shared" si="997"/>
        <v>Stredné zmluvy</v>
      </c>
      <c r="H925" s="5" t="s">
        <v>969</v>
      </c>
      <c r="I925" s="2" t="s">
        <v>970</v>
      </c>
      <c r="J925" s="2" t="s">
        <v>817</v>
      </c>
      <c r="K925" s="5">
        <v>31326650</v>
      </c>
      <c r="L925" s="2" t="s">
        <v>156</v>
      </c>
      <c r="M925" s="2" t="s">
        <v>1120</v>
      </c>
      <c r="N925" s="6">
        <v>44998.453726851854</v>
      </c>
      <c r="O925" s="4">
        <v>4042080</v>
      </c>
      <c r="P925" s="2">
        <v>114688</v>
      </c>
      <c r="Q925" s="2" t="s">
        <v>1121</v>
      </c>
      <c r="R925" s="2" t="s">
        <v>1122</v>
      </c>
      <c r="S925" s="2" t="s">
        <v>73</v>
      </c>
      <c r="T925" s="2" t="s">
        <v>90</v>
      </c>
      <c r="W925" s="4">
        <v>400</v>
      </c>
      <c r="X925" s="4">
        <v>480</v>
      </c>
      <c r="Y925" s="4">
        <f t="shared" ref="Y925" si="1027">INDEX(InternalRates,MATCH($S925,InternalRates01,FALSE),2)</f>
        <v>278.98333333333335</v>
      </c>
      <c r="Z925" s="3" t="str">
        <f t="shared" si="960"/>
        <v>Nie</v>
      </c>
      <c r="AA925" s="3" t="str">
        <f t="shared" si="961"/>
        <v>ZoD</v>
      </c>
      <c r="AB925" s="4">
        <v>420</v>
      </c>
      <c r="AC925" s="4">
        <v>105</v>
      </c>
      <c r="AD925" s="3" t="s">
        <v>48</v>
      </c>
      <c r="AE925" s="6">
        <v>45544</v>
      </c>
      <c r="AF925" s="3" t="s">
        <v>59</v>
      </c>
      <c r="AG925" s="3" t="s">
        <v>48</v>
      </c>
      <c r="AH925" s="3">
        <f>YEAR(SrcDB[[#This Row],[Datum_zverejnenia]])</f>
        <v>2023</v>
      </c>
      <c r="AI925" s="3" cm="1">
        <f t="array" ref="AI925">COUNT(_xlfn.UNIQUE(_xlfn._xlws.FILTER(SrcDB[ID],SrcDB[Objednavatel_ICO]=$H925)))</f>
        <v>3</v>
      </c>
      <c r="AJ925" s="3" cm="1">
        <f t="array" ref="AJ925">COUNT(_xlfn.UNIQUE(_xlfn._xlws.FILTER(SrcDB[ID],SrcDB[Dodavatel_ICO]=$K925)))</f>
        <v>8</v>
      </c>
      <c r="AK925" s="3">
        <f t="shared" si="1001"/>
        <v>0</v>
      </c>
      <c r="AL925" s="3">
        <f t="shared" si="1002"/>
        <v>0</v>
      </c>
      <c r="AM925" s="17" t="str">
        <f>IF(SrcDB[[#This Row],[Pocet zmluv objednavatela]]&gt;3,SrcDB[[#This Row],[Objednavatel]],"Ostatné")</f>
        <v>Ostatné</v>
      </c>
      <c r="AN925" s="17" t="str">
        <f>IF(SrcDB[[#This Row],[Pocet zmluv dodavatela]]&gt;3,SrcDB[[#This Row],[Dodavatel]],"Ostatné")</f>
        <v>TEMPEST a.s.</v>
      </c>
    </row>
    <row r="926" spans="1:40" x14ac:dyDescent="0.3">
      <c r="A926" s="2" t="s">
        <v>523</v>
      </c>
      <c r="B926" s="2">
        <v>7611381</v>
      </c>
      <c r="C926" s="3" t="str">
        <f t="shared" si="995"/>
        <v>Nejasné</v>
      </c>
      <c r="D926" s="3" t="str">
        <f t="shared" si="996"/>
        <v>Nejasné</v>
      </c>
      <c r="E926" s="3" t="s">
        <v>49</v>
      </c>
      <c r="F926" s="3" t="s">
        <v>48</v>
      </c>
      <c r="G926" s="2" t="str">
        <f t="shared" si="997"/>
        <v>Stredné zmluvy</v>
      </c>
      <c r="H926" s="5" t="s">
        <v>969</v>
      </c>
      <c r="I926" s="2" t="s">
        <v>970</v>
      </c>
      <c r="J926" s="2" t="s">
        <v>817</v>
      </c>
      <c r="K926" s="5">
        <v>31326650</v>
      </c>
      <c r="L926" s="2" t="s">
        <v>156</v>
      </c>
      <c r="M926" s="2" t="s">
        <v>1120</v>
      </c>
      <c r="N926" s="6">
        <v>44998.453726851854</v>
      </c>
      <c r="O926" s="4">
        <v>4042080</v>
      </c>
      <c r="P926" s="2">
        <v>114688</v>
      </c>
      <c r="Q926" s="2" t="s">
        <v>1121</v>
      </c>
      <c r="R926" s="2" t="s">
        <v>1122</v>
      </c>
      <c r="S926" s="2" t="s">
        <v>56</v>
      </c>
      <c r="T926" s="2" t="s">
        <v>1126</v>
      </c>
      <c r="U926" s="2" t="s">
        <v>58</v>
      </c>
      <c r="W926" s="4">
        <v>350</v>
      </c>
      <c r="X926" s="4">
        <v>420</v>
      </c>
      <c r="Y926" s="4">
        <f t="shared" ref="Y926" si="1028">INDEX(InternalRates,MATCH($S926,InternalRates01,FALSE),2)</f>
        <v>278.98333333333335</v>
      </c>
      <c r="Z926" s="3" t="str">
        <f t="shared" si="960"/>
        <v>Nie</v>
      </c>
      <c r="AA926" s="3" t="str">
        <f t="shared" si="961"/>
        <v>ZoD</v>
      </c>
      <c r="AB926" s="4">
        <v>630</v>
      </c>
      <c r="AC926" s="4">
        <v>157.5</v>
      </c>
      <c r="AD926" s="3" t="s">
        <v>48</v>
      </c>
      <c r="AE926" s="6">
        <v>45544</v>
      </c>
      <c r="AF926" s="3" t="s">
        <v>59</v>
      </c>
      <c r="AG926" s="3" t="s">
        <v>48</v>
      </c>
      <c r="AH926" s="3">
        <f>YEAR(SrcDB[[#This Row],[Datum_zverejnenia]])</f>
        <v>2023</v>
      </c>
      <c r="AI926" s="3" cm="1">
        <f t="array" ref="AI926">COUNT(_xlfn.UNIQUE(_xlfn._xlws.FILTER(SrcDB[ID],SrcDB[Objednavatel_ICO]=$H926)))</f>
        <v>3</v>
      </c>
      <c r="AJ926" s="3" cm="1">
        <f t="array" ref="AJ926">COUNT(_xlfn.UNIQUE(_xlfn._xlws.FILTER(SrcDB[ID],SrcDB[Dodavatel_ICO]=$K926)))</f>
        <v>8</v>
      </c>
      <c r="AK926" s="3">
        <f t="shared" si="1001"/>
        <v>0</v>
      </c>
      <c r="AL926" s="3">
        <f t="shared" si="1002"/>
        <v>0</v>
      </c>
      <c r="AM926" s="17" t="str">
        <f>IF(SrcDB[[#This Row],[Pocet zmluv objednavatela]]&gt;3,SrcDB[[#This Row],[Objednavatel]],"Ostatné")</f>
        <v>Ostatné</v>
      </c>
      <c r="AN926" s="17" t="str">
        <f>IF(SrcDB[[#This Row],[Pocet zmluv dodavatela]]&gt;3,SrcDB[[#This Row],[Dodavatel]],"Ostatné")</f>
        <v>TEMPEST a.s.</v>
      </c>
    </row>
    <row r="927" spans="1:40" x14ac:dyDescent="0.3">
      <c r="A927" s="2" t="s">
        <v>523</v>
      </c>
      <c r="B927" s="2">
        <v>7611381</v>
      </c>
      <c r="C927" s="3" t="str">
        <f t="shared" si="995"/>
        <v>Nejasné</v>
      </c>
      <c r="D927" s="3" t="str">
        <f t="shared" si="996"/>
        <v>Nejasné</v>
      </c>
      <c r="E927" s="3" t="s">
        <v>49</v>
      </c>
      <c r="F927" s="3" t="s">
        <v>48</v>
      </c>
      <c r="G927" s="2" t="str">
        <f t="shared" si="997"/>
        <v>Stredné zmluvy</v>
      </c>
      <c r="H927" s="5" t="s">
        <v>969</v>
      </c>
      <c r="I927" s="2" t="s">
        <v>970</v>
      </c>
      <c r="J927" s="2" t="s">
        <v>817</v>
      </c>
      <c r="K927" s="5">
        <v>31326650</v>
      </c>
      <c r="L927" s="2" t="s">
        <v>156</v>
      </c>
      <c r="M927" s="2" t="s">
        <v>1120</v>
      </c>
      <c r="N927" s="6">
        <v>44998.453726851854</v>
      </c>
      <c r="O927" s="4">
        <v>4042080</v>
      </c>
      <c r="P927" s="2">
        <v>114688</v>
      </c>
      <c r="Q927" s="2" t="s">
        <v>1121</v>
      </c>
      <c r="R927" s="2" t="s">
        <v>1122</v>
      </c>
      <c r="S927" s="2" t="s">
        <v>56</v>
      </c>
      <c r="T927" s="2" t="s">
        <v>288</v>
      </c>
      <c r="U927" s="2" t="s">
        <v>289</v>
      </c>
      <c r="W927" s="4">
        <v>400</v>
      </c>
      <c r="X927" s="4">
        <v>480</v>
      </c>
      <c r="Y927" s="4">
        <f t="shared" ref="Y927" si="1029">INDEX(InternalRates,MATCH($S927,InternalRates01,FALSE),2)</f>
        <v>278.98333333333335</v>
      </c>
      <c r="Z927" s="3" t="str">
        <f t="shared" si="960"/>
        <v>Nie</v>
      </c>
      <c r="AA927" s="3" t="str">
        <f t="shared" si="961"/>
        <v>ZoD</v>
      </c>
      <c r="AB927" s="4">
        <v>210</v>
      </c>
      <c r="AC927" s="4">
        <v>52.5</v>
      </c>
      <c r="AD927" s="3" t="s">
        <v>48</v>
      </c>
      <c r="AE927" s="6">
        <v>45544</v>
      </c>
      <c r="AF927" s="3" t="s">
        <v>59</v>
      </c>
      <c r="AG927" s="3" t="s">
        <v>48</v>
      </c>
      <c r="AH927" s="3">
        <f>YEAR(SrcDB[[#This Row],[Datum_zverejnenia]])</f>
        <v>2023</v>
      </c>
      <c r="AI927" s="3" cm="1">
        <f t="array" ref="AI927">COUNT(_xlfn.UNIQUE(_xlfn._xlws.FILTER(SrcDB[ID],SrcDB[Objednavatel_ICO]=$H927)))</f>
        <v>3</v>
      </c>
      <c r="AJ927" s="3" cm="1">
        <f t="array" ref="AJ927">COUNT(_xlfn.UNIQUE(_xlfn._xlws.FILTER(SrcDB[ID],SrcDB[Dodavatel_ICO]=$K927)))</f>
        <v>8</v>
      </c>
      <c r="AK927" s="3">
        <f t="shared" si="1001"/>
        <v>0</v>
      </c>
      <c r="AL927" s="3">
        <f t="shared" si="1002"/>
        <v>0</v>
      </c>
      <c r="AM927" s="17" t="str">
        <f>IF(SrcDB[[#This Row],[Pocet zmluv objednavatela]]&gt;3,SrcDB[[#This Row],[Objednavatel]],"Ostatné")</f>
        <v>Ostatné</v>
      </c>
      <c r="AN927" s="17" t="str">
        <f>IF(SrcDB[[#This Row],[Pocet zmluv dodavatela]]&gt;3,SrcDB[[#This Row],[Dodavatel]],"Ostatné")</f>
        <v>TEMPEST a.s.</v>
      </c>
    </row>
    <row r="928" spans="1:40" x14ac:dyDescent="0.3">
      <c r="A928" s="2" t="s">
        <v>523</v>
      </c>
      <c r="B928" s="2">
        <v>7611381</v>
      </c>
      <c r="C928" s="3" t="str">
        <f t="shared" si="995"/>
        <v>Nejasné</v>
      </c>
      <c r="D928" s="3" t="str">
        <f t="shared" si="996"/>
        <v>Nejasné</v>
      </c>
      <c r="E928" s="3" t="s">
        <v>49</v>
      </c>
      <c r="F928" s="3" t="s">
        <v>48</v>
      </c>
      <c r="G928" s="2" t="str">
        <f t="shared" si="997"/>
        <v>Stredné zmluvy</v>
      </c>
      <c r="H928" s="5" t="s">
        <v>969</v>
      </c>
      <c r="I928" s="2" t="s">
        <v>970</v>
      </c>
      <c r="J928" s="2" t="s">
        <v>817</v>
      </c>
      <c r="K928" s="5">
        <v>31326650</v>
      </c>
      <c r="L928" s="2" t="s">
        <v>156</v>
      </c>
      <c r="M928" s="2" t="s">
        <v>1120</v>
      </c>
      <c r="N928" s="6">
        <v>44998.453726851854</v>
      </c>
      <c r="O928" s="4">
        <v>4042080</v>
      </c>
      <c r="P928" s="2">
        <v>114688</v>
      </c>
      <c r="Q928" s="2" t="s">
        <v>1121</v>
      </c>
      <c r="R928" s="2" t="s">
        <v>1122</v>
      </c>
      <c r="S928" s="2" t="s">
        <v>77</v>
      </c>
      <c r="T928" s="2" t="s">
        <v>1118</v>
      </c>
      <c r="W928" s="4">
        <v>350</v>
      </c>
      <c r="X928" s="4">
        <v>420</v>
      </c>
      <c r="Y928" s="4">
        <f t="shared" ref="Y928" si="1030">INDEX(InternalRates,MATCH($S928,InternalRates01,FALSE),2)</f>
        <v>278.98333333333335</v>
      </c>
      <c r="Z928" s="3" t="str">
        <f t="shared" ref="Z928:Z991" si="1031">IF(W928&gt;0,IF(Y928&gt;W928,"Áno","Nie"),"Nie")</f>
        <v>Nie</v>
      </c>
      <c r="AA928" s="3" t="str">
        <f t="shared" ref="AA928:AA991" si="1032">IF(E928="Nie","SLA",IF(F928="Nie","ZoD","SLA+ZoD"))</f>
        <v>ZoD</v>
      </c>
      <c r="AB928" s="4">
        <v>210</v>
      </c>
      <c r="AC928" s="4">
        <v>52.5</v>
      </c>
      <c r="AD928" s="3" t="s">
        <v>48</v>
      </c>
      <c r="AE928" s="6">
        <v>45544</v>
      </c>
      <c r="AF928" s="3" t="s">
        <v>59</v>
      </c>
      <c r="AG928" s="3" t="s">
        <v>48</v>
      </c>
      <c r="AH928" s="3">
        <f>YEAR(SrcDB[[#This Row],[Datum_zverejnenia]])</f>
        <v>2023</v>
      </c>
      <c r="AI928" s="3" cm="1">
        <f t="array" ref="AI928">COUNT(_xlfn.UNIQUE(_xlfn._xlws.FILTER(SrcDB[ID],SrcDB[Objednavatel_ICO]=$H928)))</f>
        <v>3</v>
      </c>
      <c r="AJ928" s="3" cm="1">
        <f t="array" ref="AJ928">COUNT(_xlfn.UNIQUE(_xlfn._xlws.FILTER(SrcDB[ID],SrcDB[Dodavatel_ICO]=$K928)))</f>
        <v>8</v>
      </c>
      <c r="AK928" s="3">
        <f t="shared" si="1001"/>
        <v>0</v>
      </c>
      <c r="AL928" s="3">
        <f t="shared" si="1002"/>
        <v>0</v>
      </c>
      <c r="AM928" s="17" t="str">
        <f>IF(SrcDB[[#This Row],[Pocet zmluv objednavatela]]&gt;3,SrcDB[[#This Row],[Objednavatel]],"Ostatné")</f>
        <v>Ostatné</v>
      </c>
      <c r="AN928" s="17" t="str">
        <f>IF(SrcDB[[#This Row],[Pocet zmluv dodavatela]]&gt;3,SrcDB[[#This Row],[Dodavatel]],"Ostatné")</f>
        <v>TEMPEST a.s.</v>
      </c>
    </row>
    <row r="929" spans="1:40" x14ac:dyDescent="0.3">
      <c r="A929" s="2" t="s">
        <v>523</v>
      </c>
      <c r="B929" s="2">
        <v>7611381</v>
      </c>
      <c r="C929" s="3" t="str">
        <f t="shared" si="995"/>
        <v>Nejasné</v>
      </c>
      <c r="D929" s="3" t="str">
        <f t="shared" si="996"/>
        <v>Nejasné</v>
      </c>
      <c r="E929" s="3" t="s">
        <v>49</v>
      </c>
      <c r="F929" s="3" t="s">
        <v>48</v>
      </c>
      <c r="G929" s="2" t="str">
        <f t="shared" si="997"/>
        <v>Stredné zmluvy</v>
      </c>
      <c r="H929" s="5" t="s">
        <v>969</v>
      </c>
      <c r="I929" s="2" t="s">
        <v>970</v>
      </c>
      <c r="J929" s="2" t="s">
        <v>817</v>
      </c>
      <c r="K929" s="5">
        <v>31326650</v>
      </c>
      <c r="L929" s="2" t="s">
        <v>156</v>
      </c>
      <c r="M929" s="2" t="s">
        <v>1120</v>
      </c>
      <c r="N929" s="6">
        <v>44998.453726851854</v>
      </c>
      <c r="O929" s="4">
        <v>4042080</v>
      </c>
      <c r="P929" s="2">
        <v>114688</v>
      </c>
      <c r="Q929" s="2" t="s">
        <v>1121</v>
      </c>
      <c r="R929" s="2" t="s">
        <v>1122</v>
      </c>
      <c r="S929" s="2" t="s">
        <v>56</v>
      </c>
      <c r="T929" s="2" t="s">
        <v>1119</v>
      </c>
      <c r="U929" s="2" t="s">
        <v>95</v>
      </c>
      <c r="W929" s="4">
        <v>350</v>
      </c>
      <c r="X929" s="4">
        <v>420</v>
      </c>
      <c r="Y929" s="4">
        <f t="shared" ref="Y929" si="1033">INDEX(InternalRates,MATCH($S929,InternalRates01,FALSE),2)</f>
        <v>278.98333333333335</v>
      </c>
      <c r="Z929" s="3" t="str">
        <f t="shared" si="1031"/>
        <v>Nie</v>
      </c>
      <c r="AA929" s="3" t="str">
        <f t="shared" si="1032"/>
        <v>ZoD</v>
      </c>
      <c r="AB929" s="4">
        <v>210</v>
      </c>
      <c r="AC929" s="4">
        <v>52.5</v>
      </c>
      <c r="AD929" s="3" t="s">
        <v>48</v>
      </c>
      <c r="AE929" s="6">
        <v>45544</v>
      </c>
      <c r="AF929" s="3" t="s">
        <v>59</v>
      </c>
      <c r="AG929" s="3" t="s">
        <v>48</v>
      </c>
      <c r="AH929" s="3">
        <f>YEAR(SrcDB[[#This Row],[Datum_zverejnenia]])</f>
        <v>2023</v>
      </c>
      <c r="AI929" s="3" cm="1">
        <f t="array" ref="AI929">COUNT(_xlfn.UNIQUE(_xlfn._xlws.FILTER(SrcDB[ID],SrcDB[Objednavatel_ICO]=$H929)))</f>
        <v>3</v>
      </c>
      <c r="AJ929" s="3" cm="1">
        <f t="array" ref="AJ929">COUNT(_xlfn.UNIQUE(_xlfn._xlws.FILTER(SrcDB[ID],SrcDB[Dodavatel_ICO]=$K929)))</f>
        <v>8</v>
      </c>
      <c r="AK929" s="3">
        <f t="shared" si="1001"/>
        <v>0</v>
      </c>
      <c r="AL929" s="3">
        <f t="shared" si="1002"/>
        <v>0</v>
      </c>
      <c r="AM929" s="17" t="str">
        <f>IF(SrcDB[[#This Row],[Pocet zmluv objednavatela]]&gt;3,SrcDB[[#This Row],[Objednavatel]],"Ostatné")</f>
        <v>Ostatné</v>
      </c>
      <c r="AN929" s="17" t="str">
        <f>IF(SrcDB[[#This Row],[Pocet zmluv dodavatela]]&gt;3,SrcDB[[#This Row],[Dodavatel]],"Ostatné")</f>
        <v>TEMPEST a.s.</v>
      </c>
    </row>
    <row r="930" spans="1:40" x14ac:dyDescent="0.3">
      <c r="A930" s="2" t="s">
        <v>523</v>
      </c>
      <c r="B930" s="2">
        <v>7611381</v>
      </c>
      <c r="C930" s="3" t="str">
        <f t="shared" si="995"/>
        <v>Nejasné</v>
      </c>
      <c r="D930" s="3" t="str">
        <f t="shared" si="996"/>
        <v>Nejasné</v>
      </c>
      <c r="E930" s="3" t="s">
        <v>49</v>
      </c>
      <c r="F930" s="3" t="s">
        <v>48</v>
      </c>
      <c r="G930" s="2" t="str">
        <f t="shared" si="997"/>
        <v>Stredné zmluvy</v>
      </c>
      <c r="H930" s="5" t="s">
        <v>969</v>
      </c>
      <c r="I930" s="2" t="s">
        <v>970</v>
      </c>
      <c r="J930" s="2" t="s">
        <v>817</v>
      </c>
      <c r="K930" s="5">
        <v>31326650</v>
      </c>
      <c r="L930" s="2" t="s">
        <v>156</v>
      </c>
      <c r="M930" s="2" t="s">
        <v>1120</v>
      </c>
      <c r="N930" s="6">
        <v>44998.453726851854</v>
      </c>
      <c r="O930" s="4">
        <v>4042080</v>
      </c>
      <c r="P930" s="2">
        <v>114688</v>
      </c>
      <c r="Q930" s="2" t="s">
        <v>1121</v>
      </c>
      <c r="R930" s="2" t="s">
        <v>1122</v>
      </c>
      <c r="S930" s="2" t="s">
        <v>56</v>
      </c>
      <c r="T930" s="2" t="s">
        <v>96</v>
      </c>
      <c r="U930" s="2" t="s">
        <v>97</v>
      </c>
      <c r="W930" s="4">
        <v>350</v>
      </c>
      <c r="X930" s="4">
        <v>420</v>
      </c>
      <c r="Y930" s="4">
        <f t="shared" ref="Y930" si="1034">INDEX(InternalRates,MATCH($S930,InternalRates01,FALSE),2)</f>
        <v>278.98333333333335</v>
      </c>
      <c r="Z930" s="3" t="str">
        <f t="shared" si="1031"/>
        <v>Nie</v>
      </c>
      <c r="AA930" s="3" t="str">
        <f t="shared" si="1032"/>
        <v>ZoD</v>
      </c>
      <c r="AB930" s="4">
        <v>210</v>
      </c>
      <c r="AC930" s="4">
        <v>52.5</v>
      </c>
      <c r="AD930" s="3" t="s">
        <v>48</v>
      </c>
      <c r="AE930" s="6">
        <v>45544</v>
      </c>
      <c r="AF930" s="3" t="s">
        <v>59</v>
      </c>
      <c r="AG930" s="3" t="s">
        <v>48</v>
      </c>
      <c r="AH930" s="3">
        <f>YEAR(SrcDB[[#This Row],[Datum_zverejnenia]])</f>
        <v>2023</v>
      </c>
      <c r="AI930" s="3" cm="1">
        <f t="array" ref="AI930">COUNT(_xlfn.UNIQUE(_xlfn._xlws.FILTER(SrcDB[ID],SrcDB[Objednavatel_ICO]=$H930)))</f>
        <v>3</v>
      </c>
      <c r="AJ930" s="3" cm="1">
        <f t="array" ref="AJ930">COUNT(_xlfn.UNIQUE(_xlfn._xlws.FILTER(SrcDB[ID],SrcDB[Dodavatel_ICO]=$K930)))</f>
        <v>8</v>
      </c>
      <c r="AK930" s="3">
        <f t="shared" si="1001"/>
        <v>0</v>
      </c>
      <c r="AL930" s="3">
        <f t="shared" si="1002"/>
        <v>0</v>
      </c>
      <c r="AM930" s="17" t="str">
        <f>IF(SrcDB[[#This Row],[Pocet zmluv objednavatela]]&gt;3,SrcDB[[#This Row],[Objednavatel]],"Ostatné")</f>
        <v>Ostatné</v>
      </c>
      <c r="AN930" s="17" t="str">
        <f>IF(SrcDB[[#This Row],[Pocet zmluv dodavatela]]&gt;3,SrcDB[[#This Row],[Dodavatel]],"Ostatné")</f>
        <v>TEMPEST a.s.</v>
      </c>
    </row>
    <row r="931" spans="1:40" x14ac:dyDescent="0.3">
      <c r="A931" s="2" t="s">
        <v>523</v>
      </c>
      <c r="B931" s="2">
        <v>7611381</v>
      </c>
      <c r="C931" s="3" t="str">
        <f t="shared" si="995"/>
        <v>Nejasné</v>
      </c>
      <c r="D931" s="3" t="str">
        <f t="shared" si="996"/>
        <v>Nejasné</v>
      </c>
      <c r="E931" s="3" t="s">
        <v>49</v>
      </c>
      <c r="F931" s="3" t="s">
        <v>48</v>
      </c>
      <c r="G931" s="2" t="str">
        <f t="shared" si="997"/>
        <v>Stredné zmluvy</v>
      </c>
      <c r="H931" s="5" t="s">
        <v>969</v>
      </c>
      <c r="I931" s="2" t="s">
        <v>970</v>
      </c>
      <c r="J931" s="2" t="s">
        <v>817</v>
      </c>
      <c r="K931" s="5">
        <v>31326650</v>
      </c>
      <c r="L931" s="2" t="s">
        <v>156</v>
      </c>
      <c r="M931" s="2" t="s">
        <v>1120</v>
      </c>
      <c r="N931" s="6">
        <v>44998.453726851854</v>
      </c>
      <c r="O931" s="4">
        <v>4042080</v>
      </c>
      <c r="P931" s="2">
        <v>114688</v>
      </c>
      <c r="Q931" s="2" t="s">
        <v>1121</v>
      </c>
      <c r="R931" s="2" t="s">
        <v>1122</v>
      </c>
      <c r="S931" s="2" t="s">
        <v>98</v>
      </c>
      <c r="T931" s="2" t="s">
        <v>287</v>
      </c>
      <c r="W931" s="4">
        <v>350</v>
      </c>
      <c r="X931" s="4">
        <v>420</v>
      </c>
      <c r="Y931" s="4">
        <f t="shared" ref="Y931" si="1035">INDEX(InternalRates,MATCH($S931,InternalRates01,FALSE),2)</f>
        <v>278.98333333333335</v>
      </c>
      <c r="Z931" s="3" t="str">
        <f t="shared" si="1031"/>
        <v>Nie</v>
      </c>
      <c r="AA931" s="3" t="str">
        <f t="shared" si="1032"/>
        <v>ZoD</v>
      </c>
      <c r="AB931" s="4">
        <v>210</v>
      </c>
      <c r="AC931" s="4">
        <v>52.5</v>
      </c>
      <c r="AD931" s="3" t="s">
        <v>48</v>
      </c>
      <c r="AE931" s="6">
        <v>45544</v>
      </c>
      <c r="AF931" s="3" t="s">
        <v>59</v>
      </c>
      <c r="AG931" s="3" t="s">
        <v>48</v>
      </c>
      <c r="AH931" s="3">
        <f>YEAR(SrcDB[[#This Row],[Datum_zverejnenia]])</f>
        <v>2023</v>
      </c>
      <c r="AI931" s="3" cm="1">
        <f t="array" ref="AI931">COUNT(_xlfn.UNIQUE(_xlfn._xlws.FILTER(SrcDB[ID],SrcDB[Objednavatel_ICO]=$H931)))</f>
        <v>3</v>
      </c>
      <c r="AJ931" s="3" cm="1">
        <f t="array" ref="AJ931">COUNT(_xlfn.UNIQUE(_xlfn._xlws.FILTER(SrcDB[ID],SrcDB[Dodavatel_ICO]=$K931)))</f>
        <v>8</v>
      </c>
      <c r="AK931" s="3">
        <f t="shared" si="1001"/>
        <v>0</v>
      </c>
      <c r="AL931" s="3">
        <f t="shared" si="1002"/>
        <v>0</v>
      </c>
      <c r="AM931" s="17" t="str">
        <f>IF(SrcDB[[#This Row],[Pocet zmluv objednavatela]]&gt;3,SrcDB[[#This Row],[Objednavatel]],"Ostatné")</f>
        <v>Ostatné</v>
      </c>
      <c r="AN931" s="17" t="str">
        <f>IF(SrcDB[[#This Row],[Pocet zmluv dodavatela]]&gt;3,SrcDB[[#This Row],[Dodavatel]],"Ostatné")</f>
        <v>TEMPEST a.s.</v>
      </c>
    </row>
    <row r="932" spans="1:40" x14ac:dyDescent="0.3">
      <c r="A932" s="2" t="s">
        <v>1127</v>
      </c>
      <c r="B932" s="2">
        <v>7627380</v>
      </c>
      <c r="C932" s="3" t="str">
        <f t="shared" si="995"/>
        <v>Nie</v>
      </c>
      <c r="D932" s="3" t="str">
        <f t="shared" si="996"/>
        <v>Áno</v>
      </c>
      <c r="E932" s="3" t="s">
        <v>48</v>
      </c>
      <c r="F932" s="3" t="s">
        <v>49</v>
      </c>
      <c r="G932" s="2" t="str">
        <f t="shared" si="997"/>
        <v>Malé zmluvy</v>
      </c>
      <c r="H932" s="5">
        <v>36631124</v>
      </c>
      <c r="I932" s="2" t="s">
        <v>104</v>
      </c>
      <c r="J932" s="2" t="s">
        <v>105</v>
      </c>
      <c r="K932" s="5">
        <v>31385401</v>
      </c>
      <c r="L932" s="2" t="s">
        <v>142</v>
      </c>
      <c r="M932" s="2" t="s">
        <v>496</v>
      </c>
      <c r="N932" s="6">
        <v>45000.574664351851</v>
      </c>
      <c r="O932" s="4">
        <v>288000</v>
      </c>
      <c r="P932" s="2">
        <v>114573</v>
      </c>
      <c r="Q932" s="2" t="s">
        <v>1128</v>
      </c>
      <c r="R932" s="2" t="s">
        <v>1129</v>
      </c>
      <c r="S932" s="2" t="s">
        <v>71</v>
      </c>
      <c r="T932" s="2" t="s">
        <v>320</v>
      </c>
      <c r="W932" s="4">
        <v>750</v>
      </c>
      <c r="X932" s="4">
        <v>900</v>
      </c>
      <c r="Y932" s="4">
        <f t="shared" ref="Y932" si="1036">INDEX(InternalRates,MATCH($S932,InternalRates01,FALSE),2)</f>
        <v>354.0333333333333</v>
      </c>
      <c r="Z932" s="3" t="str">
        <f t="shared" si="1031"/>
        <v>Nie</v>
      </c>
      <c r="AA932" s="3" t="str">
        <f t="shared" si="1032"/>
        <v>SLA</v>
      </c>
      <c r="AD932" s="3" t="s">
        <v>48</v>
      </c>
      <c r="AE932" s="6">
        <v>45544</v>
      </c>
      <c r="AF932" s="3" t="s">
        <v>59</v>
      </c>
      <c r="AG932" s="3" t="s">
        <v>48</v>
      </c>
      <c r="AH932" s="3">
        <f>YEAR(SrcDB[[#This Row],[Datum_zverejnenia]])</f>
        <v>2023</v>
      </c>
      <c r="AI932" s="3" cm="1">
        <f t="array" ref="AI932">COUNT(_xlfn.UNIQUE(_xlfn._xlws.FILTER(SrcDB[ID],SrcDB[Objednavatel_ICO]=$H932)))</f>
        <v>17</v>
      </c>
      <c r="AJ932" s="3" cm="1">
        <f t="array" ref="AJ932">COUNT(_xlfn.UNIQUE(_xlfn._xlws.FILTER(SrcDB[ID],SrcDB[Dodavatel_ICO]=$K932)))</f>
        <v>14</v>
      </c>
      <c r="AK932" s="3">
        <f t="shared" si="1001"/>
        <v>1</v>
      </c>
      <c r="AL932" s="3">
        <f t="shared" si="1002"/>
        <v>1</v>
      </c>
      <c r="AM932" s="17" t="str">
        <f>IF(SrcDB[[#This Row],[Pocet zmluv objednavatela]]&gt;3,SrcDB[[#This Row],[Objednavatel]],"Ostatné")</f>
        <v>Slovenská pošta, a. s.</v>
      </c>
      <c r="AN932" s="17" t="str">
        <f>IF(SrcDB[[#This Row],[Pocet zmluv dodavatela]]&gt;3,SrcDB[[#This Row],[Dodavatel]],"Ostatné")</f>
        <v>DITEC, a.s.</v>
      </c>
    </row>
    <row r="933" spans="1:40" x14ac:dyDescent="0.3">
      <c r="A933" s="2" t="s">
        <v>1127</v>
      </c>
      <c r="B933" s="2">
        <v>7627380</v>
      </c>
      <c r="C933" s="3" t="str">
        <f t="shared" si="995"/>
        <v>Nie</v>
      </c>
      <c r="D933" s="3" t="str">
        <f t="shared" si="996"/>
        <v>Áno</v>
      </c>
      <c r="E933" s="3" t="s">
        <v>48</v>
      </c>
      <c r="F933" s="3" t="s">
        <v>49</v>
      </c>
      <c r="G933" s="2" t="str">
        <f t="shared" si="997"/>
        <v>Malé zmluvy</v>
      </c>
      <c r="H933" s="5">
        <v>36631124</v>
      </c>
      <c r="I933" s="2" t="s">
        <v>104</v>
      </c>
      <c r="J933" s="2" t="s">
        <v>105</v>
      </c>
      <c r="K933" s="5">
        <v>31385401</v>
      </c>
      <c r="L933" s="2" t="s">
        <v>142</v>
      </c>
      <c r="M933" s="2" t="s">
        <v>496</v>
      </c>
      <c r="N933" s="6">
        <v>45000.574664351851</v>
      </c>
      <c r="O933" s="4">
        <v>288000</v>
      </c>
      <c r="P933" s="2">
        <v>114573</v>
      </c>
      <c r="Q933" s="2" t="s">
        <v>1128</v>
      </c>
      <c r="R933" s="2" t="s">
        <v>1129</v>
      </c>
      <c r="S933" s="2" t="s">
        <v>69</v>
      </c>
      <c r="T933" s="2" t="s">
        <v>1130</v>
      </c>
      <c r="W933" s="4">
        <v>750</v>
      </c>
      <c r="X933" s="4">
        <v>900</v>
      </c>
      <c r="Y933" s="4">
        <f t="shared" ref="Y933" si="1037">INDEX(InternalRates,MATCH($S933,InternalRates01,FALSE),2)</f>
        <v>278.98333333333335</v>
      </c>
      <c r="Z933" s="3" t="str">
        <f t="shared" si="1031"/>
        <v>Nie</v>
      </c>
      <c r="AA933" s="3" t="str">
        <f t="shared" si="1032"/>
        <v>SLA</v>
      </c>
      <c r="AD933" s="3" t="s">
        <v>48</v>
      </c>
      <c r="AE933" s="6">
        <v>45544</v>
      </c>
      <c r="AF933" s="3" t="s">
        <v>59</v>
      </c>
      <c r="AG933" s="3" t="s">
        <v>48</v>
      </c>
      <c r="AH933" s="3">
        <f>YEAR(SrcDB[[#This Row],[Datum_zverejnenia]])</f>
        <v>2023</v>
      </c>
      <c r="AI933" s="3" cm="1">
        <f t="array" ref="AI933">COUNT(_xlfn.UNIQUE(_xlfn._xlws.FILTER(SrcDB[ID],SrcDB[Objednavatel_ICO]=$H933)))</f>
        <v>17</v>
      </c>
      <c r="AJ933" s="3" cm="1">
        <f t="array" ref="AJ933">COUNT(_xlfn.UNIQUE(_xlfn._xlws.FILTER(SrcDB[ID],SrcDB[Dodavatel_ICO]=$K933)))</f>
        <v>14</v>
      </c>
      <c r="AK933" s="3">
        <f t="shared" si="1001"/>
        <v>0</v>
      </c>
      <c r="AL933" s="3">
        <f t="shared" si="1002"/>
        <v>0</v>
      </c>
      <c r="AM933" s="17" t="str">
        <f>IF(SrcDB[[#This Row],[Pocet zmluv objednavatela]]&gt;3,SrcDB[[#This Row],[Objednavatel]],"Ostatné")</f>
        <v>Slovenská pošta, a. s.</v>
      </c>
      <c r="AN933" s="17" t="str">
        <f>IF(SrcDB[[#This Row],[Pocet zmluv dodavatela]]&gt;3,SrcDB[[#This Row],[Dodavatel]],"Ostatné")</f>
        <v>DITEC, a.s.</v>
      </c>
    </row>
    <row r="934" spans="1:40" x14ac:dyDescent="0.3">
      <c r="A934" s="2" t="s">
        <v>1127</v>
      </c>
      <c r="B934" s="2">
        <v>7627380</v>
      </c>
      <c r="C934" s="3" t="str">
        <f t="shared" si="995"/>
        <v>Nie</v>
      </c>
      <c r="D934" s="3" t="str">
        <f t="shared" si="996"/>
        <v>Áno</v>
      </c>
      <c r="E934" s="3" t="s">
        <v>48</v>
      </c>
      <c r="F934" s="3" t="s">
        <v>49</v>
      </c>
      <c r="G934" s="2" t="str">
        <f t="shared" si="997"/>
        <v>Malé zmluvy</v>
      </c>
      <c r="H934" s="5">
        <v>36631124</v>
      </c>
      <c r="I934" s="2" t="s">
        <v>104</v>
      </c>
      <c r="J934" s="2" t="s">
        <v>105</v>
      </c>
      <c r="K934" s="5">
        <v>31385401</v>
      </c>
      <c r="L934" s="2" t="s">
        <v>142</v>
      </c>
      <c r="M934" s="2" t="s">
        <v>496</v>
      </c>
      <c r="N934" s="6">
        <v>45000.574664351851</v>
      </c>
      <c r="O934" s="4">
        <v>288000</v>
      </c>
      <c r="P934" s="2">
        <v>114573</v>
      </c>
      <c r="Q934" s="2" t="s">
        <v>1128</v>
      </c>
      <c r="R934" s="2" t="s">
        <v>1129</v>
      </c>
      <c r="S934" s="2" t="s">
        <v>56</v>
      </c>
      <c r="T934" s="2" t="s">
        <v>110</v>
      </c>
      <c r="U934" s="2" t="s">
        <v>449</v>
      </c>
      <c r="W934" s="4">
        <v>700</v>
      </c>
      <c r="X934" s="4">
        <v>840</v>
      </c>
      <c r="Y934" s="4">
        <f t="shared" ref="Y934" si="1038">INDEX(InternalRates,MATCH($S934,InternalRates01,FALSE),2)</f>
        <v>278.98333333333335</v>
      </c>
      <c r="Z934" s="3" t="str">
        <f t="shared" si="1031"/>
        <v>Nie</v>
      </c>
      <c r="AA934" s="3" t="str">
        <f t="shared" si="1032"/>
        <v>SLA</v>
      </c>
      <c r="AD934" s="3" t="s">
        <v>48</v>
      </c>
      <c r="AE934" s="6">
        <v>45544</v>
      </c>
      <c r="AF934" s="3" t="s">
        <v>59</v>
      </c>
      <c r="AG934" s="3" t="s">
        <v>48</v>
      </c>
      <c r="AH934" s="3">
        <f>YEAR(SrcDB[[#This Row],[Datum_zverejnenia]])</f>
        <v>2023</v>
      </c>
      <c r="AI934" s="3" cm="1">
        <f t="array" ref="AI934">COUNT(_xlfn.UNIQUE(_xlfn._xlws.FILTER(SrcDB[ID],SrcDB[Objednavatel_ICO]=$H934)))</f>
        <v>17</v>
      </c>
      <c r="AJ934" s="3" cm="1">
        <f t="array" ref="AJ934">COUNT(_xlfn.UNIQUE(_xlfn._xlws.FILTER(SrcDB[ID],SrcDB[Dodavatel_ICO]=$K934)))</f>
        <v>14</v>
      </c>
      <c r="AK934" s="3">
        <f t="shared" si="1001"/>
        <v>0</v>
      </c>
      <c r="AL934" s="3">
        <f t="shared" si="1002"/>
        <v>0</v>
      </c>
      <c r="AM934" s="17" t="str">
        <f>IF(SrcDB[[#This Row],[Pocet zmluv objednavatela]]&gt;3,SrcDB[[#This Row],[Objednavatel]],"Ostatné")</f>
        <v>Slovenská pošta, a. s.</v>
      </c>
      <c r="AN934" s="17" t="str">
        <f>IF(SrcDB[[#This Row],[Pocet zmluv dodavatela]]&gt;3,SrcDB[[#This Row],[Dodavatel]],"Ostatné")</f>
        <v>DITEC, a.s.</v>
      </c>
    </row>
    <row r="935" spans="1:40" x14ac:dyDescent="0.3">
      <c r="A935" s="2" t="s">
        <v>1127</v>
      </c>
      <c r="B935" s="2">
        <v>7627380</v>
      </c>
      <c r="C935" s="3" t="str">
        <f t="shared" si="995"/>
        <v>Nie</v>
      </c>
      <c r="D935" s="3" t="str">
        <f t="shared" si="996"/>
        <v>Áno</v>
      </c>
      <c r="E935" s="3" t="s">
        <v>48</v>
      </c>
      <c r="F935" s="3" t="s">
        <v>49</v>
      </c>
      <c r="G935" s="2" t="str">
        <f t="shared" si="997"/>
        <v>Malé zmluvy</v>
      </c>
      <c r="H935" s="5">
        <v>36631124</v>
      </c>
      <c r="I935" s="2" t="s">
        <v>104</v>
      </c>
      <c r="J935" s="2" t="s">
        <v>105</v>
      </c>
      <c r="K935" s="5">
        <v>31385401</v>
      </c>
      <c r="L935" s="2" t="s">
        <v>142</v>
      </c>
      <c r="M935" s="2" t="s">
        <v>496</v>
      </c>
      <c r="N935" s="6">
        <v>45000.574664351851</v>
      </c>
      <c r="O935" s="4">
        <v>288000</v>
      </c>
      <c r="P935" s="2">
        <v>114573</v>
      </c>
      <c r="Q935" s="2" t="s">
        <v>1128</v>
      </c>
      <c r="R935" s="2" t="s">
        <v>1129</v>
      </c>
      <c r="S935" s="2" t="s">
        <v>102</v>
      </c>
      <c r="T935" s="2" t="s">
        <v>325</v>
      </c>
      <c r="W935" s="4">
        <v>700</v>
      </c>
      <c r="X935" s="4">
        <v>840</v>
      </c>
      <c r="Y935" s="4">
        <f t="shared" ref="Y935" si="1039">INDEX(InternalRates,MATCH($S935,InternalRates01,FALSE),2)</f>
        <v>278.98333333333335</v>
      </c>
      <c r="Z935" s="3" t="str">
        <f t="shared" si="1031"/>
        <v>Nie</v>
      </c>
      <c r="AA935" s="3" t="str">
        <f t="shared" si="1032"/>
        <v>SLA</v>
      </c>
      <c r="AD935" s="3" t="s">
        <v>48</v>
      </c>
      <c r="AE935" s="6">
        <v>45544</v>
      </c>
      <c r="AF935" s="3" t="s">
        <v>59</v>
      </c>
      <c r="AG935" s="3" t="s">
        <v>48</v>
      </c>
      <c r="AH935" s="3">
        <f>YEAR(SrcDB[[#This Row],[Datum_zverejnenia]])</f>
        <v>2023</v>
      </c>
      <c r="AI935" s="3" cm="1">
        <f t="array" ref="AI935">COUNT(_xlfn.UNIQUE(_xlfn._xlws.FILTER(SrcDB[ID],SrcDB[Objednavatel_ICO]=$H935)))</f>
        <v>17</v>
      </c>
      <c r="AJ935" s="3" cm="1">
        <f t="array" ref="AJ935">COUNT(_xlfn.UNIQUE(_xlfn._xlws.FILTER(SrcDB[ID],SrcDB[Dodavatel_ICO]=$K935)))</f>
        <v>14</v>
      </c>
      <c r="AK935" s="3">
        <f t="shared" si="1001"/>
        <v>0</v>
      </c>
      <c r="AL935" s="3">
        <f t="shared" si="1002"/>
        <v>0</v>
      </c>
      <c r="AM935" s="17" t="str">
        <f>IF(SrcDB[[#This Row],[Pocet zmluv objednavatela]]&gt;3,SrcDB[[#This Row],[Objednavatel]],"Ostatné")</f>
        <v>Slovenská pošta, a. s.</v>
      </c>
      <c r="AN935" s="17" t="str">
        <f>IF(SrcDB[[#This Row],[Pocet zmluv dodavatela]]&gt;3,SrcDB[[#This Row],[Dodavatel]],"Ostatné")</f>
        <v>DITEC, a.s.</v>
      </c>
    </row>
    <row r="936" spans="1:40" x14ac:dyDescent="0.3">
      <c r="A936" s="2" t="s">
        <v>1127</v>
      </c>
      <c r="B936" s="2">
        <v>7627380</v>
      </c>
      <c r="C936" s="3" t="str">
        <f t="shared" si="995"/>
        <v>Nie</v>
      </c>
      <c r="D936" s="3" t="str">
        <f t="shared" si="996"/>
        <v>Áno</v>
      </c>
      <c r="E936" s="3" t="s">
        <v>48</v>
      </c>
      <c r="F936" s="3" t="s">
        <v>49</v>
      </c>
      <c r="G936" s="2" t="str">
        <f t="shared" si="997"/>
        <v>Malé zmluvy</v>
      </c>
      <c r="H936" s="5">
        <v>36631124</v>
      </c>
      <c r="I936" s="2" t="s">
        <v>104</v>
      </c>
      <c r="J936" s="2" t="s">
        <v>105</v>
      </c>
      <c r="K936" s="5">
        <v>31385401</v>
      </c>
      <c r="L936" s="2" t="s">
        <v>142</v>
      </c>
      <c r="M936" s="2" t="s">
        <v>496</v>
      </c>
      <c r="N936" s="6">
        <v>45000.574664351851</v>
      </c>
      <c r="O936" s="4">
        <v>288000</v>
      </c>
      <c r="P936" s="2">
        <v>114573</v>
      </c>
      <c r="Q936" s="2" t="s">
        <v>1128</v>
      </c>
      <c r="R936" s="2" t="s">
        <v>1129</v>
      </c>
      <c r="S936" s="2" t="s">
        <v>73</v>
      </c>
      <c r="T936" s="2" t="s">
        <v>73</v>
      </c>
      <c r="W936" s="4">
        <v>750</v>
      </c>
      <c r="X936" s="4">
        <v>900</v>
      </c>
      <c r="Y936" s="4">
        <f t="shared" ref="Y936" si="1040">INDEX(InternalRates,MATCH($S936,InternalRates01,FALSE),2)</f>
        <v>278.98333333333335</v>
      </c>
      <c r="Z936" s="3" t="str">
        <f t="shared" si="1031"/>
        <v>Nie</v>
      </c>
      <c r="AA936" s="3" t="str">
        <f t="shared" si="1032"/>
        <v>SLA</v>
      </c>
      <c r="AD936" s="3" t="s">
        <v>48</v>
      </c>
      <c r="AE936" s="6">
        <v>45544</v>
      </c>
      <c r="AF936" s="3" t="s">
        <v>59</v>
      </c>
      <c r="AG936" s="3" t="s">
        <v>48</v>
      </c>
      <c r="AH936" s="3">
        <f>YEAR(SrcDB[[#This Row],[Datum_zverejnenia]])</f>
        <v>2023</v>
      </c>
      <c r="AI936" s="3" cm="1">
        <f t="array" ref="AI936">COUNT(_xlfn.UNIQUE(_xlfn._xlws.FILTER(SrcDB[ID],SrcDB[Objednavatel_ICO]=$H936)))</f>
        <v>17</v>
      </c>
      <c r="AJ936" s="3" cm="1">
        <f t="array" ref="AJ936">COUNT(_xlfn.UNIQUE(_xlfn._xlws.FILTER(SrcDB[ID],SrcDB[Dodavatel_ICO]=$K936)))</f>
        <v>14</v>
      </c>
      <c r="AK936" s="3">
        <f t="shared" si="1001"/>
        <v>0</v>
      </c>
      <c r="AL936" s="3">
        <f t="shared" si="1002"/>
        <v>0</v>
      </c>
      <c r="AM936" s="17" t="str">
        <f>IF(SrcDB[[#This Row],[Pocet zmluv objednavatela]]&gt;3,SrcDB[[#This Row],[Objednavatel]],"Ostatné")</f>
        <v>Slovenská pošta, a. s.</v>
      </c>
      <c r="AN936" s="17" t="str">
        <f>IF(SrcDB[[#This Row],[Pocet zmluv dodavatela]]&gt;3,SrcDB[[#This Row],[Dodavatel]],"Ostatné")</f>
        <v>DITEC, a.s.</v>
      </c>
    </row>
    <row r="937" spans="1:40" x14ac:dyDescent="0.3">
      <c r="A937" s="2" t="s">
        <v>1127</v>
      </c>
      <c r="B937" s="2">
        <v>7627380</v>
      </c>
      <c r="C937" s="3" t="str">
        <f t="shared" si="995"/>
        <v>Nie</v>
      </c>
      <c r="D937" s="3" t="str">
        <f t="shared" si="996"/>
        <v>Áno</v>
      </c>
      <c r="E937" s="3" t="s">
        <v>48</v>
      </c>
      <c r="F937" s="3" t="s">
        <v>49</v>
      </c>
      <c r="G937" s="2" t="str">
        <f t="shared" si="997"/>
        <v>Malé zmluvy</v>
      </c>
      <c r="H937" s="5">
        <v>36631124</v>
      </c>
      <c r="I937" s="2" t="s">
        <v>104</v>
      </c>
      <c r="J937" s="2" t="s">
        <v>105</v>
      </c>
      <c r="K937" s="5">
        <v>31385401</v>
      </c>
      <c r="L937" s="2" t="s">
        <v>142</v>
      </c>
      <c r="M937" s="2" t="s">
        <v>496</v>
      </c>
      <c r="N937" s="6">
        <v>45000.574664351851</v>
      </c>
      <c r="O937" s="4">
        <v>288000</v>
      </c>
      <c r="P937" s="2">
        <v>114573</v>
      </c>
      <c r="Q937" s="2" t="s">
        <v>1128</v>
      </c>
      <c r="R937" s="2" t="s">
        <v>1129</v>
      </c>
      <c r="S937" s="2" t="s">
        <v>56</v>
      </c>
      <c r="T937" s="2" t="s">
        <v>328</v>
      </c>
      <c r="U937" s="2" t="s">
        <v>113</v>
      </c>
      <c r="W937" s="4">
        <v>700</v>
      </c>
      <c r="X937" s="4">
        <v>840</v>
      </c>
      <c r="Y937" s="4">
        <f t="shared" ref="Y937" si="1041">INDEX(InternalRates,MATCH($S937,InternalRates01,FALSE),2)</f>
        <v>278.98333333333335</v>
      </c>
      <c r="Z937" s="3" t="str">
        <f t="shared" si="1031"/>
        <v>Nie</v>
      </c>
      <c r="AA937" s="3" t="str">
        <f t="shared" si="1032"/>
        <v>SLA</v>
      </c>
      <c r="AD937" s="3" t="s">
        <v>48</v>
      </c>
      <c r="AE937" s="6">
        <v>45544</v>
      </c>
      <c r="AF937" s="3" t="s">
        <v>59</v>
      </c>
      <c r="AG937" s="3" t="s">
        <v>48</v>
      </c>
      <c r="AH937" s="3">
        <f>YEAR(SrcDB[[#This Row],[Datum_zverejnenia]])</f>
        <v>2023</v>
      </c>
      <c r="AI937" s="3" cm="1">
        <f t="array" ref="AI937">COUNT(_xlfn.UNIQUE(_xlfn._xlws.FILTER(SrcDB[ID],SrcDB[Objednavatel_ICO]=$H937)))</f>
        <v>17</v>
      </c>
      <c r="AJ937" s="3" cm="1">
        <f t="array" ref="AJ937">COUNT(_xlfn.UNIQUE(_xlfn._xlws.FILTER(SrcDB[ID],SrcDB[Dodavatel_ICO]=$K937)))</f>
        <v>14</v>
      </c>
      <c r="AK937" s="3">
        <f t="shared" si="1001"/>
        <v>0</v>
      </c>
      <c r="AL937" s="3">
        <f t="shared" si="1002"/>
        <v>0</v>
      </c>
      <c r="AM937" s="17" t="str">
        <f>IF(SrcDB[[#This Row],[Pocet zmluv objednavatela]]&gt;3,SrcDB[[#This Row],[Objednavatel]],"Ostatné")</f>
        <v>Slovenská pošta, a. s.</v>
      </c>
      <c r="AN937" s="17" t="str">
        <f>IF(SrcDB[[#This Row],[Pocet zmluv dodavatela]]&gt;3,SrcDB[[#This Row],[Dodavatel]],"Ostatné")</f>
        <v>DITEC, a.s.</v>
      </c>
    </row>
    <row r="938" spans="1:40" x14ac:dyDescent="0.3">
      <c r="A938" s="2" t="s">
        <v>1127</v>
      </c>
      <c r="B938" s="2">
        <v>7627380</v>
      </c>
      <c r="C938" s="3" t="str">
        <f t="shared" si="995"/>
        <v>Nie</v>
      </c>
      <c r="D938" s="3" t="str">
        <f t="shared" si="996"/>
        <v>Áno</v>
      </c>
      <c r="E938" s="3" t="s">
        <v>48</v>
      </c>
      <c r="F938" s="3" t="s">
        <v>49</v>
      </c>
      <c r="G938" s="2" t="str">
        <f t="shared" si="997"/>
        <v>Malé zmluvy</v>
      </c>
      <c r="H938" s="5">
        <v>36631124</v>
      </c>
      <c r="I938" s="2" t="s">
        <v>104</v>
      </c>
      <c r="J938" s="2" t="s">
        <v>105</v>
      </c>
      <c r="K938" s="5">
        <v>31385401</v>
      </c>
      <c r="L938" s="2" t="s">
        <v>142</v>
      </c>
      <c r="M938" s="2" t="s">
        <v>496</v>
      </c>
      <c r="N938" s="6">
        <v>45000.574664351851</v>
      </c>
      <c r="O938" s="4">
        <v>288000</v>
      </c>
      <c r="P938" s="2">
        <v>114573</v>
      </c>
      <c r="Q938" s="2" t="s">
        <v>1128</v>
      </c>
      <c r="R938" s="2" t="s">
        <v>1129</v>
      </c>
      <c r="S938" s="2" t="s">
        <v>77</v>
      </c>
      <c r="T938" s="2" t="s">
        <v>77</v>
      </c>
      <c r="W938" s="4">
        <v>550</v>
      </c>
      <c r="X938" s="4">
        <v>660</v>
      </c>
      <c r="Y938" s="4">
        <f t="shared" ref="Y938" si="1042">INDEX(InternalRates,MATCH($S938,InternalRates01,FALSE),2)</f>
        <v>278.98333333333335</v>
      </c>
      <c r="Z938" s="3" t="str">
        <f t="shared" si="1031"/>
        <v>Nie</v>
      </c>
      <c r="AA938" s="3" t="str">
        <f t="shared" si="1032"/>
        <v>SLA</v>
      </c>
      <c r="AD938" s="3" t="s">
        <v>48</v>
      </c>
      <c r="AE938" s="6">
        <v>45544</v>
      </c>
      <c r="AF938" s="3" t="s">
        <v>59</v>
      </c>
      <c r="AG938" s="3" t="s">
        <v>48</v>
      </c>
      <c r="AH938" s="3">
        <f>YEAR(SrcDB[[#This Row],[Datum_zverejnenia]])</f>
        <v>2023</v>
      </c>
      <c r="AI938" s="3" cm="1">
        <f t="array" ref="AI938">COUNT(_xlfn.UNIQUE(_xlfn._xlws.FILTER(SrcDB[ID],SrcDB[Objednavatel_ICO]=$H938)))</f>
        <v>17</v>
      </c>
      <c r="AJ938" s="3" cm="1">
        <f t="array" ref="AJ938">COUNT(_xlfn.UNIQUE(_xlfn._xlws.FILTER(SrcDB[ID],SrcDB[Dodavatel_ICO]=$K938)))</f>
        <v>14</v>
      </c>
      <c r="AK938" s="3">
        <f t="shared" si="1001"/>
        <v>0</v>
      </c>
      <c r="AL938" s="3">
        <f t="shared" si="1002"/>
        <v>0</v>
      </c>
      <c r="AM938" s="17" t="str">
        <f>IF(SrcDB[[#This Row],[Pocet zmluv objednavatela]]&gt;3,SrcDB[[#This Row],[Objednavatel]],"Ostatné")</f>
        <v>Slovenská pošta, a. s.</v>
      </c>
      <c r="AN938" s="17" t="str">
        <f>IF(SrcDB[[#This Row],[Pocet zmluv dodavatela]]&gt;3,SrcDB[[#This Row],[Dodavatel]],"Ostatné")</f>
        <v>DITEC, a.s.</v>
      </c>
    </row>
    <row r="939" spans="1:40" x14ac:dyDescent="0.3">
      <c r="A939" s="2" t="s">
        <v>1127</v>
      </c>
      <c r="B939" s="2">
        <v>7627380</v>
      </c>
      <c r="C939" s="3" t="str">
        <f t="shared" si="995"/>
        <v>Nie</v>
      </c>
      <c r="D939" s="3" t="str">
        <f t="shared" si="996"/>
        <v>Áno</v>
      </c>
      <c r="E939" s="3" t="s">
        <v>48</v>
      </c>
      <c r="F939" s="3" t="s">
        <v>49</v>
      </c>
      <c r="G939" s="2" t="str">
        <f t="shared" si="997"/>
        <v>Malé zmluvy</v>
      </c>
      <c r="H939" s="5">
        <v>36631124</v>
      </c>
      <c r="I939" s="2" t="s">
        <v>104</v>
      </c>
      <c r="J939" s="2" t="s">
        <v>105</v>
      </c>
      <c r="K939" s="5">
        <v>31385401</v>
      </c>
      <c r="L939" s="2" t="s">
        <v>142</v>
      </c>
      <c r="M939" s="2" t="s">
        <v>496</v>
      </c>
      <c r="N939" s="6">
        <v>45000.574664351851</v>
      </c>
      <c r="O939" s="4">
        <v>288000</v>
      </c>
      <c r="P939" s="2">
        <v>114573</v>
      </c>
      <c r="Q939" s="2" t="s">
        <v>1128</v>
      </c>
      <c r="R939" s="2" t="s">
        <v>1129</v>
      </c>
      <c r="S939" s="2" t="s">
        <v>98</v>
      </c>
      <c r="T939" s="2" t="s">
        <v>98</v>
      </c>
      <c r="W939" s="4">
        <v>600</v>
      </c>
      <c r="X939" s="4">
        <v>720</v>
      </c>
      <c r="Y939" s="4">
        <f t="shared" ref="Y939" si="1043">INDEX(InternalRates,MATCH($S939,InternalRates01,FALSE),2)</f>
        <v>278.98333333333335</v>
      </c>
      <c r="Z939" s="3" t="str">
        <f t="shared" si="1031"/>
        <v>Nie</v>
      </c>
      <c r="AA939" s="3" t="str">
        <f t="shared" si="1032"/>
        <v>SLA</v>
      </c>
      <c r="AD939" s="3" t="s">
        <v>48</v>
      </c>
      <c r="AE939" s="6">
        <v>45544</v>
      </c>
      <c r="AF939" s="3" t="s">
        <v>59</v>
      </c>
      <c r="AG939" s="3" t="s">
        <v>48</v>
      </c>
      <c r="AH939" s="3">
        <f>YEAR(SrcDB[[#This Row],[Datum_zverejnenia]])</f>
        <v>2023</v>
      </c>
      <c r="AI939" s="3" cm="1">
        <f t="array" ref="AI939">COUNT(_xlfn.UNIQUE(_xlfn._xlws.FILTER(SrcDB[ID],SrcDB[Objednavatel_ICO]=$H939)))</f>
        <v>17</v>
      </c>
      <c r="AJ939" s="3" cm="1">
        <f t="array" ref="AJ939">COUNT(_xlfn.UNIQUE(_xlfn._xlws.FILTER(SrcDB[ID],SrcDB[Dodavatel_ICO]=$K939)))</f>
        <v>14</v>
      </c>
      <c r="AK939" s="3">
        <f t="shared" si="1001"/>
        <v>0</v>
      </c>
      <c r="AL939" s="3">
        <f t="shared" si="1002"/>
        <v>0</v>
      </c>
      <c r="AM939" s="17" t="str">
        <f>IF(SrcDB[[#This Row],[Pocet zmluv objednavatela]]&gt;3,SrcDB[[#This Row],[Objednavatel]],"Ostatné")</f>
        <v>Slovenská pošta, a. s.</v>
      </c>
      <c r="AN939" s="17" t="str">
        <f>IF(SrcDB[[#This Row],[Pocet zmluv dodavatela]]&gt;3,SrcDB[[#This Row],[Dodavatel]],"Ostatné")</f>
        <v>DITEC, a.s.</v>
      </c>
    </row>
    <row r="940" spans="1:40" x14ac:dyDescent="0.3">
      <c r="A940" s="2" t="s">
        <v>1127</v>
      </c>
      <c r="B940" s="2">
        <v>7627380</v>
      </c>
      <c r="C940" s="3" t="str">
        <f t="shared" si="995"/>
        <v>Nie</v>
      </c>
      <c r="D940" s="3" t="str">
        <f t="shared" si="996"/>
        <v>Áno</v>
      </c>
      <c r="E940" s="3" t="s">
        <v>48</v>
      </c>
      <c r="F940" s="3" t="s">
        <v>49</v>
      </c>
      <c r="G940" s="2" t="str">
        <f t="shared" si="997"/>
        <v>Malé zmluvy</v>
      </c>
      <c r="H940" s="5">
        <v>36631124</v>
      </c>
      <c r="I940" s="2" t="s">
        <v>104</v>
      </c>
      <c r="J940" s="2" t="s">
        <v>105</v>
      </c>
      <c r="K940" s="5">
        <v>31385401</v>
      </c>
      <c r="L940" s="2" t="s">
        <v>142</v>
      </c>
      <c r="M940" s="2" t="s">
        <v>496</v>
      </c>
      <c r="N940" s="6">
        <v>45000.574664351851</v>
      </c>
      <c r="O940" s="4">
        <v>288000</v>
      </c>
      <c r="P940" s="2">
        <v>114573</v>
      </c>
      <c r="Q940" s="2" t="s">
        <v>1128</v>
      </c>
      <c r="R940" s="2" t="s">
        <v>1129</v>
      </c>
      <c r="S940" s="2" t="s">
        <v>79</v>
      </c>
      <c r="T940" s="2" t="s">
        <v>79</v>
      </c>
      <c r="W940" s="4">
        <v>550</v>
      </c>
      <c r="X940" s="4">
        <v>660</v>
      </c>
      <c r="Y940" s="4">
        <f t="shared" ref="Y940" si="1044">INDEX(InternalRates,MATCH($S940,InternalRates01,FALSE),2)</f>
        <v>278.98333333333335</v>
      </c>
      <c r="Z940" s="3" t="str">
        <f t="shared" si="1031"/>
        <v>Nie</v>
      </c>
      <c r="AA940" s="3" t="str">
        <f t="shared" si="1032"/>
        <v>SLA</v>
      </c>
      <c r="AD940" s="3" t="s">
        <v>48</v>
      </c>
      <c r="AE940" s="6">
        <v>45544</v>
      </c>
      <c r="AF940" s="3" t="s">
        <v>59</v>
      </c>
      <c r="AG940" s="3" t="s">
        <v>48</v>
      </c>
      <c r="AH940" s="3">
        <f>YEAR(SrcDB[[#This Row],[Datum_zverejnenia]])</f>
        <v>2023</v>
      </c>
      <c r="AI940" s="3" cm="1">
        <f t="array" ref="AI940">COUNT(_xlfn.UNIQUE(_xlfn._xlws.FILTER(SrcDB[ID],SrcDB[Objednavatel_ICO]=$H940)))</f>
        <v>17</v>
      </c>
      <c r="AJ940" s="3" cm="1">
        <f t="array" ref="AJ940">COUNT(_xlfn.UNIQUE(_xlfn._xlws.FILTER(SrcDB[ID],SrcDB[Dodavatel_ICO]=$K940)))</f>
        <v>14</v>
      </c>
      <c r="AK940" s="3">
        <f t="shared" si="1001"/>
        <v>0</v>
      </c>
      <c r="AL940" s="3">
        <f t="shared" si="1002"/>
        <v>0</v>
      </c>
      <c r="AM940" s="17" t="str">
        <f>IF(SrcDB[[#This Row],[Pocet zmluv objednavatela]]&gt;3,SrcDB[[#This Row],[Objednavatel]],"Ostatné")</f>
        <v>Slovenská pošta, a. s.</v>
      </c>
      <c r="AN940" s="17" t="str">
        <f>IF(SrcDB[[#This Row],[Pocet zmluv dodavatela]]&gt;3,SrcDB[[#This Row],[Dodavatel]],"Ostatné")</f>
        <v>DITEC, a.s.</v>
      </c>
    </row>
    <row r="941" spans="1:40" x14ac:dyDescent="0.3">
      <c r="A941" s="2" t="s">
        <v>1127</v>
      </c>
      <c r="B941" s="2">
        <v>7627380</v>
      </c>
      <c r="C941" s="3" t="str">
        <f t="shared" si="995"/>
        <v>Nie</v>
      </c>
      <c r="D941" s="3" t="str">
        <f t="shared" si="996"/>
        <v>Áno</v>
      </c>
      <c r="E941" s="3" t="s">
        <v>48</v>
      </c>
      <c r="F941" s="3" t="s">
        <v>49</v>
      </c>
      <c r="G941" s="2" t="str">
        <f t="shared" si="997"/>
        <v>Malé zmluvy</v>
      </c>
      <c r="H941" s="5">
        <v>36631124</v>
      </c>
      <c r="I941" s="2" t="s">
        <v>104</v>
      </c>
      <c r="J941" s="2" t="s">
        <v>105</v>
      </c>
      <c r="K941" s="5">
        <v>31385401</v>
      </c>
      <c r="L941" s="2" t="s">
        <v>142</v>
      </c>
      <c r="M941" s="2" t="s">
        <v>496</v>
      </c>
      <c r="N941" s="6">
        <v>45000.574664351851</v>
      </c>
      <c r="O941" s="4">
        <v>288000</v>
      </c>
      <c r="P941" s="2">
        <v>114573</v>
      </c>
      <c r="Q941" s="2" t="s">
        <v>1128</v>
      </c>
      <c r="R941" s="2" t="s">
        <v>1129</v>
      </c>
      <c r="S941" s="2" t="s">
        <v>102</v>
      </c>
      <c r="T941" s="2" t="s">
        <v>333</v>
      </c>
      <c r="W941" s="4">
        <v>660</v>
      </c>
      <c r="X941" s="4">
        <v>792</v>
      </c>
      <c r="Y941" s="4">
        <f t="shared" ref="Y941" si="1045">INDEX(InternalRates,MATCH($S941,InternalRates01,FALSE),2)</f>
        <v>278.98333333333335</v>
      </c>
      <c r="Z941" s="3" t="str">
        <f t="shared" si="1031"/>
        <v>Nie</v>
      </c>
      <c r="AA941" s="3" t="str">
        <f t="shared" si="1032"/>
        <v>SLA</v>
      </c>
      <c r="AD941" s="3" t="s">
        <v>48</v>
      </c>
      <c r="AE941" s="6">
        <v>45544</v>
      </c>
      <c r="AF941" s="3" t="s">
        <v>59</v>
      </c>
      <c r="AG941" s="3" t="s">
        <v>48</v>
      </c>
      <c r="AH941" s="3">
        <f>YEAR(SrcDB[[#This Row],[Datum_zverejnenia]])</f>
        <v>2023</v>
      </c>
      <c r="AI941" s="3" cm="1">
        <f t="array" ref="AI941">COUNT(_xlfn.UNIQUE(_xlfn._xlws.FILTER(SrcDB[ID],SrcDB[Objednavatel_ICO]=$H941)))</f>
        <v>17</v>
      </c>
      <c r="AJ941" s="3" cm="1">
        <f t="array" ref="AJ941">COUNT(_xlfn.UNIQUE(_xlfn._xlws.FILTER(SrcDB[ID],SrcDB[Dodavatel_ICO]=$K941)))</f>
        <v>14</v>
      </c>
      <c r="AK941" s="3">
        <f t="shared" si="1001"/>
        <v>0</v>
      </c>
      <c r="AL941" s="3">
        <f t="shared" si="1002"/>
        <v>0</v>
      </c>
      <c r="AM941" s="17" t="str">
        <f>IF(SrcDB[[#This Row],[Pocet zmluv objednavatela]]&gt;3,SrcDB[[#This Row],[Objednavatel]],"Ostatné")</f>
        <v>Slovenská pošta, a. s.</v>
      </c>
      <c r="AN941" s="17" t="str">
        <f>IF(SrcDB[[#This Row],[Pocet zmluv dodavatela]]&gt;3,SrcDB[[#This Row],[Dodavatel]],"Ostatné")</f>
        <v>DITEC, a.s.</v>
      </c>
    </row>
    <row r="942" spans="1:40" x14ac:dyDescent="0.3">
      <c r="A942" s="2" t="s">
        <v>1131</v>
      </c>
      <c r="B942" s="2">
        <v>7628179</v>
      </c>
      <c r="C942" s="3" t="str">
        <f t="shared" si="995"/>
        <v>Nie</v>
      </c>
      <c r="D942" s="3" t="str">
        <f t="shared" si="996"/>
        <v>Áno</v>
      </c>
      <c r="E942" s="3" t="s">
        <v>48</v>
      </c>
      <c r="F942" s="3" t="s">
        <v>49</v>
      </c>
      <c r="G942" s="2" t="str">
        <f t="shared" si="997"/>
        <v>Malé zmluvy</v>
      </c>
      <c r="H942" s="5">
        <v>36631124</v>
      </c>
      <c r="I942" s="2" t="s">
        <v>104</v>
      </c>
      <c r="J942" s="2" t="s">
        <v>105</v>
      </c>
      <c r="K942" s="5">
        <v>35785284</v>
      </c>
      <c r="L942" s="2" t="s">
        <v>291</v>
      </c>
      <c r="M942" s="2" t="s">
        <v>292</v>
      </c>
      <c r="N942" s="6">
        <v>45000.612476851849</v>
      </c>
      <c r="O942" s="4">
        <v>232400</v>
      </c>
      <c r="P942" s="2">
        <v>114573</v>
      </c>
      <c r="Q942" s="2" t="s">
        <v>1132</v>
      </c>
      <c r="R942" s="2" t="s">
        <v>1133</v>
      </c>
      <c r="S942" s="2" t="s">
        <v>71</v>
      </c>
      <c r="T942" s="2" t="s">
        <v>320</v>
      </c>
      <c r="W942" s="4">
        <v>760</v>
      </c>
      <c r="X942" s="4">
        <v>912</v>
      </c>
      <c r="Y942" s="4">
        <f t="shared" ref="Y942" si="1046">INDEX(InternalRates,MATCH($S942,InternalRates01,FALSE),2)</f>
        <v>354.0333333333333</v>
      </c>
      <c r="Z942" s="3" t="str">
        <f t="shared" si="1031"/>
        <v>Nie</v>
      </c>
      <c r="AA942" s="3" t="str">
        <f t="shared" si="1032"/>
        <v>SLA</v>
      </c>
      <c r="AD942" s="3" t="s">
        <v>48</v>
      </c>
      <c r="AE942" s="6">
        <v>45544</v>
      </c>
      <c r="AF942" s="3" t="s">
        <v>59</v>
      </c>
      <c r="AG942" s="3" t="s">
        <v>48</v>
      </c>
      <c r="AH942" s="3">
        <f>YEAR(SrcDB[[#This Row],[Datum_zverejnenia]])</f>
        <v>2023</v>
      </c>
      <c r="AI942" s="3" cm="1">
        <f t="array" ref="AI942">COUNT(_xlfn.UNIQUE(_xlfn._xlws.FILTER(SrcDB[ID],SrcDB[Objednavatel_ICO]=$H942)))</f>
        <v>17</v>
      </c>
      <c r="AJ942" s="3" cm="1">
        <f t="array" ref="AJ942">COUNT(_xlfn.UNIQUE(_xlfn._xlws.FILTER(SrcDB[ID],SrcDB[Dodavatel_ICO]=$K942)))</f>
        <v>7</v>
      </c>
      <c r="AK942" s="3">
        <f t="shared" si="1001"/>
        <v>1</v>
      </c>
      <c r="AL942" s="3">
        <f t="shared" si="1002"/>
        <v>1</v>
      </c>
      <c r="AM942" s="17" t="str">
        <f>IF(SrcDB[[#This Row],[Pocet zmluv objednavatela]]&gt;3,SrcDB[[#This Row],[Objednavatel]],"Ostatné")</f>
        <v>Slovenská pošta, a. s.</v>
      </c>
      <c r="AN942" s="17" t="str">
        <f>IF(SrcDB[[#This Row],[Pocet zmluv dodavatela]]&gt;3,SrcDB[[#This Row],[Dodavatel]],"Ostatné")</f>
        <v>Plaut Slovensko, s.r.o.</v>
      </c>
    </row>
    <row r="943" spans="1:40" x14ac:dyDescent="0.3">
      <c r="A943" s="2" t="s">
        <v>1131</v>
      </c>
      <c r="B943" s="2">
        <v>7628179</v>
      </c>
      <c r="C943" s="3" t="str">
        <f t="shared" si="995"/>
        <v>Nie</v>
      </c>
      <c r="D943" s="3" t="str">
        <f t="shared" si="996"/>
        <v>Áno</v>
      </c>
      <c r="E943" s="3" t="s">
        <v>48</v>
      </c>
      <c r="F943" s="3" t="s">
        <v>49</v>
      </c>
      <c r="G943" s="2" t="str">
        <f t="shared" si="997"/>
        <v>Malé zmluvy</v>
      </c>
      <c r="H943" s="5">
        <v>36631124</v>
      </c>
      <c r="I943" s="2" t="s">
        <v>104</v>
      </c>
      <c r="J943" s="2" t="s">
        <v>105</v>
      </c>
      <c r="K943" s="5">
        <v>35785284</v>
      </c>
      <c r="L943" s="2" t="s">
        <v>291</v>
      </c>
      <c r="M943" s="2" t="s">
        <v>292</v>
      </c>
      <c r="N943" s="6">
        <v>45000.612476851849</v>
      </c>
      <c r="O943" s="4">
        <v>232400</v>
      </c>
      <c r="P943" s="2">
        <v>114573</v>
      </c>
      <c r="Q943" s="2" t="s">
        <v>1132</v>
      </c>
      <c r="R943" s="2" t="s">
        <v>1133</v>
      </c>
      <c r="S943" s="2" t="s">
        <v>69</v>
      </c>
      <c r="T943" s="2" t="s">
        <v>70</v>
      </c>
      <c r="W943" s="4">
        <v>760</v>
      </c>
      <c r="X943" s="4">
        <v>912</v>
      </c>
      <c r="Y943" s="4">
        <f t="shared" ref="Y943" si="1047">INDEX(InternalRates,MATCH($S943,InternalRates01,FALSE),2)</f>
        <v>278.98333333333335</v>
      </c>
      <c r="Z943" s="3" t="str">
        <f t="shared" si="1031"/>
        <v>Nie</v>
      </c>
      <c r="AA943" s="3" t="str">
        <f t="shared" si="1032"/>
        <v>SLA</v>
      </c>
      <c r="AD943" s="3" t="s">
        <v>48</v>
      </c>
      <c r="AE943" s="6">
        <v>45544</v>
      </c>
      <c r="AF943" s="3" t="s">
        <v>59</v>
      </c>
      <c r="AG943" s="3" t="s">
        <v>48</v>
      </c>
      <c r="AH943" s="3">
        <f>YEAR(SrcDB[[#This Row],[Datum_zverejnenia]])</f>
        <v>2023</v>
      </c>
      <c r="AI943" s="3" cm="1">
        <f t="array" ref="AI943">COUNT(_xlfn.UNIQUE(_xlfn._xlws.FILTER(SrcDB[ID],SrcDB[Objednavatel_ICO]=$H943)))</f>
        <v>17</v>
      </c>
      <c r="AJ943" s="3" cm="1">
        <f t="array" ref="AJ943">COUNT(_xlfn.UNIQUE(_xlfn._xlws.FILTER(SrcDB[ID],SrcDB[Dodavatel_ICO]=$K943)))</f>
        <v>7</v>
      </c>
      <c r="AK943" s="3">
        <f t="shared" si="1001"/>
        <v>0</v>
      </c>
      <c r="AL943" s="3">
        <f t="shared" si="1002"/>
        <v>0</v>
      </c>
      <c r="AM943" s="17" t="str">
        <f>IF(SrcDB[[#This Row],[Pocet zmluv objednavatela]]&gt;3,SrcDB[[#This Row],[Objednavatel]],"Ostatné")</f>
        <v>Slovenská pošta, a. s.</v>
      </c>
      <c r="AN943" s="17" t="str">
        <f>IF(SrcDB[[#This Row],[Pocet zmluv dodavatela]]&gt;3,SrcDB[[#This Row],[Dodavatel]],"Ostatné")</f>
        <v>Plaut Slovensko, s.r.o.</v>
      </c>
    </row>
    <row r="944" spans="1:40" x14ac:dyDescent="0.3">
      <c r="A944" s="2" t="s">
        <v>1131</v>
      </c>
      <c r="B944" s="2">
        <v>7628179</v>
      </c>
      <c r="C944" s="3" t="str">
        <f t="shared" si="995"/>
        <v>Nie</v>
      </c>
      <c r="D944" s="3" t="str">
        <f t="shared" si="996"/>
        <v>Áno</v>
      </c>
      <c r="E944" s="3" t="s">
        <v>48</v>
      </c>
      <c r="F944" s="3" t="s">
        <v>49</v>
      </c>
      <c r="G944" s="2" t="str">
        <f t="shared" si="997"/>
        <v>Malé zmluvy</v>
      </c>
      <c r="H944" s="5">
        <v>36631124</v>
      </c>
      <c r="I944" s="2" t="s">
        <v>104</v>
      </c>
      <c r="J944" s="2" t="s">
        <v>105</v>
      </c>
      <c r="K944" s="5">
        <v>35785284</v>
      </c>
      <c r="L944" s="2" t="s">
        <v>291</v>
      </c>
      <c r="M944" s="2" t="s">
        <v>292</v>
      </c>
      <c r="N944" s="6">
        <v>45000.612476851849</v>
      </c>
      <c r="O944" s="4">
        <v>232400</v>
      </c>
      <c r="P944" s="2">
        <v>114573</v>
      </c>
      <c r="Q944" s="2" t="s">
        <v>1132</v>
      </c>
      <c r="R944" s="2" t="s">
        <v>1133</v>
      </c>
      <c r="S944" s="2" t="s">
        <v>56</v>
      </c>
      <c r="T944" s="2" t="s">
        <v>1134</v>
      </c>
      <c r="U944" s="2" t="s">
        <v>449</v>
      </c>
      <c r="W944" s="4">
        <v>760</v>
      </c>
      <c r="X944" s="4">
        <v>912</v>
      </c>
      <c r="Y944" s="4">
        <f t="shared" ref="Y944" si="1048">INDEX(InternalRates,MATCH($S944,InternalRates01,FALSE),2)</f>
        <v>278.98333333333335</v>
      </c>
      <c r="Z944" s="3" t="str">
        <f t="shared" si="1031"/>
        <v>Nie</v>
      </c>
      <c r="AA944" s="3" t="str">
        <f t="shared" si="1032"/>
        <v>SLA</v>
      </c>
      <c r="AD944" s="3" t="s">
        <v>48</v>
      </c>
      <c r="AE944" s="6">
        <v>45544</v>
      </c>
      <c r="AF944" s="3" t="s">
        <v>59</v>
      </c>
      <c r="AG944" s="3" t="s">
        <v>48</v>
      </c>
      <c r="AH944" s="3">
        <f>YEAR(SrcDB[[#This Row],[Datum_zverejnenia]])</f>
        <v>2023</v>
      </c>
      <c r="AI944" s="3" cm="1">
        <f t="array" ref="AI944">COUNT(_xlfn.UNIQUE(_xlfn._xlws.FILTER(SrcDB[ID],SrcDB[Objednavatel_ICO]=$H944)))</f>
        <v>17</v>
      </c>
      <c r="AJ944" s="3" cm="1">
        <f t="array" ref="AJ944">COUNT(_xlfn.UNIQUE(_xlfn._xlws.FILTER(SrcDB[ID],SrcDB[Dodavatel_ICO]=$K944)))</f>
        <v>7</v>
      </c>
      <c r="AK944" s="3">
        <f t="shared" si="1001"/>
        <v>0</v>
      </c>
      <c r="AL944" s="3">
        <f t="shared" si="1002"/>
        <v>0</v>
      </c>
      <c r="AM944" s="17" t="str">
        <f>IF(SrcDB[[#This Row],[Pocet zmluv objednavatela]]&gt;3,SrcDB[[#This Row],[Objednavatel]],"Ostatné")</f>
        <v>Slovenská pošta, a. s.</v>
      </c>
      <c r="AN944" s="17" t="str">
        <f>IF(SrcDB[[#This Row],[Pocet zmluv dodavatela]]&gt;3,SrcDB[[#This Row],[Dodavatel]],"Ostatné")</f>
        <v>Plaut Slovensko, s.r.o.</v>
      </c>
    </row>
    <row r="945" spans="1:40" x14ac:dyDescent="0.3">
      <c r="A945" s="2" t="s">
        <v>1131</v>
      </c>
      <c r="B945" s="2">
        <v>7628179</v>
      </c>
      <c r="C945" s="3" t="str">
        <f t="shared" si="995"/>
        <v>Nie</v>
      </c>
      <c r="D945" s="3" t="str">
        <f t="shared" si="996"/>
        <v>Áno</v>
      </c>
      <c r="E945" s="3" t="s">
        <v>48</v>
      </c>
      <c r="F945" s="3" t="s">
        <v>49</v>
      </c>
      <c r="G945" s="2" t="str">
        <f t="shared" si="997"/>
        <v>Malé zmluvy</v>
      </c>
      <c r="H945" s="5">
        <v>36631124</v>
      </c>
      <c r="I945" s="2" t="s">
        <v>104</v>
      </c>
      <c r="J945" s="2" t="s">
        <v>105</v>
      </c>
      <c r="K945" s="5">
        <v>35785284</v>
      </c>
      <c r="L945" s="2" t="s">
        <v>291</v>
      </c>
      <c r="M945" s="2" t="s">
        <v>292</v>
      </c>
      <c r="N945" s="6">
        <v>45000.612476851849</v>
      </c>
      <c r="O945" s="4">
        <v>232400</v>
      </c>
      <c r="P945" s="2">
        <v>114573</v>
      </c>
      <c r="Q945" s="2" t="s">
        <v>1132</v>
      </c>
      <c r="R945" s="2" t="s">
        <v>1133</v>
      </c>
      <c r="S945" s="2" t="s">
        <v>73</v>
      </c>
      <c r="T945" s="2" t="s">
        <v>1135</v>
      </c>
      <c r="W945" s="4">
        <v>760</v>
      </c>
      <c r="X945" s="4">
        <v>912</v>
      </c>
      <c r="Y945" s="4">
        <f t="shared" ref="Y945" si="1049">INDEX(InternalRates,MATCH($S945,InternalRates01,FALSE),2)</f>
        <v>278.98333333333335</v>
      </c>
      <c r="Z945" s="3" t="str">
        <f t="shared" si="1031"/>
        <v>Nie</v>
      </c>
      <c r="AA945" s="3" t="str">
        <f t="shared" si="1032"/>
        <v>SLA</v>
      </c>
      <c r="AD945" s="3" t="s">
        <v>48</v>
      </c>
      <c r="AE945" s="6">
        <v>45544</v>
      </c>
      <c r="AF945" s="3" t="s">
        <v>59</v>
      </c>
      <c r="AG945" s="3" t="s">
        <v>48</v>
      </c>
      <c r="AH945" s="3">
        <f>YEAR(SrcDB[[#This Row],[Datum_zverejnenia]])</f>
        <v>2023</v>
      </c>
      <c r="AI945" s="3" cm="1">
        <f t="array" ref="AI945">COUNT(_xlfn.UNIQUE(_xlfn._xlws.FILTER(SrcDB[ID],SrcDB[Objednavatel_ICO]=$H945)))</f>
        <v>17</v>
      </c>
      <c r="AJ945" s="3" cm="1">
        <f t="array" ref="AJ945">COUNT(_xlfn.UNIQUE(_xlfn._xlws.FILTER(SrcDB[ID],SrcDB[Dodavatel_ICO]=$K945)))</f>
        <v>7</v>
      </c>
      <c r="AK945" s="3">
        <f t="shared" si="1001"/>
        <v>0</v>
      </c>
      <c r="AL945" s="3">
        <f t="shared" si="1002"/>
        <v>0</v>
      </c>
      <c r="AM945" s="17" t="str">
        <f>IF(SrcDB[[#This Row],[Pocet zmluv objednavatela]]&gt;3,SrcDB[[#This Row],[Objednavatel]],"Ostatné")</f>
        <v>Slovenská pošta, a. s.</v>
      </c>
      <c r="AN945" s="17" t="str">
        <f>IF(SrcDB[[#This Row],[Pocet zmluv dodavatela]]&gt;3,SrcDB[[#This Row],[Dodavatel]],"Ostatné")</f>
        <v>Plaut Slovensko, s.r.o.</v>
      </c>
    </row>
    <row r="946" spans="1:40" x14ac:dyDescent="0.3">
      <c r="A946" s="2" t="s">
        <v>1131</v>
      </c>
      <c r="B946" s="2">
        <v>7628179</v>
      </c>
      <c r="C946" s="3" t="str">
        <f t="shared" si="995"/>
        <v>Nie</v>
      </c>
      <c r="D946" s="3" t="str">
        <f t="shared" si="996"/>
        <v>Áno</v>
      </c>
      <c r="E946" s="3" t="s">
        <v>48</v>
      </c>
      <c r="F946" s="3" t="s">
        <v>49</v>
      </c>
      <c r="G946" s="2" t="str">
        <f t="shared" si="997"/>
        <v>Malé zmluvy</v>
      </c>
      <c r="H946" s="5">
        <v>36631124</v>
      </c>
      <c r="I946" s="2" t="s">
        <v>104</v>
      </c>
      <c r="J946" s="2" t="s">
        <v>105</v>
      </c>
      <c r="K946" s="5">
        <v>35785284</v>
      </c>
      <c r="L946" s="2" t="s">
        <v>291</v>
      </c>
      <c r="M946" s="2" t="s">
        <v>292</v>
      </c>
      <c r="N946" s="6">
        <v>45000.612476851849</v>
      </c>
      <c r="O946" s="4">
        <v>232400</v>
      </c>
      <c r="P946" s="2">
        <v>114573</v>
      </c>
      <c r="Q946" s="2" t="s">
        <v>1132</v>
      </c>
      <c r="R946" s="2" t="s">
        <v>1133</v>
      </c>
      <c r="S946" s="2" t="s">
        <v>56</v>
      </c>
      <c r="T946" s="2" t="s">
        <v>112</v>
      </c>
      <c r="U946" s="2" t="s">
        <v>113</v>
      </c>
      <c r="W946" s="4">
        <v>760</v>
      </c>
      <c r="X946" s="4">
        <v>912</v>
      </c>
      <c r="Y946" s="4">
        <f t="shared" ref="Y946" si="1050">INDEX(InternalRates,MATCH($S946,InternalRates01,FALSE),2)</f>
        <v>278.98333333333335</v>
      </c>
      <c r="Z946" s="3" t="str">
        <f t="shared" si="1031"/>
        <v>Nie</v>
      </c>
      <c r="AA946" s="3" t="str">
        <f t="shared" si="1032"/>
        <v>SLA</v>
      </c>
      <c r="AD946" s="3" t="s">
        <v>48</v>
      </c>
      <c r="AE946" s="6">
        <v>45544</v>
      </c>
      <c r="AF946" s="3" t="s">
        <v>59</v>
      </c>
      <c r="AG946" s="3" t="s">
        <v>48</v>
      </c>
      <c r="AH946" s="3">
        <f>YEAR(SrcDB[[#This Row],[Datum_zverejnenia]])</f>
        <v>2023</v>
      </c>
      <c r="AI946" s="3" cm="1">
        <f t="array" ref="AI946">COUNT(_xlfn.UNIQUE(_xlfn._xlws.FILTER(SrcDB[ID],SrcDB[Objednavatel_ICO]=$H946)))</f>
        <v>17</v>
      </c>
      <c r="AJ946" s="3" cm="1">
        <f t="array" ref="AJ946">COUNT(_xlfn.UNIQUE(_xlfn._xlws.FILTER(SrcDB[ID],SrcDB[Dodavatel_ICO]=$K946)))</f>
        <v>7</v>
      </c>
      <c r="AK946" s="3">
        <f t="shared" si="1001"/>
        <v>0</v>
      </c>
      <c r="AL946" s="3">
        <f t="shared" si="1002"/>
        <v>0</v>
      </c>
      <c r="AM946" s="17" t="str">
        <f>IF(SrcDB[[#This Row],[Pocet zmluv objednavatela]]&gt;3,SrcDB[[#This Row],[Objednavatel]],"Ostatné")</f>
        <v>Slovenská pošta, a. s.</v>
      </c>
      <c r="AN946" s="17" t="str">
        <f>IF(SrcDB[[#This Row],[Pocet zmluv dodavatela]]&gt;3,SrcDB[[#This Row],[Dodavatel]],"Ostatné")</f>
        <v>Plaut Slovensko, s.r.o.</v>
      </c>
    </row>
    <row r="947" spans="1:40" x14ac:dyDescent="0.3">
      <c r="A947" s="2" t="s">
        <v>1131</v>
      </c>
      <c r="B947" s="2">
        <v>7628179</v>
      </c>
      <c r="C947" s="3" t="str">
        <f t="shared" si="995"/>
        <v>Nie</v>
      </c>
      <c r="D947" s="3" t="str">
        <f t="shared" si="996"/>
        <v>Áno</v>
      </c>
      <c r="E947" s="3" t="s">
        <v>48</v>
      </c>
      <c r="F947" s="3" t="s">
        <v>49</v>
      </c>
      <c r="G947" s="2" t="str">
        <f t="shared" si="997"/>
        <v>Malé zmluvy</v>
      </c>
      <c r="H947" s="5">
        <v>36631124</v>
      </c>
      <c r="I947" s="2" t="s">
        <v>104</v>
      </c>
      <c r="J947" s="2" t="s">
        <v>105</v>
      </c>
      <c r="K947" s="5">
        <v>35785284</v>
      </c>
      <c r="L947" s="2" t="s">
        <v>291</v>
      </c>
      <c r="M947" s="2" t="s">
        <v>292</v>
      </c>
      <c r="N947" s="6">
        <v>45000.612476851849</v>
      </c>
      <c r="O947" s="4">
        <v>232400</v>
      </c>
      <c r="P947" s="2">
        <v>114573</v>
      </c>
      <c r="Q947" s="2" t="s">
        <v>1132</v>
      </c>
      <c r="R947" s="2" t="s">
        <v>1133</v>
      </c>
      <c r="S947" s="2" t="s">
        <v>77</v>
      </c>
      <c r="T947" s="2" t="s">
        <v>1136</v>
      </c>
      <c r="W947" s="4">
        <v>680</v>
      </c>
      <c r="X947" s="4">
        <v>816</v>
      </c>
      <c r="Y947" s="4">
        <f t="shared" ref="Y947" si="1051">INDEX(InternalRates,MATCH($S947,InternalRates01,FALSE),2)</f>
        <v>278.98333333333335</v>
      </c>
      <c r="Z947" s="3" t="str">
        <f t="shared" si="1031"/>
        <v>Nie</v>
      </c>
      <c r="AA947" s="3" t="str">
        <f t="shared" si="1032"/>
        <v>SLA</v>
      </c>
      <c r="AD947" s="3" t="s">
        <v>48</v>
      </c>
      <c r="AE947" s="6">
        <v>45544</v>
      </c>
      <c r="AF947" s="3" t="s">
        <v>59</v>
      </c>
      <c r="AG947" s="3" t="s">
        <v>48</v>
      </c>
      <c r="AH947" s="3">
        <f>YEAR(SrcDB[[#This Row],[Datum_zverejnenia]])</f>
        <v>2023</v>
      </c>
      <c r="AI947" s="3" cm="1">
        <f t="array" ref="AI947">COUNT(_xlfn.UNIQUE(_xlfn._xlws.FILTER(SrcDB[ID],SrcDB[Objednavatel_ICO]=$H947)))</f>
        <v>17</v>
      </c>
      <c r="AJ947" s="3" cm="1">
        <f t="array" ref="AJ947">COUNT(_xlfn.UNIQUE(_xlfn._xlws.FILTER(SrcDB[ID],SrcDB[Dodavatel_ICO]=$K947)))</f>
        <v>7</v>
      </c>
      <c r="AK947" s="3">
        <f t="shared" si="1001"/>
        <v>0</v>
      </c>
      <c r="AL947" s="3">
        <f t="shared" si="1002"/>
        <v>0</v>
      </c>
      <c r="AM947" s="17" t="str">
        <f>IF(SrcDB[[#This Row],[Pocet zmluv objednavatela]]&gt;3,SrcDB[[#This Row],[Objednavatel]],"Ostatné")</f>
        <v>Slovenská pošta, a. s.</v>
      </c>
      <c r="AN947" s="17" t="str">
        <f>IF(SrcDB[[#This Row],[Pocet zmluv dodavatela]]&gt;3,SrcDB[[#This Row],[Dodavatel]],"Ostatné")</f>
        <v>Plaut Slovensko, s.r.o.</v>
      </c>
    </row>
    <row r="948" spans="1:40" x14ac:dyDescent="0.3">
      <c r="A948" s="2" t="s">
        <v>1131</v>
      </c>
      <c r="B948" s="2">
        <v>7628179</v>
      </c>
      <c r="C948" s="3" t="str">
        <f t="shared" si="995"/>
        <v>Nie</v>
      </c>
      <c r="D948" s="3" t="str">
        <f t="shared" si="996"/>
        <v>Áno</v>
      </c>
      <c r="E948" s="3" t="s">
        <v>48</v>
      </c>
      <c r="F948" s="3" t="s">
        <v>49</v>
      </c>
      <c r="G948" s="2" t="str">
        <f t="shared" si="997"/>
        <v>Malé zmluvy</v>
      </c>
      <c r="H948" s="5">
        <v>36631124</v>
      </c>
      <c r="I948" s="2" t="s">
        <v>104</v>
      </c>
      <c r="J948" s="2" t="s">
        <v>105</v>
      </c>
      <c r="K948" s="5">
        <v>35785284</v>
      </c>
      <c r="L948" s="2" t="s">
        <v>291</v>
      </c>
      <c r="M948" s="2" t="s">
        <v>292</v>
      </c>
      <c r="N948" s="6">
        <v>45000.612476851849</v>
      </c>
      <c r="O948" s="4">
        <v>232400</v>
      </c>
      <c r="P948" s="2">
        <v>114573</v>
      </c>
      <c r="Q948" s="2" t="s">
        <v>1132</v>
      </c>
      <c r="R948" s="2" t="s">
        <v>1133</v>
      </c>
      <c r="S948" s="2" t="s">
        <v>79</v>
      </c>
      <c r="T948" s="2" t="s">
        <v>1137</v>
      </c>
      <c r="W948" s="4">
        <v>536</v>
      </c>
      <c r="X948" s="4">
        <v>643.19999999999993</v>
      </c>
      <c r="Y948" s="4">
        <f t="shared" ref="Y948" si="1052">INDEX(InternalRates,MATCH($S948,InternalRates01,FALSE),2)</f>
        <v>278.98333333333335</v>
      </c>
      <c r="Z948" s="3" t="str">
        <f t="shared" si="1031"/>
        <v>Nie</v>
      </c>
      <c r="AA948" s="3" t="str">
        <f t="shared" si="1032"/>
        <v>SLA</v>
      </c>
      <c r="AD948" s="3" t="s">
        <v>48</v>
      </c>
      <c r="AE948" s="6">
        <v>45544</v>
      </c>
      <c r="AF948" s="3" t="s">
        <v>59</v>
      </c>
      <c r="AG948" s="3" t="s">
        <v>48</v>
      </c>
      <c r="AH948" s="3">
        <f>YEAR(SrcDB[[#This Row],[Datum_zverejnenia]])</f>
        <v>2023</v>
      </c>
      <c r="AI948" s="3" cm="1">
        <f t="array" ref="AI948">COUNT(_xlfn.UNIQUE(_xlfn._xlws.FILTER(SrcDB[ID],SrcDB[Objednavatel_ICO]=$H948)))</f>
        <v>17</v>
      </c>
      <c r="AJ948" s="3" cm="1">
        <f t="array" ref="AJ948">COUNT(_xlfn.UNIQUE(_xlfn._xlws.FILTER(SrcDB[ID],SrcDB[Dodavatel_ICO]=$K948)))</f>
        <v>7</v>
      </c>
      <c r="AK948" s="3">
        <f t="shared" si="1001"/>
        <v>0</v>
      </c>
      <c r="AL948" s="3">
        <f t="shared" si="1002"/>
        <v>0</v>
      </c>
      <c r="AM948" s="17" t="str">
        <f>IF(SrcDB[[#This Row],[Pocet zmluv objednavatela]]&gt;3,SrcDB[[#This Row],[Objednavatel]],"Ostatné")</f>
        <v>Slovenská pošta, a. s.</v>
      </c>
      <c r="AN948" s="17" t="str">
        <f>IF(SrcDB[[#This Row],[Pocet zmluv dodavatela]]&gt;3,SrcDB[[#This Row],[Dodavatel]],"Ostatné")</f>
        <v>Plaut Slovensko, s.r.o.</v>
      </c>
    </row>
    <row r="949" spans="1:40" x14ac:dyDescent="0.3">
      <c r="A949" s="2" t="s">
        <v>1131</v>
      </c>
      <c r="B949" s="2">
        <v>7628179</v>
      </c>
      <c r="C949" s="3" t="str">
        <f t="shared" si="995"/>
        <v>Nie</v>
      </c>
      <c r="D949" s="3" t="str">
        <f t="shared" si="996"/>
        <v>Áno</v>
      </c>
      <c r="E949" s="3" t="s">
        <v>48</v>
      </c>
      <c r="F949" s="3" t="s">
        <v>49</v>
      </c>
      <c r="G949" s="2" t="str">
        <f t="shared" si="997"/>
        <v>Malé zmluvy</v>
      </c>
      <c r="H949" s="5">
        <v>36631124</v>
      </c>
      <c r="I949" s="2" t="s">
        <v>104</v>
      </c>
      <c r="J949" s="2" t="s">
        <v>105</v>
      </c>
      <c r="K949" s="5">
        <v>35785284</v>
      </c>
      <c r="L949" s="2" t="s">
        <v>291</v>
      </c>
      <c r="M949" s="2" t="s">
        <v>292</v>
      </c>
      <c r="N949" s="6">
        <v>45000.612476851849</v>
      </c>
      <c r="O949" s="4">
        <v>232400</v>
      </c>
      <c r="P949" s="2">
        <v>114573</v>
      </c>
      <c r="Q949" s="2" t="s">
        <v>1132</v>
      </c>
      <c r="R949" s="2" t="s">
        <v>1133</v>
      </c>
      <c r="S949" s="2" t="s">
        <v>102</v>
      </c>
      <c r="T949" s="2" t="s">
        <v>1138</v>
      </c>
      <c r="W949" s="4">
        <v>344</v>
      </c>
      <c r="X949" s="4">
        <v>412.8</v>
      </c>
      <c r="Y949" s="4">
        <f t="shared" ref="Y949" si="1053">INDEX(InternalRates,MATCH($S949,InternalRates01,FALSE),2)</f>
        <v>278.98333333333335</v>
      </c>
      <c r="Z949" s="3" t="str">
        <f t="shared" si="1031"/>
        <v>Nie</v>
      </c>
      <c r="AA949" s="3" t="str">
        <f t="shared" si="1032"/>
        <v>SLA</v>
      </c>
      <c r="AD949" s="3" t="s">
        <v>48</v>
      </c>
      <c r="AE949" s="6">
        <v>45544</v>
      </c>
      <c r="AF949" s="3" t="s">
        <v>59</v>
      </c>
      <c r="AG949" s="3" t="s">
        <v>48</v>
      </c>
      <c r="AH949" s="3">
        <f>YEAR(SrcDB[[#This Row],[Datum_zverejnenia]])</f>
        <v>2023</v>
      </c>
      <c r="AI949" s="3" cm="1">
        <f t="array" ref="AI949">COUNT(_xlfn.UNIQUE(_xlfn._xlws.FILTER(SrcDB[ID],SrcDB[Objednavatel_ICO]=$H949)))</f>
        <v>17</v>
      </c>
      <c r="AJ949" s="3" cm="1">
        <f t="array" ref="AJ949">COUNT(_xlfn.UNIQUE(_xlfn._xlws.FILTER(SrcDB[ID],SrcDB[Dodavatel_ICO]=$K949)))</f>
        <v>7</v>
      </c>
      <c r="AK949" s="3">
        <f t="shared" si="1001"/>
        <v>0</v>
      </c>
      <c r="AL949" s="3">
        <f t="shared" si="1002"/>
        <v>0</v>
      </c>
      <c r="AM949" s="17" t="str">
        <f>IF(SrcDB[[#This Row],[Pocet zmluv objednavatela]]&gt;3,SrcDB[[#This Row],[Objednavatel]],"Ostatné")</f>
        <v>Slovenská pošta, a. s.</v>
      </c>
      <c r="AN949" s="17" t="str">
        <f>IF(SrcDB[[#This Row],[Pocet zmluv dodavatela]]&gt;3,SrcDB[[#This Row],[Dodavatel]],"Ostatné")</f>
        <v>Plaut Slovensko, s.r.o.</v>
      </c>
    </row>
    <row r="950" spans="1:40" x14ac:dyDescent="0.3">
      <c r="A950" s="2" t="s">
        <v>1139</v>
      </c>
      <c r="B950" s="2">
        <v>7699924</v>
      </c>
      <c r="C950" s="3" t="str">
        <f t="shared" si="995"/>
        <v>Nie</v>
      </c>
      <c r="D950" s="3" t="str">
        <f t="shared" si="996"/>
        <v>Áno</v>
      </c>
      <c r="E950" s="3" t="s">
        <v>48</v>
      </c>
      <c r="F950" s="3" t="s">
        <v>49</v>
      </c>
      <c r="G950" s="2" t="str">
        <f t="shared" si="997"/>
        <v>Malé zmluvy</v>
      </c>
      <c r="H950" s="5">
        <v>52265021</v>
      </c>
      <c r="I950" s="2" t="s">
        <v>1140</v>
      </c>
      <c r="J950" s="2" t="s">
        <v>1141</v>
      </c>
      <c r="K950" s="5">
        <v>35760419</v>
      </c>
      <c r="L950" s="2" t="s">
        <v>85</v>
      </c>
      <c r="M950" s="2" t="s">
        <v>1142</v>
      </c>
      <c r="N950" s="6">
        <v>45016.438414351855</v>
      </c>
      <c r="O950" s="4">
        <v>483982.25</v>
      </c>
      <c r="P950" s="2">
        <v>114725</v>
      </c>
      <c r="Q950" s="2" t="s">
        <v>1143</v>
      </c>
      <c r="R950" s="2" t="s">
        <v>1144</v>
      </c>
      <c r="S950" s="2" t="s">
        <v>69</v>
      </c>
      <c r="T950" s="2" t="s">
        <v>468</v>
      </c>
      <c r="W950" s="4">
        <v>713.84</v>
      </c>
      <c r="X950" s="4">
        <v>856.60800000000006</v>
      </c>
      <c r="Y950" s="4">
        <f t="shared" ref="Y950" si="1054">INDEX(InternalRates,MATCH($S950,InternalRates01,FALSE),2)</f>
        <v>278.98333333333335</v>
      </c>
      <c r="Z950" s="3" t="str">
        <f t="shared" si="1031"/>
        <v>Nie</v>
      </c>
      <c r="AA950" s="3" t="str">
        <f t="shared" si="1032"/>
        <v>SLA</v>
      </c>
      <c r="AB950" s="4">
        <v>445</v>
      </c>
      <c r="AD950" s="3" t="s">
        <v>49</v>
      </c>
      <c r="AE950" s="6">
        <v>45544</v>
      </c>
      <c r="AF950" s="3" t="s">
        <v>59</v>
      </c>
      <c r="AG950" s="3" t="s">
        <v>48</v>
      </c>
      <c r="AH950" s="3">
        <f>YEAR(SrcDB[[#This Row],[Datum_zverejnenia]])</f>
        <v>2023</v>
      </c>
      <c r="AI950" s="3" cm="1">
        <f t="array" ref="AI950">COUNT(_xlfn.UNIQUE(_xlfn._xlws.FILTER(SrcDB[ID],SrcDB[Objednavatel_ICO]=$H950)))</f>
        <v>1</v>
      </c>
      <c r="AJ950" s="3" cm="1">
        <f t="array" ref="AJ950">COUNT(_xlfn.UNIQUE(_xlfn._xlws.FILTER(SrcDB[ID],SrcDB[Dodavatel_ICO]=$K950)))</f>
        <v>34</v>
      </c>
      <c r="AK950" s="3">
        <f t="shared" si="1001"/>
        <v>1</v>
      </c>
      <c r="AL950" s="3">
        <f t="shared" si="1002"/>
        <v>1</v>
      </c>
      <c r="AM950" s="17" t="str">
        <f>IF(SrcDB[[#This Row],[Pocet zmluv objednavatela]]&gt;3,SrcDB[[#This Row],[Objednavatel]],"Ostatné")</f>
        <v>Ostatné</v>
      </c>
      <c r="AN950" s="17" t="str">
        <f>IF(SrcDB[[#This Row],[Pocet zmluv dodavatela]]&gt;3,SrcDB[[#This Row],[Dodavatel]],"Ostatné")</f>
        <v>Asseco Central Europe, a.s.</v>
      </c>
    </row>
    <row r="951" spans="1:40" x14ac:dyDescent="0.3">
      <c r="A951" s="2" t="s">
        <v>1139</v>
      </c>
      <c r="B951" s="2">
        <v>7699924</v>
      </c>
      <c r="C951" s="3" t="str">
        <f t="shared" si="995"/>
        <v>Nie</v>
      </c>
      <c r="D951" s="3" t="str">
        <f t="shared" si="996"/>
        <v>Áno</v>
      </c>
      <c r="E951" s="3" t="s">
        <v>48</v>
      </c>
      <c r="F951" s="3" t="s">
        <v>49</v>
      </c>
      <c r="G951" s="2" t="str">
        <f t="shared" si="997"/>
        <v>Malé zmluvy</v>
      </c>
      <c r="H951" s="5">
        <v>52265021</v>
      </c>
      <c r="I951" s="2" t="s">
        <v>1140</v>
      </c>
      <c r="J951" s="2" t="s">
        <v>1141</v>
      </c>
      <c r="K951" s="5">
        <v>35760419</v>
      </c>
      <c r="L951" s="2" t="s">
        <v>85</v>
      </c>
      <c r="M951" s="2" t="s">
        <v>1142</v>
      </c>
      <c r="N951" s="6">
        <v>45016.438414351855</v>
      </c>
      <c r="O951" s="4">
        <v>483982.25</v>
      </c>
      <c r="P951" s="2">
        <v>114725</v>
      </c>
      <c r="Q951" s="2" t="s">
        <v>1143</v>
      </c>
      <c r="R951" s="2" t="s">
        <v>1144</v>
      </c>
      <c r="S951" s="2" t="s">
        <v>73</v>
      </c>
      <c r="T951" s="2" t="s">
        <v>1145</v>
      </c>
      <c r="W951" s="4">
        <v>713.84</v>
      </c>
      <c r="X951" s="4">
        <v>856.60800000000006</v>
      </c>
      <c r="Y951" s="4">
        <f t="shared" ref="Y951" si="1055">INDEX(InternalRates,MATCH($S951,InternalRates01,FALSE),2)</f>
        <v>278.98333333333335</v>
      </c>
      <c r="Z951" s="3" t="str">
        <f t="shared" si="1031"/>
        <v>Nie</v>
      </c>
      <c r="AA951" s="3" t="str">
        <f t="shared" si="1032"/>
        <v>SLA</v>
      </c>
      <c r="AB951" s="4">
        <v>1361</v>
      </c>
      <c r="AD951" s="3" t="s">
        <v>49</v>
      </c>
      <c r="AE951" s="6">
        <v>45544</v>
      </c>
      <c r="AF951" s="3" t="s">
        <v>59</v>
      </c>
      <c r="AG951" s="3" t="s">
        <v>48</v>
      </c>
      <c r="AH951" s="3">
        <f>YEAR(SrcDB[[#This Row],[Datum_zverejnenia]])</f>
        <v>2023</v>
      </c>
      <c r="AI951" s="3" cm="1">
        <f t="array" ref="AI951">COUNT(_xlfn.UNIQUE(_xlfn._xlws.FILTER(SrcDB[ID],SrcDB[Objednavatel_ICO]=$H951)))</f>
        <v>1</v>
      </c>
      <c r="AJ951" s="3" cm="1">
        <f t="array" ref="AJ951">COUNT(_xlfn.UNIQUE(_xlfn._xlws.FILTER(SrcDB[ID],SrcDB[Dodavatel_ICO]=$K951)))</f>
        <v>34</v>
      </c>
      <c r="AK951" s="3">
        <f t="shared" si="1001"/>
        <v>0</v>
      </c>
      <c r="AL951" s="3">
        <f t="shared" si="1002"/>
        <v>0</v>
      </c>
      <c r="AM951" s="17" t="str">
        <f>IF(SrcDB[[#This Row],[Pocet zmluv objednavatela]]&gt;3,SrcDB[[#This Row],[Objednavatel]],"Ostatné")</f>
        <v>Ostatné</v>
      </c>
      <c r="AN951" s="17" t="str">
        <f>IF(SrcDB[[#This Row],[Pocet zmluv dodavatela]]&gt;3,SrcDB[[#This Row],[Dodavatel]],"Ostatné")</f>
        <v>Asseco Central Europe, a.s.</v>
      </c>
    </row>
    <row r="952" spans="1:40" x14ac:dyDescent="0.3">
      <c r="A952" s="2" t="s">
        <v>1139</v>
      </c>
      <c r="B952" s="2">
        <v>7699924</v>
      </c>
      <c r="C952" s="3" t="str">
        <f t="shared" si="995"/>
        <v>Nie</v>
      </c>
      <c r="D952" s="3" t="str">
        <f t="shared" si="996"/>
        <v>Áno</v>
      </c>
      <c r="E952" s="3" t="s">
        <v>48</v>
      </c>
      <c r="F952" s="3" t="s">
        <v>49</v>
      </c>
      <c r="G952" s="2" t="str">
        <f t="shared" si="997"/>
        <v>Malé zmluvy</v>
      </c>
      <c r="H952" s="5">
        <v>52265021</v>
      </c>
      <c r="I952" s="2" t="s">
        <v>1140</v>
      </c>
      <c r="J952" s="2" t="s">
        <v>1141</v>
      </c>
      <c r="K952" s="5">
        <v>35760419</v>
      </c>
      <c r="L952" s="2" t="s">
        <v>85</v>
      </c>
      <c r="M952" s="2" t="s">
        <v>1142</v>
      </c>
      <c r="N952" s="6">
        <v>45016.438414351855</v>
      </c>
      <c r="O952" s="4">
        <v>483982.25</v>
      </c>
      <c r="P952" s="2">
        <v>114725</v>
      </c>
      <c r="Q952" s="2" t="s">
        <v>1143</v>
      </c>
      <c r="R952" s="2" t="s">
        <v>1144</v>
      </c>
      <c r="S952" s="2" t="s">
        <v>71</v>
      </c>
      <c r="T952" s="2" t="s">
        <v>1146</v>
      </c>
      <c r="W952" s="4">
        <v>713.84</v>
      </c>
      <c r="X952" s="4">
        <v>856.60800000000006</v>
      </c>
      <c r="Y952" s="4">
        <f t="shared" ref="Y952" si="1056">INDEX(InternalRates,MATCH($S952,InternalRates01,FALSE),2)</f>
        <v>354.0333333333333</v>
      </c>
      <c r="Z952" s="3" t="str">
        <f t="shared" si="1031"/>
        <v>Nie</v>
      </c>
      <c r="AA952" s="3" t="str">
        <f t="shared" si="1032"/>
        <v>SLA</v>
      </c>
      <c r="AB952" s="4">
        <v>261</v>
      </c>
      <c r="AD952" s="3" t="s">
        <v>49</v>
      </c>
      <c r="AE952" s="6">
        <v>45544</v>
      </c>
      <c r="AF952" s="3" t="s">
        <v>59</v>
      </c>
      <c r="AG952" s="3" t="s">
        <v>48</v>
      </c>
      <c r="AH952" s="3">
        <f>YEAR(SrcDB[[#This Row],[Datum_zverejnenia]])</f>
        <v>2023</v>
      </c>
      <c r="AI952" s="3" cm="1">
        <f t="array" ref="AI952">COUNT(_xlfn.UNIQUE(_xlfn._xlws.FILTER(SrcDB[ID],SrcDB[Objednavatel_ICO]=$H952)))</f>
        <v>1</v>
      </c>
      <c r="AJ952" s="3" cm="1">
        <f t="array" ref="AJ952">COUNT(_xlfn.UNIQUE(_xlfn._xlws.FILTER(SrcDB[ID],SrcDB[Dodavatel_ICO]=$K952)))</f>
        <v>34</v>
      </c>
      <c r="AK952" s="3">
        <f t="shared" si="1001"/>
        <v>0</v>
      </c>
      <c r="AL952" s="3">
        <f t="shared" si="1002"/>
        <v>0</v>
      </c>
      <c r="AM952" s="17" t="str">
        <f>IF(SrcDB[[#This Row],[Pocet zmluv objednavatela]]&gt;3,SrcDB[[#This Row],[Objednavatel]],"Ostatné")</f>
        <v>Ostatné</v>
      </c>
      <c r="AN952" s="17" t="str">
        <f>IF(SrcDB[[#This Row],[Pocet zmluv dodavatela]]&gt;3,SrcDB[[#This Row],[Dodavatel]],"Ostatné")</f>
        <v>Asseco Central Europe, a.s.</v>
      </c>
    </row>
    <row r="953" spans="1:40" x14ac:dyDescent="0.3">
      <c r="A953" s="2" t="s">
        <v>1139</v>
      </c>
      <c r="B953" s="2">
        <v>7699924</v>
      </c>
      <c r="C953" s="3" t="str">
        <f t="shared" si="995"/>
        <v>Nie</v>
      </c>
      <c r="D953" s="3" t="str">
        <f t="shared" si="996"/>
        <v>Áno</v>
      </c>
      <c r="E953" s="3" t="s">
        <v>48</v>
      </c>
      <c r="F953" s="3" t="s">
        <v>49</v>
      </c>
      <c r="G953" s="2" t="str">
        <f t="shared" si="997"/>
        <v>Malé zmluvy</v>
      </c>
      <c r="H953" s="5">
        <v>52265021</v>
      </c>
      <c r="I953" s="2" t="s">
        <v>1140</v>
      </c>
      <c r="J953" s="2" t="s">
        <v>1141</v>
      </c>
      <c r="K953" s="5">
        <v>35760419</v>
      </c>
      <c r="L953" s="2" t="s">
        <v>85</v>
      </c>
      <c r="M953" s="2" t="s">
        <v>1142</v>
      </c>
      <c r="N953" s="6">
        <v>45016.438414351855</v>
      </c>
      <c r="O953" s="4">
        <v>483982.25</v>
      </c>
      <c r="P953" s="2">
        <v>114725</v>
      </c>
      <c r="Q953" s="2" t="s">
        <v>1143</v>
      </c>
      <c r="R953" s="2" t="s">
        <v>1144</v>
      </c>
      <c r="S953" s="2" t="s">
        <v>77</v>
      </c>
      <c r="T953" s="2" t="s">
        <v>471</v>
      </c>
      <c r="W953" s="4">
        <v>713.84</v>
      </c>
      <c r="X953" s="4">
        <v>856.60800000000006</v>
      </c>
      <c r="Y953" s="4">
        <f t="shared" ref="Y953" si="1057">INDEX(InternalRates,MATCH($S953,InternalRates01,FALSE),2)</f>
        <v>278.98333333333335</v>
      </c>
      <c r="Z953" s="3" t="str">
        <f t="shared" si="1031"/>
        <v>Nie</v>
      </c>
      <c r="AA953" s="3" t="str">
        <f t="shared" si="1032"/>
        <v>SLA</v>
      </c>
      <c r="AB953" s="4">
        <v>2777</v>
      </c>
      <c r="AD953" s="3" t="s">
        <v>49</v>
      </c>
      <c r="AE953" s="6">
        <v>45544</v>
      </c>
      <c r="AF953" s="3" t="s">
        <v>59</v>
      </c>
      <c r="AG953" s="3" t="s">
        <v>48</v>
      </c>
      <c r="AH953" s="3">
        <f>YEAR(SrcDB[[#This Row],[Datum_zverejnenia]])</f>
        <v>2023</v>
      </c>
      <c r="AI953" s="3" cm="1">
        <f t="array" ref="AI953">COUNT(_xlfn.UNIQUE(_xlfn._xlws.FILTER(SrcDB[ID],SrcDB[Objednavatel_ICO]=$H953)))</f>
        <v>1</v>
      </c>
      <c r="AJ953" s="3" cm="1">
        <f t="array" ref="AJ953">COUNT(_xlfn.UNIQUE(_xlfn._xlws.FILTER(SrcDB[ID],SrcDB[Dodavatel_ICO]=$K953)))</f>
        <v>34</v>
      </c>
      <c r="AK953" s="3">
        <f t="shared" si="1001"/>
        <v>0</v>
      </c>
      <c r="AL953" s="3">
        <f t="shared" si="1002"/>
        <v>0</v>
      </c>
      <c r="AM953" s="17" t="str">
        <f>IF(SrcDB[[#This Row],[Pocet zmluv objednavatela]]&gt;3,SrcDB[[#This Row],[Objednavatel]],"Ostatné")</f>
        <v>Ostatné</v>
      </c>
      <c r="AN953" s="17" t="str">
        <f>IF(SrcDB[[#This Row],[Pocet zmluv dodavatela]]&gt;3,SrcDB[[#This Row],[Dodavatel]],"Ostatné")</f>
        <v>Asseco Central Europe, a.s.</v>
      </c>
    </row>
    <row r="954" spans="1:40" x14ac:dyDescent="0.3">
      <c r="A954" s="2" t="s">
        <v>1139</v>
      </c>
      <c r="B954" s="2">
        <v>7699924</v>
      </c>
      <c r="C954" s="3" t="str">
        <f t="shared" si="995"/>
        <v>Nie</v>
      </c>
      <c r="D954" s="3" t="str">
        <f t="shared" si="996"/>
        <v>Áno</v>
      </c>
      <c r="E954" s="3" t="s">
        <v>48</v>
      </c>
      <c r="F954" s="3" t="s">
        <v>49</v>
      </c>
      <c r="G954" s="2" t="str">
        <f t="shared" si="997"/>
        <v>Malé zmluvy</v>
      </c>
      <c r="H954" s="5">
        <v>52265021</v>
      </c>
      <c r="I954" s="2" t="s">
        <v>1140</v>
      </c>
      <c r="J954" s="2" t="s">
        <v>1141</v>
      </c>
      <c r="K954" s="5">
        <v>35760419</v>
      </c>
      <c r="L954" s="2" t="s">
        <v>85</v>
      </c>
      <c r="M954" s="2" t="s">
        <v>1142</v>
      </c>
      <c r="N954" s="6">
        <v>45016.438414351855</v>
      </c>
      <c r="O954" s="4">
        <v>483982.25</v>
      </c>
      <c r="P954" s="2">
        <v>114725</v>
      </c>
      <c r="Q954" s="2" t="s">
        <v>1143</v>
      </c>
      <c r="R954" s="2" t="s">
        <v>1144</v>
      </c>
      <c r="S954" s="2" t="s">
        <v>79</v>
      </c>
      <c r="T954" s="2" t="s">
        <v>1147</v>
      </c>
      <c r="W954" s="4">
        <v>713.84</v>
      </c>
      <c r="X954" s="4">
        <v>856.60800000000006</v>
      </c>
      <c r="Y954" s="4">
        <f t="shared" ref="Y954" si="1058">INDEX(InternalRates,MATCH($S954,InternalRates01,FALSE),2)</f>
        <v>278.98333333333335</v>
      </c>
      <c r="Z954" s="3" t="str">
        <f t="shared" si="1031"/>
        <v>Nie</v>
      </c>
      <c r="AA954" s="3" t="str">
        <f t="shared" si="1032"/>
        <v>SLA</v>
      </c>
      <c r="AB954" s="4">
        <v>777</v>
      </c>
      <c r="AD954" s="3" t="s">
        <v>49</v>
      </c>
      <c r="AE954" s="6">
        <v>45544</v>
      </c>
      <c r="AF954" s="3" t="s">
        <v>59</v>
      </c>
      <c r="AG954" s="3" t="s">
        <v>48</v>
      </c>
      <c r="AH954" s="3">
        <f>YEAR(SrcDB[[#This Row],[Datum_zverejnenia]])</f>
        <v>2023</v>
      </c>
      <c r="AI954" s="3" cm="1">
        <f t="array" ref="AI954">COUNT(_xlfn.UNIQUE(_xlfn._xlws.FILTER(SrcDB[ID],SrcDB[Objednavatel_ICO]=$H954)))</f>
        <v>1</v>
      </c>
      <c r="AJ954" s="3" cm="1">
        <f t="array" ref="AJ954">COUNT(_xlfn.UNIQUE(_xlfn._xlws.FILTER(SrcDB[ID],SrcDB[Dodavatel_ICO]=$K954)))</f>
        <v>34</v>
      </c>
      <c r="AK954" s="3">
        <f t="shared" si="1001"/>
        <v>0</v>
      </c>
      <c r="AL954" s="3">
        <f t="shared" si="1002"/>
        <v>0</v>
      </c>
      <c r="AM954" s="17" t="str">
        <f>IF(SrcDB[[#This Row],[Pocet zmluv objednavatela]]&gt;3,SrcDB[[#This Row],[Objednavatel]],"Ostatné")</f>
        <v>Ostatné</v>
      </c>
      <c r="AN954" s="17" t="str">
        <f>IF(SrcDB[[#This Row],[Pocet zmluv dodavatela]]&gt;3,SrcDB[[#This Row],[Dodavatel]],"Ostatné")</f>
        <v>Asseco Central Europe, a.s.</v>
      </c>
    </row>
    <row r="955" spans="1:40" x14ac:dyDescent="0.3">
      <c r="A955" s="2" t="s">
        <v>1139</v>
      </c>
      <c r="B955" s="2">
        <v>7699924</v>
      </c>
      <c r="C955" s="3" t="str">
        <f t="shared" si="995"/>
        <v>Nie</v>
      </c>
      <c r="D955" s="3" t="str">
        <f t="shared" si="996"/>
        <v>Áno</v>
      </c>
      <c r="E955" s="3" t="s">
        <v>48</v>
      </c>
      <c r="F955" s="3" t="s">
        <v>49</v>
      </c>
      <c r="G955" s="2" t="str">
        <f t="shared" si="997"/>
        <v>Malé zmluvy</v>
      </c>
      <c r="H955" s="5">
        <v>52265021</v>
      </c>
      <c r="I955" s="2" t="s">
        <v>1140</v>
      </c>
      <c r="J955" s="2" t="s">
        <v>1141</v>
      </c>
      <c r="K955" s="5">
        <v>35760419</v>
      </c>
      <c r="L955" s="2" t="s">
        <v>85</v>
      </c>
      <c r="M955" s="2" t="s">
        <v>1142</v>
      </c>
      <c r="N955" s="6">
        <v>45016.438414351855</v>
      </c>
      <c r="O955" s="4">
        <v>483982.25</v>
      </c>
      <c r="P955" s="2">
        <v>114725</v>
      </c>
      <c r="Q955" s="2" t="s">
        <v>1143</v>
      </c>
      <c r="R955" s="2" t="s">
        <v>1144</v>
      </c>
      <c r="S955" s="2" t="s">
        <v>56</v>
      </c>
      <c r="T955" s="2" t="s">
        <v>473</v>
      </c>
      <c r="U955" s="2" t="s">
        <v>289</v>
      </c>
      <c r="W955" s="4">
        <v>713.84</v>
      </c>
      <c r="X955" s="4">
        <v>856.60800000000006</v>
      </c>
      <c r="Y955" s="4">
        <f t="shared" ref="Y955" si="1059">INDEX(InternalRates,MATCH($S955,InternalRates01,FALSE),2)</f>
        <v>278.98333333333335</v>
      </c>
      <c r="Z955" s="3" t="str">
        <f t="shared" si="1031"/>
        <v>Nie</v>
      </c>
      <c r="AA955" s="3" t="str">
        <f t="shared" si="1032"/>
        <v>SLA</v>
      </c>
      <c r="AB955" s="4">
        <v>56</v>
      </c>
      <c r="AD955" s="3" t="s">
        <v>49</v>
      </c>
      <c r="AE955" s="6">
        <v>45544</v>
      </c>
      <c r="AF955" s="3" t="s">
        <v>59</v>
      </c>
      <c r="AG955" s="3" t="s">
        <v>48</v>
      </c>
      <c r="AH955" s="3">
        <f>YEAR(SrcDB[[#This Row],[Datum_zverejnenia]])</f>
        <v>2023</v>
      </c>
      <c r="AI955" s="3" cm="1">
        <f t="array" ref="AI955">COUNT(_xlfn.UNIQUE(_xlfn._xlws.FILTER(SrcDB[ID],SrcDB[Objednavatel_ICO]=$H955)))</f>
        <v>1</v>
      </c>
      <c r="AJ955" s="3" cm="1">
        <f t="array" ref="AJ955">COUNT(_xlfn.UNIQUE(_xlfn._xlws.FILTER(SrcDB[ID],SrcDB[Dodavatel_ICO]=$K955)))</f>
        <v>34</v>
      </c>
      <c r="AK955" s="3">
        <f t="shared" si="1001"/>
        <v>0</v>
      </c>
      <c r="AL955" s="3">
        <f t="shared" si="1002"/>
        <v>0</v>
      </c>
      <c r="AM955" s="17" t="str">
        <f>IF(SrcDB[[#This Row],[Pocet zmluv objednavatela]]&gt;3,SrcDB[[#This Row],[Objednavatel]],"Ostatné")</f>
        <v>Ostatné</v>
      </c>
      <c r="AN955" s="17" t="str">
        <f>IF(SrcDB[[#This Row],[Pocet zmluv dodavatela]]&gt;3,SrcDB[[#This Row],[Dodavatel]],"Ostatné")</f>
        <v>Asseco Central Europe, a.s.</v>
      </c>
    </row>
    <row r="956" spans="1:40" x14ac:dyDescent="0.3">
      <c r="A956" s="2" t="s">
        <v>1139</v>
      </c>
      <c r="B956" s="2">
        <v>7699924</v>
      </c>
      <c r="C956" s="3" t="str">
        <f t="shared" si="995"/>
        <v>Nie</v>
      </c>
      <c r="D956" s="3" t="str">
        <f t="shared" si="996"/>
        <v>Áno</v>
      </c>
      <c r="E956" s="3" t="s">
        <v>48</v>
      </c>
      <c r="F956" s="3" t="s">
        <v>49</v>
      </c>
      <c r="G956" s="2" t="str">
        <f t="shared" si="997"/>
        <v>Malé zmluvy</v>
      </c>
      <c r="H956" s="5">
        <v>52265021</v>
      </c>
      <c r="I956" s="2" t="s">
        <v>1140</v>
      </c>
      <c r="J956" s="2" t="s">
        <v>1141</v>
      </c>
      <c r="K956" s="5">
        <v>35760419</v>
      </c>
      <c r="L956" s="2" t="s">
        <v>85</v>
      </c>
      <c r="M956" s="2" t="s">
        <v>1142</v>
      </c>
      <c r="N956" s="6">
        <v>45016.438414351855</v>
      </c>
      <c r="O956" s="4">
        <v>483982.25</v>
      </c>
      <c r="P956" s="2">
        <v>114725</v>
      </c>
      <c r="Q956" s="2" t="s">
        <v>1143</v>
      </c>
      <c r="R956" s="2" t="s">
        <v>1144</v>
      </c>
      <c r="S956" s="2" t="s">
        <v>102</v>
      </c>
      <c r="T956" s="2" t="s">
        <v>1148</v>
      </c>
      <c r="W956" s="4">
        <v>713.84</v>
      </c>
      <c r="X956" s="4">
        <v>856.60800000000006</v>
      </c>
      <c r="Y956" s="4">
        <f t="shared" ref="Y956" si="1060">INDEX(InternalRates,MATCH($S956,InternalRates01,FALSE),2)</f>
        <v>278.98333333333335</v>
      </c>
      <c r="Z956" s="3" t="str">
        <f t="shared" si="1031"/>
        <v>Nie</v>
      </c>
      <c r="AA956" s="3" t="str">
        <f t="shared" si="1032"/>
        <v>SLA</v>
      </c>
      <c r="AB956" s="4">
        <v>196</v>
      </c>
      <c r="AD956" s="3" t="s">
        <v>49</v>
      </c>
      <c r="AE956" s="6">
        <v>45544</v>
      </c>
      <c r="AF956" s="3" t="s">
        <v>59</v>
      </c>
      <c r="AG956" s="3" t="s">
        <v>48</v>
      </c>
      <c r="AH956" s="3">
        <f>YEAR(SrcDB[[#This Row],[Datum_zverejnenia]])</f>
        <v>2023</v>
      </c>
      <c r="AI956" s="3" cm="1">
        <f t="array" ref="AI956">COUNT(_xlfn.UNIQUE(_xlfn._xlws.FILTER(SrcDB[ID],SrcDB[Objednavatel_ICO]=$H956)))</f>
        <v>1</v>
      </c>
      <c r="AJ956" s="3" cm="1">
        <f t="array" ref="AJ956">COUNT(_xlfn.UNIQUE(_xlfn._xlws.FILTER(SrcDB[ID],SrcDB[Dodavatel_ICO]=$K956)))</f>
        <v>34</v>
      </c>
      <c r="AK956" s="3">
        <f t="shared" si="1001"/>
        <v>0</v>
      </c>
      <c r="AL956" s="3">
        <f t="shared" si="1002"/>
        <v>0</v>
      </c>
      <c r="AM956" s="17" t="str">
        <f>IF(SrcDB[[#This Row],[Pocet zmluv objednavatela]]&gt;3,SrcDB[[#This Row],[Objednavatel]],"Ostatné")</f>
        <v>Ostatné</v>
      </c>
      <c r="AN956" s="17" t="str">
        <f>IF(SrcDB[[#This Row],[Pocet zmluv dodavatela]]&gt;3,SrcDB[[#This Row],[Dodavatel]],"Ostatné")</f>
        <v>Asseco Central Europe, a.s.</v>
      </c>
    </row>
    <row r="957" spans="1:40" x14ac:dyDescent="0.3">
      <c r="A957" s="2" t="s">
        <v>1139</v>
      </c>
      <c r="B957" s="2">
        <v>7699924</v>
      </c>
      <c r="C957" s="3" t="str">
        <f t="shared" si="995"/>
        <v>Nie</v>
      </c>
      <c r="D957" s="3" t="str">
        <f t="shared" si="996"/>
        <v>Áno</v>
      </c>
      <c r="E957" s="3" t="s">
        <v>48</v>
      </c>
      <c r="F957" s="3" t="s">
        <v>49</v>
      </c>
      <c r="G957" s="2" t="str">
        <f t="shared" si="997"/>
        <v>Malé zmluvy</v>
      </c>
      <c r="H957" s="5">
        <v>52265021</v>
      </c>
      <c r="I957" s="2" t="s">
        <v>1140</v>
      </c>
      <c r="J957" s="2" t="s">
        <v>1141</v>
      </c>
      <c r="K957" s="5">
        <v>35760419</v>
      </c>
      <c r="L957" s="2" t="s">
        <v>85</v>
      </c>
      <c r="M957" s="2" t="s">
        <v>1142</v>
      </c>
      <c r="N957" s="6">
        <v>45016.438414351855</v>
      </c>
      <c r="O957" s="4">
        <v>483982.25</v>
      </c>
      <c r="P957" s="2">
        <v>114725</v>
      </c>
      <c r="Q957" s="2" t="s">
        <v>1143</v>
      </c>
      <c r="R957" s="2" t="s">
        <v>1144</v>
      </c>
      <c r="S957" s="2" t="s">
        <v>102</v>
      </c>
      <c r="T957" s="2" t="s">
        <v>475</v>
      </c>
      <c r="W957" s="4">
        <v>713.84</v>
      </c>
      <c r="X957" s="4">
        <v>856.60800000000006</v>
      </c>
      <c r="Y957" s="4">
        <f t="shared" ref="Y957" si="1061">INDEX(InternalRates,MATCH($S957,InternalRates01,FALSE),2)</f>
        <v>278.98333333333335</v>
      </c>
      <c r="Z957" s="3" t="str">
        <f t="shared" si="1031"/>
        <v>Nie</v>
      </c>
      <c r="AA957" s="3" t="str">
        <f t="shared" si="1032"/>
        <v>SLA</v>
      </c>
      <c r="AB957" s="4">
        <v>41</v>
      </c>
      <c r="AD957" s="3" t="s">
        <v>49</v>
      </c>
      <c r="AE957" s="6">
        <v>45544</v>
      </c>
      <c r="AF957" s="3" t="s">
        <v>59</v>
      </c>
      <c r="AG957" s="3" t="s">
        <v>48</v>
      </c>
      <c r="AH957" s="3">
        <f>YEAR(SrcDB[[#This Row],[Datum_zverejnenia]])</f>
        <v>2023</v>
      </c>
      <c r="AI957" s="3" cm="1">
        <f t="array" ref="AI957">COUNT(_xlfn.UNIQUE(_xlfn._xlws.FILTER(SrcDB[ID],SrcDB[Objednavatel_ICO]=$H957)))</f>
        <v>1</v>
      </c>
      <c r="AJ957" s="3" cm="1">
        <f t="array" ref="AJ957">COUNT(_xlfn.UNIQUE(_xlfn._xlws.FILTER(SrcDB[ID],SrcDB[Dodavatel_ICO]=$K957)))</f>
        <v>34</v>
      </c>
      <c r="AK957" s="3">
        <f t="shared" si="1001"/>
        <v>0</v>
      </c>
      <c r="AL957" s="3">
        <f t="shared" si="1002"/>
        <v>0</v>
      </c>
      <c r="AM957" s="17" t="str">
        <f>IF(SrcDB[[#This Row],[Pocet zmluv objednavatela]]&gt;3,SrcDB[[#This Row],[Objednavatel]],"Ostatné")</f>
        <v>Ostatné</v>
      </c>
      <c r="AN957" s="17" t="str">
        <f>IF(SrcDB[[#This Row],[Pocet zmluv dodavatela]]&gt;3,SrcDB[[#This Row],[Dodavatel]],"Ostatné")</f>
        <v>Asseco Central Europe, a.s.</v>
      </c>
    </row>
    <row r="958" spans="1:40" x14ac:dyDescent="0.3">
      <c r="A958" s="2" t="s">
        <v>1139</v>
      </c>
      <c r="B958" s="2">
        <v>7699924</v>
      </c>
      <c r="C958" s="3" t="str">
        <f t="shared" si="995"/>
        <v>Nie</v>
      </c>
      <c r="D958" s="3" t="str">
        <f t="shared" si="996"/>
        <v>Áno</v>
      </c>
      <c r="E958" s="3" t="s">
        <v>48</v>
      </c>
      <c r="F958" s="3" t="s">
        <v>49</v>
      </c>
      <c r="G958" s="2" t="str">
        <f t="shared" si="997"/>
        <v>Malé zmluvy</v>
      </c>
      <c r="H958" s="5">
        <v>52265021</v>
      </c>
      <c r="I958" s="2" t="s">
        <v>1140</v>
      </c>
      <c r="J958" s="2" t="s">
        <v>1141</v>
      </c>
      <c r="K958" s="5">
        <v>35760419</v>
      </c>
      <c r="L958" s="2" t="s">
        <v>85</v>
      </c>
      <c r="M958" s="2" t="s">
        <v>1142</v>
      </c>
      <c r="N958" s="6">
        <v>45016.438414351855</v>
      </c>
      <c r="O958" s="4">
        <v>483982.25</v>
      </c>
      <c r="P958" s="2">
        <v>114725</v>
      </c>
      <c r="Q958" s="2" t="s">
        <v>1143</v>
      </c>
      <c r="R958" s="2" t="s">
        <v>1144</v>
      </c>
      <c r="S958" s="2" t="s">
        <v>56</v>
      </c>
      <c r="T958" s="2" t="s">
        <v>476</v>
      </c>
      <c r="U958" s="2" t="s">
        <v>289</v>
      </c>
      <c r="W958" s="4">
        <v>713.84</v>
      </c>
      <c r="X958" s="4">
        <v>856.60800000000006</v>
      </c>
      <c r="Y958" s="4">
        <f t="shared" ref="Y958" si="1062">INDEX(InternalRates,MATCH($S958,InternalRates01,FALSE),2)</f>
        <v>278.98333333333335</v>
      </c>
      <c r="Z958" s="3" t="str">
        <f t="shared" si="1031"/>
        <v>Nie</v>
      </c>
      <c r="AA958" s="3" t="str">
        <f t="shared" si="1032"/>
        <v>SLA</v>
      </c>
      <c r="AB958" s="4">
        <v>52</v>
      </c>
      <c r="AD958" s="3" t="s">
        <v>49</v>
      </c>
      <c r="AE958" s="6">
        <v>45544</v>
      </c>
      <c r="AF958" s="3" t="s">
        <v>59</v>
      </c>
      <c r="AG958" s="3" t="s">
        <v>48</v>
      </c>
      <c r="AH958" s="3">
        <f>YEAR(SrcDB[[#This Row],[Datum_zverejnenia]])</f>
        <v>2023</v>
      </c>
      <c r="AI958" s="3" cm="1">
        <f t="array" ref="AI958">COUNT(_xlfn.UNIQUE(_xlfn._xlws.FILTER(SrcDB[ID],SrcDB[Objednavatel_ICO]=$H958)))</f>
        <v>1</v>
      </c>
      <c r="AJ958" s="3" cm="1">
        <f t="array" ref="AJ958">COUNT(_xlfn.UNIQUE(_xlfn._xlws.FILTER(SrcDB[ID],SrcDB[Dodavatel_ICO]=$K958)))</f>
        <v>34</v>
      </c>
      <c r="AK958" s="3">
        <f t="shared" si="1001"/>
        <v>0</v>
      </c>
      <c r="AL958" s="3">
        <f t="shared" si="1002"/>
        <v>0</v>
      </c>
      <c r="AM958" s="17" t="str">
        <f>IF(SrcDB[[#This Row],[Pocet zmluv objednavatela]]&gt;3,SrcDB[[#This Row],[Objednavatel]],"Ostatné")</f>
        <v>Ostatné</v>
      </c>
      <c r="AN958" s="17" t="str">
        <f>IF(SrcDB[[#This Row],[Pocet zmluv dodavatela]]&gt;3,SrcDB[[#This Row],[Dodavatel]],"Ostatné")</f>
        <v>Asseco Central Europe, a.s.</v>
      </c>
    </row>
    <row r="959" spans="1:40" x14ac:dyDescent="0.3">
      <c r="A959" s="2" t="s">
        <v>1139</v>
      </c>
      <c r="B959" s="2">
        <v>7699924</v>
      </c>
      <c r="C959" s="3" t="str">
        <f t="shared" si="995"/>
        <v>Nie</v>
      </c>
      <c r="D959" s="3" t="str">
        <f t="shared" si="996"/>
        <v>Áno</v>
      </c>
      <c r="E959" s="3" t="s">
        <v>48</v>
      </c>
      <c r="F959" s="3" t="s">
        <v>49</v>
      </c>
      <c r="G959" s="2" t="str">
        <f t="shared" si="997"/>
        <v>Malé zmluvy</v>
      </c>
      <c r="H959" s="5">
        <v>52265021</v>
      </c>
      <c r="I959" s="2" t="s">
        <v>1140</v>
      </c>
      <c r="J959" s="2" t="s">
        <v>1141</v>
      </c>
      <c r="K959" s="5">
        <v>35760419</v>
      </c>
      <c r="L959" s="2" t="s">
        <v>85</v>
      </c>
      <c r="M959" s="2" t="s">
        <v>1142</v>
      </c>
      <c r="N959" s="6">
        <v>45016.438414351855</v>
      </c>
      <c r="O959" s="4">
        <v>483982.25</v>
      </c>
      <c r="P959" s="2">
        <v>114725</v>
      </c>
      <c r="Q959" s="2" t="s">
        <v>1143</v>
      </c>
      <c r="R959" s="2" t="s">
        <v>1144</v>
      </c>
      <c r="S959" s="2" t="s">
        <v>79</v>
      </c>
      <c r="T959" s="2" t="s">
        <v>477</v>
      </c>
      <c r="W959" s="4">
        <v>713.84</v>
      </c>
      <c r="X959" s="4">
        <v>856.60800000000006</v>
      </c>
      <c r="Y959" s="4">
        <f t="shared" ref="Y959" si="1063">INDEX(InternalRates,MATCH($S959,InternalRates01,FALSE),2)</f>
        <v>278.98333333333335</v>
      </c>
      <c r="Z959" s="3" t="str">
        <f t="shared" si="1031"/>
        <v>Nie</v>
      </c>
      <c r="AA959" s="3" t="str">
        <f t="shared" si="1032"/>
        <v>SLA</v>
      </c>
      <c r="AB959" s="4">
        <v>181</v>
      </c>
      <c r="AD959" s="3" t="s">
        <v>49</v>
      </c>
      <c r="AE959" s="6">
        <v>45544</v>
      </c>
      <c r="AF959" s="3" t="s">
        <v>59</v>
      </c>
      <c r="AG959" s="3" t="s">
        <v>48</v>
      </c>
      <c r="AH959" s="3">
        <f>YEAR(SrcDB[[#This Row],[Datum_zverejnenia]])</f>
        <v>2023</v>
      </c>
      <c r="AI959" s="3" cm="1">
        <f t="array" ref="AI959">COUNT(_xlfn.UNIQUE(_xlfn._xlws.FILTER(SrcDB[ID],SrcDB[Objednavatel_ICO]=$H959)))</f>
        <v>1</v>
      </c>
      <c r="AJ959" s="3" cm="1">
        <f t="array" ref="AJ959">COUNT(_xlfn.UNIQUE(_xlfn._xlws.FILTER(SrcDB[ID],SrcDB[Dodavatel_ICO]=$K959)))</f>
        <v>34</v>
      </c>
      <c r="AK959" s="3">
        <f t="shared" si="1001"/>
        <v>0</v>
      </c>
      <c r="AL959" s="3">
        <f t="shared" si="1002"/>
        <v>0</v>
      </c>
      <c r="AM959" s="17" t="str">
        <f>IF(SrcDB[[#This Row],[Pocet zmluv objednavatela]]&gt;3,SrcDB[[#This Row],[Objednavatel]],"Ostatné")</f>
        <v>Ostatné</v>
      </c>
      <c r="AN959" s="17" t="str">
        <f>IF(SrcDB[[#This Row],[Pocet zmluv dodavatela]]&gt;3,SrcDB[[#This Row],[Dodavatel]],"Ostatné")</f>
        <v>Asseco Central Europe, a.s.</v>
      </c>
    </row>
    <row r="960" spans="1:40" x14ac:dyDescent="0.3">
      <c r="A960" s="2" t="s">
        <v>176</v>
      </c>
      <c r="B960" s="2">
        <v>7743716</v>
      </c>
      <c r="C960" s="3" t="str">
        <f t="shared" si="995"/>
        <v>Áno</v>
      </c>
      <c r="D960" s="3" t="str">
        <f t="shared" si="996"/>
        <v>Nie</v>
      </c>
      <c r="E960" s="3" t="s">
        <v>49</v>
      </c>
      <c r="F960" s="3" t="s">
        <v>48</v>
      </c>
      <c r="G960" s="2" t="str">
        <f t="shared" si="997"/>
        <v>Malé zmluvy</v>
      </c>
      <c r="H960" s="5">
        <v>30810787</v>
      </c>
      <c r="I960" s="2" t="s">
        <v>722</v>
      </c>
      <c r="J960" s="2" t="s">
        <v>723</v>
      </c>
      <c r="K960" s="5">
        <v>35760419</v>
      </c>
      <c r="L960" s="2" t="s">
        <v>85</v>
      </c>
      <c r="M960" s="2" t="s">
        <v>961</v>
      </c>
      <c r="N960" s="6">
        <v>45029.662685185183</v>
      </c>
      <c r="O960" s="4">
        <v>716052</v>
      </c>
      <c r="P960" s="2">
        <v>114489</v>
      </c>
      <c r="Q960" s="2" t="s">
        <v>1149</v>
      </c>
      <c r="R960" s="2" t="s">
        <v>1150</v>
      </c>
      <c r="S960" s="2" t="s">
        <v>71</v>
      </c>
      <c r="T960" s="2" t="s">
        <v>196</v>
      </c>
      <c r="W960" s="4">
        <v>490</v>
      </c>
      <c r="X960" s="4">
        <v>588</v>
      </c>
      <c r="Y960" s="4">
        <f t="shared" ref="Y960" si="1064">INDEX(InternalRates,MATCH($S960,InternalRates01,FALSE),2)</f>
        <v>354.0333333333333</v>
      </c>
      <c r="Z960" s="3" t="str">
        <f t="shared" si="1031"/>
        <v>Nie</v>
      </c>
      <c r="AA960" s="3" t="str">
        <f t="shared" si="1032"/>
        <v>ZoD</v>
      </c>
      <c r="AB960" s="4">
        <v>66</v>
      </c>
      <c r="AC960" s="4">
        <v>132</v>
      </c>
      <c r="AD960" s="3" t="s">
        <v>48</v>
      </c>
      <c r="AE960" s="6">
        <v>45544</v>
      </c>
      <c r="AF960" s="3" t="s">
        <v>59</v>
      </c>
      <c r="AG960" s="3" t="s">
        <v>48</v>
      </c>
      <c r="AH960" s="3">
        <f>YEAR(SrcDB[[#This Row],[Datum_zverejnenia]])</f>
        <v>2023</v>
      </c>
      <c r="AI960" s="3" cm="1">
        <f t="array" ref="AI960">COUNT(_xlfn.UNIQUE(_xlfn._xlws.FILTER(SrcDB[ID],SrcDB[Objednavatel_ICO]=$H960)))</f>
        <v>3</v>
      </c>
      <c r="AJ960" s="3" cm="1">
        <f t="array" ref="AJ960">COUNT(_xlfn.UNIQUE(_xlfn._xlws.FILTER(SrcDB[ID],SrcDB[Dodavatel_ICO]=$K960)))</f>
        <v>34</v>
      </c>
      <c r="AK960" s="3">
        <f t="shared" si="1001"/>
        <v>1</v>
      </c>
      <c r="AL960" s="3">
        <f t="shared" si="1002"/>
        <v>1</v>
      </c>
      <c r="AM960" s="17" t="str">
        <f>IF(SrcDB[[#This Row],[Pocet zmluv objednavatela]]&gt;3,SrcDB[[#This Row],[Objednavatel]],"Ostatné")</f>
        <v>Ostatné</v>
      </c>
      <c r="AN960" s="17" t="str">
        <f>IF(SrcDB[[#This Row],[Pocet zmluv dodavatela]]&gt;3,SrcDB[[#This Row],[Dodavatel]],"Ostatné")</f>
        <v>Asseco Central Europe, a.s.</v>
      </c>
    </row>
    <row r="961" spans="1:40" x14ac:dyDescent="0.3">
      <c r="A961" s="2" t="s">
        <v>176</v>
      </c>
      <c r="B961" s="2">
        <v>7743716</v>
      </c>
      <c r="C961" s="3" t="str">
        <f t="shared" si="995"/>
        <v>Áno</v>
      </c>
      <c r="D961" s="3" t="str">
        <f t="shared" si="996"/>
        <v>Nie</v>
      </c>
      <c r="E961" s="3" t="s">
        <v>49</v>
      </c>
      <c r="F961" s="3" t="s">
        <v>48</v>
      </c>
      <c r="G961" s="2" t="str">
        <f t="shared" si="997"/>
        <v>Malé zmluvy</v>
      </c>
      <c r="H961" s="5">
        <v>30810787</v>
      </c>
      <c r="I961" s="2" t="s">
        <v>722</v>
      </c>
      <c r="J961" s="2" t="s">
        <v>723</v>
      </c>
      <c r="K961" s="5">
        <v>35760419</v>
      </c>
      <c r="L961" s="2" t="s">
        <v>85</v>
      </c>
      <c r="M961" s="2" t="s">
        <v>961</v>
      </c>
      <c r="N961" s="6">
        <v>45029.662685185183</v>
      </c>
      <c r="O961" s="4">
        <v>716052</v>
      </c>
      <c r="P961" s="2">
        <v>114489</v>
      </c>
      <c r="Q961" s="2" t="s">
        <v>1149</v>
      </c>
      <c r="R961" s="2" t="s">
        <v>1150</v>
      </c>
      <c r="S961" s="2" t="s">
        <v>69</v>
      </c>
      <c r="T961" s="2" t="s">
        <v>285</v>
      </c>
      <c r="W961" s="4">
        <v>450</v>
      </c>
      <c r="X961" s="4">
        <v>540</v>
      </c>
      <c r="Y961" s="4">
        <f t="shared" ref="Y961" si="1065">INDEX(InternalRates,MATCH($S961,InternalRates01,FALSE),2)</f>
        <v>278.98333333333335</v>
      </c>
      <c r="Z961" s="3" t="str">
        <f t="shared" si="1031"/>
        <v>Nie</v>
      </c>
      <c r="AA961" s="3" t="str">
        <f t="shared" si="1032"/>
        <v>ZoD</v>
      </c>
      <c r="AB961" s="4">
        <v>47</v>
      </c>
      <c r="AC961" s="4">
        <v>94</v>
      </c>
      <c r="AD961" s="3" t="s">
        <v>48</v>
      </c>
      <c r="AE961" s="6">
        <v>45544</v>
      </c>
      <c r="AF961" s="3" t="s">
        <v>59</v>
      </c>
      <c r="AG961" s="3" t="s">
        <v>48</v>
      </c>
      <c r="AH961" s="3">
        <f>YEAR(SrcDB[[#This Row],[Datum_zverejnenia]])</f>
        <v>2023</v>
      </c>
      <c r="AI961" s="3" cm="1">
        <f t="array" ref="AI961">COUNT(_xlfn.UNIQUE(_xlfn._xlws.FILTER(SrcDB[ID],SrcDB[Objednavatel_ICO]=$H961)))</f>
        <v>3</v>
      </c>
      <c r="AJ961" s="3" cm="1">
        <f t="array" ref="AJ961">COUNT(_xlfn.UNIQUE(_xlfn._xlws.FILTER(SrcDB[ID],SrcDB[Dodavatel_ICO]=$K961)))</f>
        <v>34</v>
      </c>
      <c r="AK961" s="3">
        <f t="shared" si="1001"/>
        <v>0</v>
      </c>
      <c r="AL961" s="3">
        <f t="shared" si="1002"/>
        <v>0</v>
      </c>
      <c r="AM961" s="17" t="str">
        <f>IF(SrcDB[[#This Row],[Pocet zmluv objednavatela]]&gt;3,SrcDB[[#This Row],[Objednavatel]],"Ostatné")</f>
        <v>Ostatné</v>
      </c>
      <c r="AN961" s="17" t="str">
        <f>IF(SrcDB[[#This Row],[Pocet zmluv dodavatela]]&gt;3,SrcDB[[#This Row],[Dodavatel]],"Ostatné")</f>
        <v>Asseco Central Europe, a.s.</v>
      </c>
    </row>
    <row r="962" spans="1:40" x14ac:dyDescent="0.3">
      <c r="A962" s="2" t="s">
        <v>176</v>
      </c>
      <c r="B962" s="2">
        <v>7743716</v>
      </c>
      <c r="C962" s="3" t="str">
        <f t="shared" ref="C962:C1025" si="1066">IF(OR(NOT(ISERROR(FIND("O DIEL",UPPER($A962)))),NOT(ISERROR(FIND("O IMPLEM",UPPER($A962)))))=TRUE,"Áno",IF(OR(NOT(ISERROR(FIND("PODPOR",UPPER($A962)))),NOT(ISERROR(FIND("SLA",UPPER($A962)))),NOT(ISERROR(FIND("SERVIS",UPPER($A962)))))=TRUE,"Nie","Nejasné"))</f>
        <v>Áno</v>
      </c>
      <c r="D962" s="3" t="str">
        <f t="shared" ref="D962:D1025" si="1067">IF(OR(NOT(ISERROR(FIND("PODPOR",UPPER($A962)))),NOT(ISERROR(FIND("SLA",UPPER($A962)))),NOT(ISERROR(FIND("SERVIS",UPPER($A962)))))=TRUE,"Áno",IF(OR(NOT(ISERROR(FIND("O DIEL",UPPER($A962)))),NOT(ISERROR(FIND("O IMPLEM",UPPER($A962)))))=TRUE,"Nie","Nejasné"))</f>
        <v>Nie</v>
      </c>
      <c r="E962" s="3" t="s">
        <v>49</v>
      </c>
      <c r="F962" s="3" t="s">
        <v>48</v>
      </c>
      <c r="G962" s="2" t="str">
        <f t="shared" ref="G962:G1025" si="1068">IF($O962&gt;=8000000,"Veľké zmluvy",IF($O962&gt;=1000000,"Stredné zmluvy","Malé zmluvy"))</f>
        <v>Malé zmluvy</v>
      </c>
      <c r="H962" s="5">
        <v>30810787</v>
      </c>
      <c r="I962" s="2" t="s">
        <v>722</v>
      </c>
      <c r="J962" s="2" t="s">
        <v>723</v>
      </c>
      <c r="K962" s="5">
        <v>35760419</v>
      </c>
      <c r="L962" s="2" t="s">
        <v>85</v>
      </c>
      <c r="M962" s="2" t="s">
        <v>961</v>
      </c>
      <c r="N962" s="6">
        <v>45029.662685185183</v>
      </c>
      <c r="O962" s="4">
        <v>716052</v>
      </c>
      <c r="P962" s="2">
        <v>114489</v>
      </c>
      <c r="Q962" s="2" t="s">
        <v>1149</v>
      </c>
      <c r="R962" s="2" t="s">
        <v>1150</v>
      </c>
      <c r="S962" s="2" t="s">
        <v>73</v>
      </c>
      <c r="T962" s="2" t="s">
        <v>90</v>
      </c>
      <c r="W962" s="4">
        <v>440</v>
      </c>
      <c r="X962" s="4">
        <v>528</v>
      </c>
      <c r="Y962" s="4">
        <f t="shared" ref="Y962" si="1069">INDEX(InternalRates,MATCH($S962,InternalRates01,FALSE),2)</f>
        <v>278.98333333333335</v>
      </c>
      <c r="Z962" s="3" t="str">
        <f t="shared" si="1031"/>
        <v>Nie</v>
      </c>
      <c r="AA962" s="3" t="str">
        <f t="shared" si="1032"/>
        <v>ZoD</v>
      </c>
      <c r="AB962" s="4">
        <v>372</v>
      </c>
      <c r="AC962" s="4">
        <v>744</v>
      </c>
      <c r="AD962" s="3" t="s">
        <v>48</v>
      </c>
      <c r="AE962" s="6">
        <v>45544</v>
      </c>
      <c r="AF962" s="3" t="s">
        <v>59</v>
      </c>
      <c r="AG962" s="3" t="s">
        <v>48</v>
      </c>
      <c r="AH962" s="3">
        <f>YEAR(SrcDB[[#This Row],[Datum_zverejnenia]])</f>
        <v>2023</v>
      </c>
      <c r="AI962" s="3" cm="1">
        <f t="array" ref="AI962">COUNT(_xlfn.UNIQUE(_xlfn._xlws.FILTER(SrcDB[ID],SrcDB[Objednavatel_ICO]=$H962)))</f>
        <v>3</v>
      </c>
      <c r="AJ962" s="3" cm="1">
        <f t="array" ref="AJ962">COUNT(_xlfn.UNIQUE(_xlfn._xlws.FILTER(SrcDB[ID],SrcDB[Dodavatel_ICO]=$K962)))</f>
        <v>34</v>
      </c>
      <c r="AK962" s="3">
        <f t="shared" si="1001"/>
        <v>0</v>
      </c>
      <c r="AL962" s="3">
        <f t="shared" si="1002"/>
        <v>0</v>
      </c>
      <c r="AM962" s="17" t="str">
        <f>IF(SrcDB[[#This Row],[Pocet zmluv objednavatela]]&gt;3,SrcDB[[#This Row],[Objednavatel]],"Ostatné")</f>
        <v>Ostatné</v>
      </c>
      <c r="AN962" s="17" t="str">
        <f>IF(SrcDB[[#This Row],[Pocet zmluv dodavatela]]&gt;3,SrcDB[[#This Row],[Dodavatel]],"Ostatné")</f>
        <v>Asseco Central Europe, a.s.</v>
      </c>
    </row>
    <row r="963" spans="1:40" x14ac:dyDescent="0.3">
      <c r="A963" s="2" t="s">
        <v>176</v>
      </c>
      <c r="B963" s="2">
        <v>7743716</v>
      </c>
      <c r="C963" s="3" t="str">
        <f t="shared" si="1066"/>
        <v>Áno</v>
      </c>
      <c r="D963" s="3" t="str">
        <f t="shared" si="1067"/>
        <v>Nie</v>
      </c>
      <c r="E963" s="3" t="s">
        <v>49</v>
      </c>
      <c r="F963" s="3" t="s">
        <v>48</v>
      </c>
      <c r="G963" s="2" t="str">
        <f t="shared" si="1068"/>
        <v>Malé zmluvy</v>
      </c>
      <c r="H963" s="5">
        <v>30810787</v>
      </c>
      <c r="I963" s="2" t="s">
        <v>722</v>
      </c>
      <c r="J963" s="2" t="s">
        <v>723</v>
      </c>
      <c r="K963" s="5">
        <v>35760419</v>
      </c>
      <c r="L963" s="2" t="s">
        <v>85</v>
      </c>
      <c r="M963" s="2" t="s">
        <v>961</v>
      </c>
      <c r="N963" s="6">
        <v>45029.662685185183</v>
      </c>
      <c r="O963" s="4">
        <v>716052</v>
      </c>
      <c r="P963" s="2">
        <v>114489</v>
      </c>
      <c r="Q963" s="2" t="s">
        <v>1149</v>
      </c>
      <c r="R963" s="2" t="s">
        <v>1150</v>
      </c>
      <c r="S963" s="2" t="s">
        <v>56</v>
      </c>
      <c r="T963" s="2" t="s">
        <v>288</v>
      </c>
      <c r="U963" s="2" t="s">
        <v>289</v>
      </c>
      <c r="W963" s="4">
        <v>460</v>
      </c>
      <c r="X963" s="4">
        <v>552</v>
      </c>
      <c r="Y963" s="4">
        <f t="shared" ref="Y963" si="1070">INDEX(InternalRates,MATCH($S963,InternalRates01,FALSE),2)</f>
        <v>278.98333333333335</v>
      </c>
      <c r="Z963" s="3" t="str">
        <f t="shared" si="1031"/>
        <v>Nie</v>
      </c>
      <c r="AA963" s="3" t="str">
        <f t="shared" si="1032"/>
        <v>ZoD</v>
      </c>
      <c r="AB963" s="4">
        <v>96</v>
      </c>
      <c r="AC963" s="4">
        <v>192</v>
      </c>
      <c r="AD963" s="3" t="s">
        <v>48</v>
      </c>
      <c r="AE963" s="6">
        <v>45544</v>
      </c>
      <c r="AF963" s="3" t="s">
        <v>59</v>
      </c>
      <c r="AG963" s="3" t="s">
        <v>48</v>
      </c>
      <c r="AH963" s="3">
        <f>YEAR(SrcDB[[#This Row],[Datum_zverejnenia]])</f>
        <v>2023</v>
      </c>
      <c r="AI963" s="3" cm="1">
        <f t="array" ref="AI963">COUNT(_xlfn.UNIQUE(_xlfn._xlws.FILTER(SrcDB[ID],SrcDB[Objednavatel_ICO]=$H963)))</f>
        <v>3</v>
      </c>
      <c r="AJ963" s="3" cm="1">
        <f t="array" ref="AJ963">COUNT(_xlfn.UNIQUE(_xlfn._xlws.FILTER(SrcDB[ID],SrcDB[Dodavatel_ICO]=$K963)))</f>
        <v>34</v>
      </c>
      <c r="AK963" s="3">
        <f t="shared" si="1001"/>
        <v>0</v>
      </c>
      <c r="AL963" s="3">
        <f t="shared" si="1002"/>
        <v>0</v>
      </c>
      <c r="AM963" s="17" t="str">
        <f>IF(SrcDB[[#This Row],[Pocet zmluv objednavatela]]&gt;3,SrcDB[[#This Row],[Objednavatel]],"Ostatné")</f>
        <v>Ostatné</v>
      </c>
      <c r="AN963" s="17" t="str">
        <f>IF(SrcDB[[#This Row],[Pocet zmluv dodavatela]]&gt;3,SrcDB[[#This Row],[Dodavatel]],"Ostatné")</f>
        <v>Asseco Central Europe, a.s.</v>
      </c>
    </row>
    <row r="964" spans="1:40" x14ac:dyDescent="0.3">
      <c r="A964" s="2" t="s">
        <v>176</v>
      </c>
      <c r="B964" s="2">
        <v>7743716</v>
      </c>
      <c r="C964" s="3" t="str">
        <f t="shared" si="1066"/>
        <v>Áno</v>
      </c>
      <c r="D964" s="3" t="str">
        <f t="shared" si="1067"/>
        <v>Nie</v>
      </c>
      <c r="E964" s="3" t="s">
        <v>49</v>
      </c>
      <c r="F964" s="3" t="s">
        <v>48</v>
      </c>
      <c r="G964" s="2" t="str">
        <f t="shared" si="1068"/>
        <v>Malé zmluvy</v>
      </c>
      <c r="H964" s="5">
        <v>30810787</v>
      </c>
      <c r="I964" s="2" t="s">
        <v>722</v>
      </c>
      <c r="J964" s="2" t="s">
        <v>723</v>
      </c>
      <c r="K964" s="5">
        <v>35760419</v>
      </c>
      <c r="L964" s="2" t="s">
        <v>85</v>
      </c>
      <c r="M964" s="2" t="s">
        <v>961</v>
      </c>
      <c r="N964" s="6">
        <v>45029.662685185183</v>
      </c>
      <c r="O964" s="4">
        <v>716052</v>
      </c>
      <c r="P964" s="2">
        <v>114489</v>
      </c>
      <c r="Q964" s="2" t="s">
        <v>1149</v>
      </c>
      <c r="R964" s="2" t="s">
        <v>1150</v>
      </c>
      <c r="S964" s="2" t="s">
        <v>56</v>
      </c>
      <c r="T964" s="2" t="s">
        <v>613</v>
      </c>
      <c r="U964" s="2" t="s">
        <v>129</v>
      </c>
      <c r="W964" s="4">
        <v>440</v>
      </c>
      <c r="X964" s="4">
        <v>528</v>
      </c>
      <c r="Y964" s="4">
        <f t="shared" ref="Y964" si="1071">INDEX(InternalRates,MATCH($S964,InternalRates01,FALSE),2)</f>
        <v>278.98333333333335</v>
      </c>
      <c r="Z964" s="3" t="str">
        <f t="shared" si="1031"/>
        <v>Nie</v>
      </c>
      <c r="AA964" s="3" t="str">
        <f t="shared" si="1032"/>
        <v>ZoD</v>
      </c>
      <c r="AB964" s="4">
        <v>70</v>
      </c>
      <c r="AC964" s="4">
        <v>140</v>
      </c>
      <c r="AD964" s="3" t="s">
        <v>48</v>
      </c>
      <c r="AE964" s="6">
        <v>45544</v>
      </c>
      <c r="AF964" s="3" t="s">
        <v>59</v>
      </c>
      <c r="AG964" s="3" t="s">
        <v>48</v>
      </c>
      <c r="AH964" s="3">
        <f>YEAR(SrcDB[[#This Row],[Datum_zverejnenia]])</f>
        <v>2023</v>
      </c>
      <c r="AI964" s="3" cm="1">
        <f t="array" ref="AI964">COUNT(_xlfn.UNIQUE(_xlfn._xlws.FILTER(SrcDB[ID],SrcDB[Objednavatel_ICO]=$H964)))</f>
        <v>3</v>
      </c>
      <c r="AJ964" s="3" cm="1">
        <f t="array" ref="AJ964">COUNT(_xlfn.UNIQUE(_xlfn._xlws.FILTER(SrcDB[ID],SrcDB[Dodavatel_ICO]=$K964)))</f>
        <v>34</v>
      </c>
      <c r="AK964" s="3">
        <f t="shared" ref="AK964:AK1027" si="1072">IF($H963&lt;&gt;$H964,1,IF($B963&lt;&gt;$B964,1,0))</f>
        <v>0</v>
      </c>
      <c r="AL964" s="3">
        <f t="shared" ref="AL964:AL1027" si="1073">IF($K963&lt;&gt;$K964,1,IF($B963&lt;&gt;$B964,1,0))</f>
        <v>0</v>
      </c>
      <c r="AM964" s="17" t="str">
        <f>IF(SrcDB[[#This Row],[Pocet zmluv objednavatela]]&gt;3,SrcDB[[#This Row],[Objednavatel]],"Ostatné")</f>
        <v>Ostatné</v>
      </c>
      <c r="AN964" s="17" t="str">
        <f>IF(SrcDB[[#This Row],[Pocet zmluv dodavatela]]&gt;3,SrcDB[[#This Row],[Dodavatel]],"Ostatné")</f>
        <v>Asseco Central Europe, a.s.</v>
      </c>
    </row>
    <row r="965" spans="1:40" x14ac:dyDescent="0.3">
      <c r="A965" s="2" t="s">
        <v>176</v>
      </c>
      <c r="B965" s="2">
        <v>7743716</v>
      </c>
      <c r="C965" s="3" t="str">
        <f t="shared" si="1066"/>
        <v>Áno</v>
      </c>
      <c r="D965" s="3" t="str">
        <f t="shared" si="1067"/>
        <v>Nie</v>
      </c>
      <c r="E965" s="3" t="s">
        <v>49</v>
      </c>
      <c r="F965" s="3" t="s">
        <v>48</v>
      </c>
      <c r="G965" s="2" t="str">
        <f t="shared" si="1068"/>
        <v>Malé zmluvy</v>
      </c>
      <c r="H965" s="5">
        <v>30810787</v>
      </c>
      <c r="I965" s="2" t="s">
        <v>722</v>
      </c>
      <c r="J965" s="2" t="s">
        <v>723</v>
      </c>
      <c r="K965" s="5">
        <v>35760419</v>
      </c>
      <c r="L965" s="2" t="s">
        <v>85</v>
      </c>
      <c r="M965" s="2" t="s">
        <v>961</v>
      </c>
      <c r="N965" s="6">
        <v>45029.662685185183</v>
      </c>
      <c r="O965" s="4">
        <v>716052</v>
      </c>
      <c r="P965" s="2">
        <v>114489</v>
      </c>
      <c r="Q965" s="2" t="s">
        <v>1149</v>
      </c>
      <c r="R965" s="2" t="s">
        <v>1150</v>
      </c>
      <c r="S965" s="2" t="s">
        <v>79</v>
      </c>
      <c r="T965" s="2" t="s">
        <v>93</v>
      </c>
      <c r="W965" s="4">
        <v>370</v>
      </c>
      <c r="X965" s="4">
        <v>444</v>
      </c>
      <c r="Y965" s="4">
        <f t="shared" ref="Y965" si="1074">INDEX(InternalRates,MATCH($S965,InternalRates01,FALSE),2)</f>
        <v>278.98333333333335</v>
      </c>
      <c r="Z965" s="3" t="str">
        <f t="shared" si="1031"/>
        <v>Nie</v>
      </c>
      <c r="AA965" s="3" t="str">
        <f t="shared" si="1032"/>
        <v>ZoD</v>
      </c>
      <c r="AB965" s="4">
        <v>118</v>
      </c>
      <c r="AC965" s="4">
        <v>236</v>
      </c>
      <c r="AD965" s="3" t="s">
        <v>48</v>
      </c>
      <c r="AE965" s="6">
        <v>45544</v>
      </c>
      <c r="AF965" s="3" t="s">
        <v>59</v>
      </c>
      <c r="AG965" s="3" t="s">
        <v>48</v>
      </c>
      <c r="AH965" s="3">
        <f>YEAR(SrcDB[[#This Row],[Datum_zverejnenia]])</f>
        <v>2023</v>
      </c>
      <c r="AI965" s="3" cm="1">
        <f t="array" ref="AI965">COUNT(_xlfn.UNIQUE(_xlfn._xlws.FILTER(SrcDB[ID],SrcDB[Objednavatel_ICO]=$H965)))</f>
        <v>3</v>
      </c>
      <c r="AJ965" s="3" cm="1">
        <f t="array" ref="AJ965">COUNT(_xlfn.UNIQUE(_xlfn._xlws.FILTER(SrcDB[ID],SrcDB[Dodavatel_ICO]=$K965)))</f>
        <v>34</v>
      </c>
      <c r="AK965" s="3">
        <f t="shared" si="1072"/>
        <v>0</v>
      </c>
      <c r="AL965" s="3">
        <f t="shared" si="1073"/>
        <v>0</v>
      </c>
      <c r="AM965" s="17" t="str">
        <f>IF(SrcDB[[#This Row],[Pocet zmluv objednavatela]]&gt;3,SrcDB[[#This Row],[Objednavatel]],"Ostatné")</f>
        <v>Ostatné</v>
      </c>
      <c r="AN965" s="17" t="str">
        <f>IF(SrcDB[[#This Row],[Pocet zmluv dodavatela]]&gt;3,SrcDB[[#This Row],[Dodavatel]],"Ostatné")</f>
        <v>Asseco Central Europe, a.s.</v>
      </c>
    </row>
    <row r="966" spans="1:40" x14ac:dyDescent="0.3">
      <c r="A966" s="2" t="s">
        <v>176</v>
      </c>
      <c r="B966" s="2">
        <v>7743716</v>
      </c>
      <c r="C966" s="3" t="str">
        <f t="shared" si="1066"/>
        <v>Áno</v>
      </c>
      <c r="D966" s="3" t="str">
        <f t="shared" si="1067"/>
        <v>Nie</v>
      </c>
      <c r="E966" s="3" t="s">
        <v>49</v>
      </c>
      <c r="F966" s="3" t="s">
        <v>48</v>
      </c>
      <c r="G966" s="2" t="str">
        <f t="shared" si="1068"/>
        <v>Malé zmluvy</v>
      </c>
      <c r="H966" s="5">
        <v>30810787</v>
      </c>
      <c r="I966" s="2" t="s">
        <v>722</v>
      </c>
      <c r="J966" s="2" t="s">
        <v>723</v>
      </c>
      <c r="K966" s="5">
        <v>35760419</v>
      </c>
      <c r="L966" s="2" t="s">
        <v>85</v>
      </c>
      <c r="M966" s="2" t="s">
        <v>961</v>
      </c>
      <c r="N966" s="6">
        <v>45029.662685185183</v>
      </c>
      <c r="O966" s="4">
        <v>716052</v>
      </c>
      <c r="P966" s="2">
        <v>114489</v>
      </c>
      <c r="Q966" s="2" t="s">
        <v>1149</v>
      </c>
      <c r="R966" s="2" t="s">
        <v>1150</v>
      </c>
      <c r="S966" s="2" t="s">
        <v>77</v>
      </c>
      <c r="T966" s="2" t="s">
        <v>92</v>
      </c>
      <c r="W966" s="4">
        <v>400</v>
      </c>
      <c r="X966" s="4">
        <v>480</v>
      </c>
      <c r="Y966" s="4">
        <f t="shared" ref="Y966" si="1075">INDEX(InternalRates,MATCH($S966,InternalRates01,FALSE),2)</f>
        <v>278.98333333333335</v>
      </c>
      <c r="Z966" s="3" t="str">
        <f t="shared" si="1031"/>
        <v>Nie</v>
      </c>
      <c r="AA966" s="3" t="str">
        <f t="shared" si="1032"/>
        <v>ZoD</v>
      </c>
      <c r="AB966" s="4">
        <v>639</v>
      </c>
      <c r="AC966" s="4">
        <v>1278</v>
      </c>
      <c r="AD966" s="3" t="s">
        <v>48</v>
      </c>
      <c r="AE966" s="6">
        <v>45544</v>
      </c>
      <c r="AF966" s="3" t="s">
        <v>59</v>
      </c>
      <c r="AG966" s="3" t="s">
        <v>48</v>
      </c>
      <c r="AH966" s="3">
        <f>YEAR(SrcDB[[#This Row],[Datum_zverejnenia]])</f>
        <v>2023</v>
      </c>
      <c r="AI966" s="3" cm="1">
        <f t="array" ref="AI966">COUNT(_xlfn.UNIQUE(_xlfn._xlws.FILTER(SrcDB[ID],SrcDB[Objednavatel_ICO]=$H966)))</f>
        <v>3</v>
      </c>
      <c r="AJ966" s="3" cm="1">
        <f t="array" ref="AJ966">COUNT(_xlfn.UNIQUE(_xlfn._xlws.FILTER(SrcDB[ID],SrcDB[Dodavatel_ICO]=$K966)))</f>
        <v>34</v>
      </c>
      <c r="AK966" s="3">
        <f t="shared" si="1072"/>
        <v>0</v>
      </c>
      <c r="AL966" s="3">
        <f t="shared" si="1073"/>
        <v>0</v>
      </c>
      <c r="AM966" s="17" t="str">
        <f>IF(SrcDB[[#This Row],[Pocet zmluv objednavatela]]&gt;3,SrcDB[[#This Row],[Objednavatel]],"Ostatné")</f>
        <v>Ostatné</v>
      </c>
      <c r="AN966" s="17" t="str">
        <f>IF(SrcDB[[#This Row],[Pocet zmluv dodavatela]]&gt;3,SrcDB[[#This Row],[Dodavatel]],"Ostatné")</f>
        <v>Asseco Central Europe, a.s.</v>
      </c>
    </row>
    <row r="967" spans="1:40" x14ac:dyDescent="0.3">
      <c r="A967" s="2" t="s">
        <v>176</v>
      </c>
      <c r="B967" s="2">
        <v>7743716</v>
      </c>
      <c r="C967" s="3" t="str">
        <f t="shared" si="1066"/>
        <v>Áno</v>
      </c>
      <c r="D967" s="3" t="str">
        <f t="shared" si="1067"/>
        <v>Nie</v>
      </c>
      <c r="E967" s="3" t="s">
        <v>49</v>
      </c>
      <c r="F967" s="3" t="s">
        <v>48</v>
      </c>
      <c r="G967" s="2" t="str">
        <f t="shared" si="1068"/>
        <v>Malé zmluvy</v>
      </c>
      <c r="H967" s="5">
        <v>30810787</v>
      </c>
      <c r="I967" s="2" t="s">
        <v>722</v>
      </c>
      <c r="J967" s="2" t="s">
        <v>723</v>
      </c>
      <c r="K967" s="5">
        <v>35760419</v>
      </c>
      <c r="L967" s="2" t="s">
        <v>85</v>
      </c>
      <c r="M967" s="2" t="s">
        <v>961</v>
      </c>
      <c r="N967" s="6">
        <v>45029.662685185183</v>
      </c>
      <c r="O967" s="4">
        <v>716052</v>
      </c>
      <c r="P967" s="2">
        <v>114489</v>
      </c>
      <c r="Q967" s="2" t="s">
        <v>1149</v>
      </c>
      <c r="R967" s="2" t="s">
        <v>1150</v>
      </c>
      <c r="S967" s="2" t="s">
        <v>98</v>
      </c>
      <c r="T967" s="2" t="s">
        <v>287</v>
      </c>
      <c r="W967" s="4">
        <v>380</v>
      </c>
      <c r="X967" s="4">
        <v>456</v>
      </c>
      <c r="Y967" s="4">
        <f t="shared" ref="Y967" si="1076">INDEX(InternalRates,MATCH($S967,InternalRates01,FALSE),2)</f>
        <v>278.98333333333335</v>
      </c>
      <c r="Z967" s="3" t="str">
        <f t="shared" si="1031"/>
        <v>Nie</v>
      </c>
      <c r="AA967" s="3" t="str">
        <f t="shared" si="1032"/>
        <v>ZoD</v>
      </c>
      <c r="AB967" s="4">
        <v>14</v>
      </c>
      <c r="AC967" s="4">
        <v>28</v>
      </c>
      <c r="AD967" s="3" t="s">
        <v>48</v>
      </c>
      <c r="AE967" s="6">
        <v>45544</v>
      </c>
      <c r="AF967" s="3" t="s">
        <v>59</v>
      </c>
      <c r="AG967" s="3" t="s">
        <v>48</v>
      </c>
      <c r="AH967" s="3">
        <f>YEAR(SrcDB[[#This Row],[Datum_zverejnenia]])</f>
        <v>2023</v>
      </c>
      <c r="AI967" s="3" cm="1">
        <f t="array" ref="AI967">COUNT(_xlfn.UNIQUE(_xlfn._xlws.FILTER(SrcDB[ID],SrcDB[Objednavatel_ICO]=$H967)))</f>
        <v>3</v>
      </c>
      <c r="AJ967" s="3" cm="1">
        <f t="array" ref="AJ967">COUNT(_xlfn.UNIQUE(_xlfn._xlws.FILTER(SrcDB[ID],SrcDB[Dodavatel_ICO]=$K967)))</f>
        <v>34</v>
      </c>
      <c r="AK967" s="3">
        <f t="shared" si="1072"/>
        <v>0</v>
      </c>
      <c r="AL967" s="3">
        <f t="shared" si="1073"/>
        <v>0</v>
      </c>
      <c r="AM967" s="17" t="str">
        <f>IF(SrcDB[[#This Row],[Pocet zmluv objednavatela]]&gt;3,SrcDB[[#This Row],[Objednavatel]],"Ostatné")</f>
        <v>Ostatné</v>
      </c>
      <c r="AN967" s="17" t="str">
        <f>IF(SrcDB[[#This Row],[Pocet zmluv dodavatela]]&gt;3,SrcDB[[#This Row],[Dodavatel]],"Ostatné")</f>
        <v>Asseco Central Europe, a.s.</v>
      </c>
    </row>
    <row r="968" spans="1:40" x14ac:dyDescent="0.3">
      <c r="A968" s="2" t="s">
        <v>1151</v>
      </c>
      <c r="B968" s="2">
        <v>7768208</v>
      </c>
      <c r="C968" s="3" t="str">
        <f t="shared" si="1066"/>
        <v>Nejasné</v>
      </c>
      <c r="D968" s="3" t="str">
        <f t="shared" si="1067"/>
        <v>Nejasné</v>
      </c>
      <c r="E968" s="3" t="s">
        <v>48</v>
      </c>
      <c r="F968" s="3" t="s">
        <v>49</v>
      </c>
      <c r="G968" s="2" t="str">
        <f t="shared" si="1068"/>
        <v>Stredné zmluvy</v>
      </c>
      <c r="H968" s="5">
        <v>30807484</v>
      </c>
      <c r="I968" s="2" t="s">
        <v>50</v>
      </c>
      <c r="J968" s="2" t="s">
        <v>51</v>
      </c>
      <c r="K968" s="5">
        <v>36396222</v>
      </c>
      <c r="L968" s="2" t="s">
        <v>52</v>
      </c>
      <c r="M968" s="2" t="s">
        <v>53</v>
      </c>
      <c r="N968" s="6">
        <v>45035.97865740741</v>
      </c>
      <c r="O968" s="4">
        <v>2432736</v>
      </c>
      <c r="P968" s="2">
        <v>114493</v>
      </c>
      <c r="Q968" s="2" t="s">
        <v>1152</v>
      </c>
      <c r="R968" s="2" t="s">
        <v>1153</v>
      </c>
      <c r="S968" s="2" t="s">
        <v>56</v>
      </c>
      <c r="T968" s="2" t="s">
        <v>1154</v>
      </c>
      <c r="U968" s="2" t="s">
        <v>113</v>
      </c>
      <c r="W968" s="4">
        <v>520</v>
      </c>
      <c r="X968" s="4">
        <v>624</v>
      </c>
      <c r="Y968" s="4">
        <f t="shared" ref="Y968" si="1077">INDEX(InternalRates,MATCH($S968,InternalRates01,FALSE),2)</f>
        <v>278.98333333333335</v>
      </c>
      <c r="Z968" s="3" t="str">
        <f t="shared" si="1031"/>
        <v>Nie</v>
      </c>
      <c r="AA968" s="3" t="str">
        <f t="shared" si="1032"/>
        <v>SLA</v>
      </c>
      <c r="AB968" s="4">
        <v>300</v>
      </c>
      <c r="AC968" s="4">
        <v>100</v>
      </c>
      <c r="AD968" s="3" t="s">
        <v>48</v>
      </c>
      <c r="AE968" s="6">
        <v>45544</v>
      </c>
      <c r="AF968" s="3" t="s">
        <v>59</v>
      </c>
      <c r="AG968" s="3" t="s">
        <v>48</v>
      </c>
      <c r="AH968" s="3">
        <f>YEAR(SrcDB[[#This Row],[Datum_zverejnenia]])</f>
        <v>2023</v>
      </c>
      <c r="AI968" s="3" cm="1">
        <f t="array" ref="AI968">COUNT(_xlfn.UNIQUE(_xlfn._xlws.FILTER(SrcDB[ID],SrcDB[Objednavatel_ICO]=$H968)))</f>
        <v>14</v>
      </c>
      <c r="AJ968" s="3" cm="1">
        <f t="array" ref="AJ968">COUNT(_xlfn.UNIQUE(_xlfn._xlws.FILTER(SrcDB[ID],SrcDB[Dodavatel_ICO]=$K968)))</f>
        <v>11</v>
      </c>
      <c r="AK968" s="3">
        <f t="shared" si="1072"/>
        <v>1</v>
      </c>
      <c r="AL968" s="3">
        <f t="shared" si="1073"/>
        <v>1</v>
      </c>
      <c r="AM968" s="17" t="str">
        <f>IF(SrcDB[[#This Row],[Pocet zmluv objednavatela]]&gt;3,SrcDB[[#This Row],[Objednavatel]],"Ostatné")</f>
        <v>Sociálna poisťovňa, ústredie</v>
      </c>
      <c r="AN968" s="17" t="str">
        <f>IF(SrcDB[[#This Row],[Pocet zmluv dodavatela]]&gt;3,SrcDB[[#This Row],[Dodavatel]],"Ostatné")</f>
        <v>AUTOCONT s.r.o. / ARICOMA Systems s.r.o.</v>
      </c>
    </row>
    <row r="969" spans="1:40" x14ac:dyDescent="0.3">
      <c r="A969" s="2" t="s">
        <v>564</v>
      </c>
      <c r="B969" s="2">
        <v>7780847</v>
      </c>
      <c r="C969" s="3" t="str">
        <f t="shared" si="1066"/>
        <v>Nejasné</v>
      </c>
      <c r="D969" s="3" t="str">
        <f t="shared" si="1067"/>
        <v>Nejasné</v>
      </c>
      <c r="E969" s="3" t="s">
        <v>48</v>
      </c>
      <c r="F969" s="3" t="s">
        <v>49</v>
      </c>
      <c r="G969" s="2" t="str">
        <f t="shared" si="1068"/>
        <v>Malé zmluvy</v>
      </c>
      <c r="H969" s="5">
        <v>31364501</v>
      </c>
      <c r="I969" s="2" t="s">
        <v>220</v>
      </c>
      <c r="J969" s="2" t="s">
        <v>726</v>
      </c>
      <c r="K969" s="5">
        <v>50634526</v>
      </c>
      <c r="L969" s="2" t="s">
        <v>1155</v>
      </c>
      <c r="M969" s="2" t="s">
        <v>1156</v>
      </c>
      <c r="N969" s="6">
        <v>45040.529710648145</v>
      </c>
      <c r="O969" s="4">
        <v>496859</v>
      </c>
      <c r="P969" s="2">
        <v>114573</v>
      </c>
      <c r="Q969" s="2" t="s">
        <v>1157</v>
      </c>
      <c r="R969" s="2" t="s">
        <v>1158</v>
      </c>
      <c r="S969" s="2" t="s">
        <v>69</v>
      </c>
      <c r="T969" s="2" t="s">
        <v>70</v>
      </c>
      <c r="W969" s="4">
        <v>624</v>
      </c>
      <c r="X969" s="4">
        <v>748.8</v>
      </c>
      <c r="Y969" s="4">
        <f t="shared" ref="Y969" si="1078">INDEX(InternalRates,MATCH($S969,InternalRates01,FALSE),2)</f>
        <v>278.98333333333335</v>
      </c>
      <c r="Z969" s="3" t="str">
        <f t="shared" si="1031"/>
        <v>Nie</v>
      </c>
      <c r="AA969" s="3" t="str">
        <f t="shared" si="1032"/>
        <v>SLA</v>
      </c>
      <c r="AD969" s="3" t="s">
        <v>48</v>
      </c>
      <c r="AE969" s="6">
        <v>45544</v>
      </c>
      <c r="AF969" s="3" t="s">
        <v>59</v>
      </c>
      <c r="AG969" s="3" t="s">
        <v>48</v>
      </c>
      <c r="AH969" s="3">
        <f>YEAR(SrcDB[[#This Row],[Datum_zverejnenia]])</f>
        <v>2023</v>
      </c>
      <c r="AI969" s="3" cm="1">
        <f t="array" ref="AI969">COUNT(_xlfn.UNIQUE(_xlfn._xlws.FILTER(SrcDB[ID],SrcDB[Objednavatel_ICO]=$H969)))</f>
        <v>24</v>
      </c>
      <c r="AJ969" s="3" cm="1">
        <f t="array" ref="AJ969">COUNT(_xlfn.UNIQUE(_xlfn._xlws.FILTER(SrcDB[ID],SrcDB[Dodavatel_ICO]=$K969)))</f>
        <v>6</v>
      </c>
      <c r="AK969" s="3">
        <f t="shared" si="1072"/>
        <v>1</v>
      </c>
      <c r="AL969" s="3">
        <f t="shared" si="1073"/>
        <v>1</v>
      </c>
      <c r="AM969" s="17" t="str">
        <f>IF(SrcDB[[#This Row],[Pocet zmluv objednavatela]]&gt;3,SrcDB[[#This Row],[Objednavatel]],"Ostatné")</f>
        <v>Železnice Slovenskej republiky</v>
      </c>
      <c r="AN969" s="17" t="str">
        <f>IF(SrcDB[[#This Row],[Pocet zmluv dodavatela]]&gt;3,SrcDB[[#This Row],[Dodavatel]],"Ostatné")</f>
        <v>SophistIT, s.r.o.</v>
      </c>
    </row>
    <row r="970" spans="1:40" x14ac:dyDescent="0.3">
      <c r="A970" s="2" t="s">
        <v>564</v>
      </c>
      <c r="B970" s="2">
        <v>7780847</v>
      </c>
      <c r="C970" s="3" t="str">
        <f t="shared" si="1066"/>
        <v>Nejasné</v>
      </c>
      <c r="D970" s="3" t="str">
        <f t="shared" si="1067"/>
        <v>Nejasné</v>
      </c>
      <c r="E970" s="3" t="s">
        <v>48</v>
      </c>
      <c r="F970" s="3" t="s">
        <v>49</v>
      </c>
      <c r="G970" s="2" t="str">
        <f t="shared" si="1068"/>
        <v>Malé zmluvy</v>
      </c>
      <c r="H970" s="5">
        <v>31364501</v>
      </c>
      <c r="I970" s="2" t="s">
        <v>220</v>
      </c>
      <c r="J970" s="2" t="s">
        <v>726</v>
      </c>
      <c r="K970" s="5">
        <v>50634526</v>
      </c>
      <c r="L970" s="2" t="s">
        <v>1155</v>
      </c>
      <c r="M970" s="2" t="s">
        <v>1156</v>
      </c>
      <c r="N970" s="6">
        <v>45040.529710648145</v>
      </c>
      <c r="O970" s="4">
        <v>496859</v>
      </c>
      <c r="P970" s="2">
        <v>114573</v>
      </c>
      <c r="Q970" s="2" t="s">
        <v>1157</v>
      </c>
      <c r="R970" s="2" t="s">
        <v>1158</v>
      </c>
      <c r="S970" s="2" t="s">
        <v>56</v>
      </c>
      <c r="T970" s="2" t="s">
        <v>503</v>
      </c>
      <c r="U970" s="2" t="s">
        <v>95</v>
      </c>
      <c r="W970" s="4">
        <v>624</v>
      </c>
      <c r="X970" s="4">
        <v>748.8</v>
      </c>
      <c r="Y970" s="4">
        <f t="shared" ref="Y970" si="1079">INDEX(InternalRates,MATCH($S970,InternalRates01,FALSE),2)</f>
        <v>278.98333333333335</v>
      </c>
      <c r="Z970" s="3" t="str">
        <f t="shared" si="1031"/>
        <v>Nie</v>
      </c>
      <c r="AA970" s="3" t="str">
        <f t="shared" si="1032"/>
        <v>SLA</v>
      </c>
      <c r="AD970" s="3" t="s">
        <v>48</v>
      </c>
      <c r="AE970" s="6">
        <v>45544</v>
      </c>
      <c r="AF970" s="3" t="s">
        <v>59</v>
      </c>
      <c r="AG970" s="3" t="s">
        <v>48</v>
      </c>
      <c r="AH970" s="3">
        <f>YEAR(SrcDB[[#This Row],[Datum_zverejnenia]])</f>
        <v>2023</v>
      </c>
      <c r="AI970" s="3" cm="1">
        <f t="array" ref="AI970">COUNT(_xlfn.UNIQUE(_xlfn._xlws.FILTER(SrcDB[ID],SrcDB[Objednavatel_ICO]=$H970)))</f>
        <v>24</v>
      </c>
      <c r="AJ970" s="3" cm="1">
        <f t="array" ref="AJ970">COUNT(_xlfn.UNIQUE(_xlfn._xlws.FILTER(SrcDB[ID],SrcDB[Dodavatel_ICO]=$K970)))</f>
        <v>6</v>
      </c>
      <c r="AK970" s="3">
        <f t="shared" si="1072"/>
        <v>0</v>
      </c>
      <c r="AL970" s="3">
        <f t="shared" si="1073"/>
        <v>0</v>
      </c>
      <c r="AM970" s="17" t="str">
        <f>IF(SrcDB[[#This Row],[Pocet zmluv objednavatela]]&gt;3,SrcDB[[#This Row],[Objednavatel]],"Ostatné")</f>
        <v>Železnice Slovenskej republiky</v>
      </c>
      <c r="AN970" s="17" t="str">
        <f>IF(SrcDB[[#This Row],[Pocet zmluv dodavatela]]&gt;3,SrcDB[[#This Row],[Dodavatel]],"Ostatné")</f>
        <v>SophistIT, s.r.o.</v>
      </c>
    </row>
    <row r="971" spans="1:40" x14ac:dyDescent="0.3">
      <c r="A971" s="2" t="s">
        <v>1159</v>
      </c>
      <c r="B971" s="2">
        <v>7797267</v>
      </c>
      <c r="C971" s="3" t="str">
        <f t="shared" si="1066"/>
        <v>Nie</v>
      </c>
      <c r="D971" s="3" t="str">
        <f t="shared" si="1067"/>
        <v>Áno</v>
      </c>
      <c r="E971" s="3" t="s">
        <v>49</v>
      </c>
      <c r="F971" s="3" t="s">
        <v>49</v>
      </c>
      <c r="G971" s="2" t="str">
        <f t="shared" si="1068"/>
        <v>Stredné zmluvy</v>
      </c>
      <c r="H971" s="5">
        <v>42156424</v>
      </c>
      <c r="I971" s="2" t="s">
        <v>185</v>
      </c>
      <c r="J971" s="2" t="s">
        <v>186</v>
      </c>
      <c r="K971" s="5">
        <v>31385401</v>
      </c>
      <c r="L971" s="2" t="s">
        <v>142</v>
      </c>
      <c r="M971" s="2" t="s">
        <v>1160</v>
      </c>
      <c r="N971" s="6">
        <v>45043.421041666668</v>
      </c>
      <c r="O971" s="4">
        <v>1788480</v>
      </c>
      <c r="P971" s="2">
        <v>114688</v>
      </c>
      <c r="Q971" s="2" t="s">
        <v>1161</v>
      </c>
      <c r="R971" s="2" t="s">
        <v>1162</v>
      </c>
      <c r="S971" s="2" t="s">
        <v>183</v>
      </c>
      <c r="T971" s="2" t="s">
        <v>183</v>
      </c>
      <c r="W971" s="4">
        <v>540</v>
      </c>
      <c r="X971" s="4">
        <v>648</v>
      </c>
      <c r="Y971" s="4">
        <f t="shared" ref="Y971" si="1080">INDEX(InternalRates,MATCH($S971,InternalRates01,FALSE),2)</f>
        <v>278.98333333333335</v>
      </c>
      <c r="Z971" s="3" t="str">
        <f t="shared" si="1031"/>
        <v>Nie</v>
      </c>
      <c r="AA971" s="3" t="str">
        <f t="shared" si="1032"/>
        <v>SLA+ZoD</v>
      </c>
      <c r="AB971" s="4">
        <v>1160</v>
      </c>
      <c r="AC971" s="4">
        <v>464</v>
      </c>
      <c r="AD971" s="3" t="s">
        <v>48</v>
      </c>
      <c r="AE971" s="6">
        <v>45545</v>
      </c>
      <c r="AF971" s="3" t="s">
        <v>59</v>
      </c>
      <c r="AG971" s="3" t="s">
        <v>48</v>
      </c>
      <c r="AH971" s="3">
        <f>YEAR(SrcDB[[#This Row],[Datum_zverejnenia]])</f>
        <v>2023</v>
      </c>
      <c r="AI971" s="3" cm="1">
        <f t="array" ref="AI971">COUNT(_xlfn.UNIQUE(_xlfn._xlws.FILTER(SrcDB[ID],SrcDB[Objednavatel_ICO]=$H971)))</f>
        <v>2</v>
      </c>
      <c r="AJ971" s="3" cm="1">
        <f t="array" ref="AJ971">COUNT(_xlfn.UNIQUE(_xlfn._xlws.FILTER(SrcDB[ID],SrcDB[Dodavatel_ICO]=$K971)))</f>
        <v>14</v>
      </c>
      <c r="AK971" s="3">
        <f t="shared" si="1072"/>
        <v>1</v>
      </c>
      <c r="AL971" s="3">
        <f t="shared" si="1073"/>
        <v>1</v>
      </c>
      <c r="AM971" s="17" t="str">
        <f>IF(SrcDB[[#This Row],[Pocet zmluv objednavatela]]&gt;3,SrcDB[[#This Row],[Objednavatel]],"Ostatné")</f>
        <v>Ostatné</v>
      </c>
      <c r="AN971" s="17" t="str">
        <f>IF(SrcDB[[#This Row],[Pocet zmluv dodavatela]]&gt;3,SrcDB[[#This Row],[Dodavatel]],"Ostatné")</f>
        <v>DITEC, a.s.</v>
      </c>
    </row>
    <row r="972" spans="1:40" x14ac:dyDescent="0.3">
      <c r="A972" s="2" t="s">
        <v>1163</v>
      </c>
      <c r="B972" s="2">
        <v>7800325</v>
      </c>
      <c r="C972" s="3" t="str">
        <f t="shared" si="1066"/>
        <v>Nejasné</v>
      </c>
      <c r="D972" s="3" t="str">
        <f t="shared" si="1067"/>
        <v>Nejasné</v>
      </c>
      <c r="E972" s="3" t="s">
        <v>49</v>
      </c>
      <c r="F972" s="3" t="s">
        <v>48</v>
      </c>
      <c r="G972" s="2" t="str">
        <f t="shared" si="1068"/>
        <v>Malé zmluvy</v>
      </c>
      <c r="H972" s="5">
        <v>42499500</v>
      </c>
      <c r="I972" s="2" t="s">
        <v>464</v>
      </c>
      <c r="J972" s="2" t="s">
        <v>465</v>
      </c>
      <c r="K972" s="5">
        <v>35760419</v>
      </c>
      <c r="L972" s="2" t="s">
        <v>85</v>
      </c>
      <c r="N972" s="6">
        <v>45043.598263888889</v>
      </c>
      <c r="O972" s="4">
        <v>212010.48</v>
      </c>
      <c r="P972" s="2">
        <v>114725</v>
      </c>
      <c r="Q972" s="2" t="s">
        <v>1164</v>
      </c>
      <c r="R972" s="2" t="s">
        <v>1165</v>
      </c>
      <c r="S972" s="2" t="s">
        <v>69</v>
      </c>
      <c r="T972" s="2" t="s">
        <v>468</v>
      </c>
      <c r="W972" s="4">
        <v>713.84</v>
      </c>
      <c r="X972" s="4">
        <v>856.60800000000006</v>
      </c>
      <c r="Y972" s="4">
        <f t="shared" ref="Y972" si="1081">INDEX(InternalRates,MATCH($S972,InternalRates01,FALSE),2)</f>
        <v>278.98333333333335</v>
      </c>
      <c r="Z972" s="3" t="str">
        <f t="shared" si="1031"/>
        <v>Nie</v>
      </c>
      <c r="AA972" s="3" t="str">
        <f t="shared" si="1032"/>
        <v>ZoD</v>
      </c>
      <c r="AB972" s="4">
        <v>20.625</v>
      </c>
      <c r="AC972" s="4">
        <v>123.75</v>
      </c>
      <c r="AD972" s="3" t="s">
        <v>48</v>
      </c>
      <c r="AE972" s="6">
        <v>45545</v>
      </c>
      <c r="AF972" s="3" t="s">
        <v>59</v>
      </c>
      <c r="AG972" s="3" t="s">
        <v>48</v>
      </c>
      <c r="AH972" s="3">
        <f>YEAR(SrcDB[[#This Row],[Datum_zverejnenia]])</f>
        <v>2023</v>
      </c>
      <c r="AI972" s="3" cm="1">
        <f t="array" ref="AI972">COUNT(_xlfn.UNIQUE(_xlfn._xlws.FILTER(SrcDB[ID],SrcDB[Objednavatel_ICO]=$H972)))</f>
        <v>25</v>
      </c>
      <c r="AJ972" s="3" cm="1">
        <f t="array" ref="AJ972">COUNT(_xlfn.UNIQUE(_xlfn._xlws.FILTER(SrcDB[ID],SrcDB[Dodavatel_ICO]=$K972)))</f>
        <v>34</v>
      </c>
      <c r="AK972" s="3">
        <f t="shared" si="1072"/>
        <v>1</v>
      </c>
      <c r="AL972" s="3">
        <f t="shared" si="1073"/>
        <v>1</v>
      </c>
      <c r="AM972" s="17" t="str">
        <f>IF(SrcDB[[#This Row],[Pocet zmluv objednavatela]]&gt;3,SrcDB[[#This Row],[Objednavatel]],"Ostatné")</f>
        <v>Finančné riaditeľstvo SR</v>
      </c>
      <c r="AN972" s="17" t="str">
        <f>IF(SrcDB[[#This Row],[Pocet zmluv dodavatela]]&gt;3,SrcDB[[#This Row],[Dodavatel]],"Ostatné")</f>
        <v>Asseco Central Europe, a.s.</v>
      </c>
    </row>
    <row r="973" spans="1:40" x14ac:dyDescent="0.3">
      <c r="A973" s="2" t="s">
        <v>1163</v>
      </c>
      <c r="B973" s="2">
        <v>7800325</v>
      </c>
      <c r="C973" s="3" t="str">
        <f t="shared" si="1066"/>
        <v>Nejasné</v>
      </c>
      <c r="D973" s="3" t="str">
        <f t="shared" si="1067"/>
        <v>Nejasné</v>
      </c>
      <c r="E973" s="3" t="s">
        <v>49</v>
      </c>
      <c r="F973" s="3" t="s">
        <v>48</v>
      </c>
      <c r="G973" s="2" t="str">
        <f t="shared" si="1068"/>
        <v>Malé zmluvy</v>
      </c>
      <c r="H973" s="5">
        <v>42499500</v>
      </c>
      <c r="I973" s="2" t="s">
        <v>464</v>
      </c>
      <c r="J973" s="2" t="s">
        <v>465</v>
      </c>
      <c r="K973" s="5">
        <v>35760419</v>
      </c>
      <c r="L973" s="2" t="s">
        <v>85</v>
      </c>
      <c r="N973" s="6">
        <v>45043.598263888889</v>
      </c>
      <c r="O973" s="4">
        <v>212010.48</v>
      </c>
      <c r="P973" s="2">
        <v>114725</v>
      </c>
      <c r="Q973" s="2" t="s">
        <v>1164</v>
      </c>
      <c r="R973" s="2" t="s">
        <v>1165</v>
      </c>
      <c r="S973" s="2" t="s">
        <v>73</v>
      </c>
      <c r="T973" s="2" t="s">
        <v>469</v>
      </c>
      <c r="W973" s="4">
        <v>713.84</v>
      </c>
      <c r="X973" s="4">
        <v>856.60800000000006</v>
      </c>
      <c r="Y973" s="4">
        <f t="shared" ref="Y973" si="1082">INDEX(InternalRates,MATCH($S973,InternalRates01,FALSE),2)</f>
        <v>278.98333333333335</v>
      </c>
      <c r="Z973" s="3" t="str">
        <f t="shared" si="1031"/>
        <v>Nie</v>
      </c>
      <c r="AA973" s="3" t="str">
        <f t="shared" si="1032"/>
        <v>ZoD</v>
      </c>
      <c r="AB973" s="4">
        <v>57</v>
      </c>
      <c r="AC973" s="4">
        <v>342</v>
      </c>
      <c r="AD973" s="3" t="s">
        <v>48</v>
      </c>
      <c r="AE973" s="6">
        <v>45545</v>
      </c>
      <c r="AF973" s="3" t="s">
        <v>59</v>
      </c>
      <c r="AG973" s="3" t="s">
        <v>48</v>
      </c>
      <c r="AH973" s="3">
        <f>YEAR(SrcDB[[#This Row],[Datum_zverejnenia]])</f>
        <v>2023</v>
      </c>
      <c r="AI973" s="3" cm="1">
        <f t="array" ref="AI973">COUNT(_xlfn.UNIQUE(_xlfn._xlws.FILTER(SrcDB[ID],SrcDB[Objednavatel_ICO]=$H973)))</f>
        <v>25</v>
      </c>
      <c r="AJ973" s="3" cm="1">
        <f t="array" ref="AJ973">COUNT(_xlfn.UNIQUE(_xlfn._xlws.FILTER(SrcDB[ID],SrcDB[Dodavatel_ICO]=$K973)))</f>
        <v>34</v>
      </c>
      <c r="AK973" s="3">
        <f t="shared" si="1072"/>
        <v>0</v>
      </c>
      <c r="AL973" s="3">
        <f t="shared" si="1073"/>
        <v>0</v>
      </c>
      <c r="AM973" s="17" t="str">
        <f>IF(SrcDB[[#This Row],[Pocet zmluv objednavatela]]&gt;3,SrcDB[[#This Row],[Objednavatel]],"Ostatné")</f>
        <v>Finančné riaditeľstvo SR</v>
      </c>
      <c r="AN973" s="17" t="str">
        <f>IF(SrcDB[[#This Row],[Pocet zmluv dodavatela]]&gt;3,SrcDB[[#This Row],[Dodavatel]],"Ostatné")</f>
        <v>Asseco Central Europe, a.s.</v>
      </c>
    </row>
    <row r="974" spans="1:40" x14ac:dyDescent="0.3">
      <c r="A974" s="2" t="s">
        <v>1163</v>
      </c>
      <c r="B974" s="2">
        <v>7800325</v>
      </c>
      <c r="C974" s="3" t="str">
        <f t="shared" si="1066"/>
        <v>Nejasné</v>
      </c>
      <c r="D974" s="3" t="str">
        <f t="shared" si="1067"/>
        <v>Nejasné</v>
      </c>
      <c r="E974" s="3" t="s">
        <v>49</v>
      </c>
      <c r="F974" s="3" t="s">
        <v>48</v>
      </c>
      <c r="G974" s="2" t="str">
        <f t="shared" si="1068"/>
        <v>Malé zmluvy</v>
      </c>
      <c r="H974" s="5">
        <v>42499500</v>
      </c>
      <c r="I974" s="2" t="s">
        <v>464</v>
      </c>
      <c r="J974" s="2" t="s">
        <v>465</v>
      </c>
      <c r="K974" s="5">
        <v>35760419</v>
      </c>
      <c r="L974" s="2" t="s">
        <v>85</v>
      </c>
      <c r="N974" s="6">
        <v>45043.598263888889</v>
      </c>
      <c r="O974" s="4">
        <v>212010.48</v>
      </c>
      <c r="P974" s="2">
        <v>114725</v>
      </c>
      <c r="Q974" s="2" t="s">
        <v>1164</v>
      </c>
      <c r="R974" s="2" t="s">
        <v>1165</v>
      </c>
      <c r="S974" s="2" t="s">
        <v>71</v>
      </c>
      <c r="T974" s="2" t="s">
        <v>470</v>
      </c>
      <c r="W974" s="4">
        <v>713.84</v>
      </c>
      <c r="X974" s="4">
        <v>856.60800000000006</v>
      </c>
      <c r="Y974" s="4">
        <f t="shared" ref="Y974" si="1083">INDEX(InternalRates,MATCH($S974,InternalRates01,FALSE),2)</f>
        <v>354.0333333333333</v>
      </c>
      <c r="Z974" s="3" t="str">
        <f t="shared" si="1031"/>
        <v>Nie</v>
      </c>
      <c r="AA974" s="3" t="str">
        <f t="shared" si="1032"/>
        <v>ZoD</v>
      </c>
      <c r="AB974" s="4">
        <v>39.625</v>
      </c>
      <c r="AC974" s="4">
        <v>237.75</v>
      </c>
      <c r="AD974" s="3" t="s">
        <v>48</v>
      </c>
      <c r="AE974" s="6">
        <v>45545</v>
      </c>
      <c r="AF974" s="3" t="s">
        <v>59</v>
      </c>
      <c r="AG974" s="3" t="s">
        <v>48</v>
      </c>
      <c r="AH974" s="3">
        <f>YEAR(SrcDB[[#This Row],[Datum_zverejnenia]])</f>
        <v>2023</v>
      </c>
      <c r="AI974" s="3" cm="1">
        <f t="array" ref="AI974">COUNT(_xlfn.UNIQUE(_xlfn._xlws.FILTER(SrcDB[ID],SrcDB[Objednavatel_ICO]=$H974)))</f>
        <v>25</v>
      </c>
      <c r="AJ974" s="3" cm="1">
        <f t="array" ref="AJ974">COUNT(_xlfn.UNIQUE(_xlfn._xlws.FILTER(SrcDB[ID],SrcDB[Dodavatel_ICO]=$K974)))</f>
        <v>34</v>
      </c>
      <c r="AK974" s="3">
        <f t="shared" si="1072"/>
        <v>0</v>
      </c>
      <c r="AL974" s="3">
        <f t="shared" si="1073"/>
        <v>0</v>
      </c>
      <c r="AM974" s="17" t="str">
        <f>IF(SrcDB[[#This Row],[Pocet zmluv objednavatela]]&gt;3,SrcDB[[#This Row],[Objednavatel]],"Ostatné")</f>
        <v>Finančné riaditeľstvo SR</v>
      </c>
      <c r="AN974" s="17" t="str">
        <f>IF(SrcDB[[#This Row],[Pocet zmluv dodavatela]]&gt;3,SrcDB[[#This Row],[Dodavatel]],"Ostatné")</f>
        <v>Asseco Central Europe, a.s.</v>
      </c>
    </row>
    <row r="975" spans="1:40" x14ac:dyDescent="0.3">
      <c r="A975" s="2" t="s">
        <v>1163</v>
      </c>
      <c r="B975" s="2">
        <v>7800325</v>
      </c>
      <c r="C975" s="3" t="str">
        <f t="shared" si="1066"/>
        <v>Nejasné</v>
      </c>
      <c r="D975" s="3" t="str">
        <f t="shared" si="1067"/>
        <v>Nejasné</v>
      </c>
      <c r="E975" s="3" t="s">
        <v>49</v>
      </c>
      <c r="F975" s="3" t="s">
        <v>48</v>
      </c>
      <c r="G975" s="2" t="str">
        <f t="shared" si="1068"/>
        <v>Malé zmluvy</v>
      </c>
      <c r="H975" s="5">
        <v>42499500</v>
      </c>
      <c r="I975" s="2" t="s">
        <v>464</v>
      </c>
      <c r="J975" s="2" t="s">
        <v>465</v>
      </c>
      <c r="K975" s="5">
        <v>35760419</v>
      </c>
      <c r="L975" s="2" t="s">
        <v>85</v>
      </c>
      <c r="N975" s="6">
        <v>45043.598263888889</v>
      </c>
      <c r="O975" s="4">
        <v>212010.48</v>
      </c>
      <c r="P975" s="2">
        <v>114725</v>
      </c>
      <c r="Q975" s="2" t="s">
        <v>1164</v>
      </c>
      <c r="R975" s="2" t="s">
        <v>1165</v>
      </c>
      <c r="S975" s="2" t="s">
        <v>77</v>
      </c>
      <c r="T975" s="2" t="s">
        <v>471</v>
      </c>
      <c r="W975" s="4">
        <v>713.84</v>
      </c>
      <c r="X975" s="4">
        <v>856.60800000000006</v>
      </c>
      <c r="Y975" s="4">
        <f t="shared" ref="Y975" si="1084">INDEX(InternalRates,MATCH($S975,InternalRates01,FALSE),2)</f>
        <v>278.98333333333335</v>
      </c>
      <c r="Z975" s="3" t="str">
        <f t="shared" si="1031"/>
        <v>Nie</v>
      </c>
      <c r="AA975" s="3" t="str">
        <f t="shared" si="1032"/>
        <v>ZoD</v>
      </c>
      <c r="AB975" s="4">
        <v>87.25</v>
      </c>
      <c r="AC975" s="4">
        <v>523.5</v>
      </c>
      <c r="AD975" s="3" t="s">
        <v>48</v>
      </c>
      <c r="AE975" s="6">
        <v>45545</v>
      </c>
      <c r="AF975" s="3" t="s">
        <v>59</v>
      </c>
      <c r="AG975" s="3" t="s">
        <v>48</v>
      </c>
      <c r="AH975" s="3">
        <f>YEAR(SrcDB[[#This Row],[Datum_zverejnenia]])</f>
        <v>2023</v>
      </c>
      <c r="AI975" s="3" cm="1">
        <f t="array" ref="AI975">COUNT(_xlfn.UNIQUE(_xlfn._xlws.FILTER(SrcDB[ID],SrcDB[Objednavatel_ICO]=$H975)))</f>
        <v>25</v>
      </c>
      <c r="AJ975" s="3" cm="1">
        <f t="array" ref="AJ975">COUNT(_xlfn.UNIQUE(_xlfn._xlws.FILTER(SrcDB[ID],SrcDB[Dodavatel_ICO]=$K975)))</f>
        <v>34</v>
      </c>
      <c r="AK975" s="3">
        <f t="shared" si="1072"/>
        <v>0</v>
      </c>
      <c r="AL975" s="3">
        <f t="shared" si="1073"/>
        <v>0</v>
      </c>
      <c r="AM975" s="17" t="str">
        <f>IF(SrcDB[[#This Row],[Pocet zmluv objednavatela]]&gt;3,SrcDB[[#This Row],[Objednavatel]],"Ostatné")</f>
        <v>Finančné riaditeľstvo SR</v>
      </c>
      <c r="AN975" s="17" t="str">
        <f>IF(SrcDB[[#This Row],[Pocet zmluv dodavatela]]&gt;3,SrcDB[[#This Row],[Dodavatel]],"Ostatné")</f>
        <v>Asseco Central Europe, a.s.</v>
      </c>
    </row>
    <row r="976" spans="1:40" x14ac:dyDescent="0.3">
      <c r="A976" s="2" t="s">
        <v>1163</v>
      </c>
      <c r="B976" s="2">
        <v>7800325</v>
      </c>
      <c r="C976" s="3" t="str">
        <f t="shared" si="1066"/>
        <v>Nejasné</v>
      </c>
      <c r="D976" s="3" t="str">
        <f t="shared" si="1067"/>
        <v>Nejasné</v>
      </c>
      <c r="E976" s="3" t="s">
        <v>49</v>
      </c>
      <c r="F976" s="3" t="s">
        <v>48</v>
      </c>
      <c r="G976" s="2" t="str">
        <f t="shared" si="1068"/>
        <v>Malé zmluvy</v>
      </c>
      <c r="H976" s="5">
        <v>42499500</v>
      </c>
      <c r="I976" s="2" t="s">
        <v>464</v>
      </c>
      <c r="J976" s="2" t="s">
        <v>465</v>
      </c>
      <c r="K976" s="5">
        <v>35760419</v>
      </c>
      <c r="L976" s="2" t="s">
        <v>85</v>
      </c>
      <c r="N976" s="6">
        <v>45043.598263888889</v>
      </c>
      <c r="O976" s="4">
        <v>212010.48</v>
      </c>
      <c r="P976" s="2">
        <v>114725</v>
      </c>
      <c r="Q976" s="2" t="s">
        <v>1164</v>
      </c>
      <c r="R976" s="2" t="s">
        <v>1165</v>
      </c>
      <c r="S976" s="2" t="s">
        <v>79</v>
      </c>
      <c r="T976" s="2" t="s">
        <v>472</v>
      </c>
      <c r="W976" s="4">
        <v>713.84</v>
      </c>
      <c r="X976" s="4">
        <v>856.60800000000006</v>
      </c>
      <c r="Y976" s="4">
        <f t="shared" ref="Y976" si="1085">INDEX(InternalRates,MATCH($S976,InternalRates01,FALSE),2)</f>
        <v>278.98333333333335</v>
      </c>
      <c r="Z976" s="3" t="str">
        <f t="shared" si="1031"/>
        <v>Nie</v>
      </c>
      <c r="AA976" s="3" t="str">
        <f t="shared" si="1032"/>
        <v>ZoD</v>
      </c>
      <c r="AB976" s="4">
        <v>31.125</v>
      </c>
      <c r="AC976" s="4">
        <v>186.75</v>
      </c>
      <c r="AD976" s="3" t="s">
        <v>48</v>
      </c>
      <c r="AE976" s="6">
        <v>45545</v>
      </c>
      <c r="AF976" s="3" t="s">
        <v>59</v>
      </c>
      <c r="AG976" s="3" t="s">
        <v>48</v>
      </c>
      <c r="AH976" s="3">
        <f>YEAR(SrcDB[[#This Row],[Datum_zverejnenia]])</f>
        <v>2023</v>
      </c>
      <c r="AI976" s="3" cm="1">
        <f t="array" ref="AI976">COUNT(_xlfn.UNIQUE(_xlfn._xlws.FILTER(SrcDB[ID],SrcDB[Objednavatel_ICO]=$H976)))</f>
        <v>25</v>
      </c>
      <c r="AJ976" s="3" cm="1">
        <f t="array" ref="AJ976">COUNT(_xlfn.UNIQUE(_xlfn._xlws.FILTER(SrcDB[ID],SrcDB[Dodavatel_ICO]=$K976)))</f>
        <v>34</v>
      </c>
      <c r="AK976" s="3">
        <f t="shared" si="1072"/>
        <v>0</v>
      </c>
      <c r="AL976" s="3">
        <f t="shared" si="1073"/>
        <v>0</v>
      </c>
      <c r="AM976" s="17" t="str">
        <f>IF(SrcDB[[#This Row],[Pocet zmluv objednavatela]]&gt;3,SrcDB[[#This Row],[Objednavatel]],"Ostatné")</f>
        <v>Finančné riaditeľstvo SR</v>
      </c>
      <c r="AN976" s="17" t="str">
        <f>IF(SrcDB[[#This Row],[Pocet zmluv dodavatela]]&gt;3,SrcDB[[#This Row],[Dodavatel]],"Ostatné")</f>
        <v>Asseco Central Europe, a.s.</v>
      </c>
    </row>
    <row r="977" spans="1:40" x14ac:dyDescent="0.3">
      <c r="A977" s="2" t="s">
        <v>1163</v>
      </c>
      <c r="B977" s="2">
        <v>7800325</v>
      </c>
      <c r="C977" s="3" t="str">
        <f t="shared" si="1066"/>
        <v>Nejasné</v>
      </c>
      <c r="D977" s="3" t="str">
        <f t="shared" si="1067"/>
        <v>Nejasné</v>
      </c>
      <c r="E977" s="3" t="s">
        <v>49</v>
      </c>
      <c r="F977" s="3" t="s">
        <v>48</v>
      </c>
      <c r="G977" s="2" t="str">
        <f t="shared" si="1068"/>
        <v>Malé zmluvy</v>
      </c>
      <c r="H977" s="5">
        <v>42499500</v>
      </c>
      <c r="I977" s="2" t="s">
        <v>464</v>
      </c>
      <c r="J977" s="2" t="s">
        <v>465</v>
      </c>
      <c r="K977" s="5">
        <v>35760419</v>
      </c>
      <c r="L977" s="2" t="s">
        <v>85</v>
      </c>
      <c r="N977" s="6">
        <v>45043.598263888889</v>
      </c>
      <c r="O977" s="4">
        <v>212010.48</v>
      </c>
      <c r="P977" s="2">
        <v>114725</v>
      </c>
      <c r="Q977" s="2" t="s">
        <v>1164</v>
      </c>
      <c r="R977" s="2" t="s">
        <v>1165</v>
      </c>
      <c r="S977" s="2" t="s">
        <v>1166</v>
      </c>
      <c r="T977" s="2" t="s">
        <v>474</v>
      </c>
      <c r="W977" s="4">
        <v>713.84</v>
      </c>
      <c r="X977" s="4">
        <v>856.60800000000006</v>
      </c>
      <c r="Y977" s="4">
        <f t="shared" ref="Y977" si="1086">INDEX(InternalRates,MATCH($S977,InternalRates01,FALSE),2)</f>
        <v>278.98333333333335</v>
      </c>
      <c r="Z977" s="3" t="str">
        <f t="shared" si="1031"/>
        <v>Nie</v>
      </c>
      <c r="AA977" s="3" t="str">
        <f t="shared" si="1032"/>
        <v>ZoD</v>
      </c>
      <c r="AB977" s="4">
        <v>6.375</v>
      </c>
      <c r="AC977" s="4">
        <v>38.25</v>
      </c>
      <c r="AD977" s="3" t="s">
        <v>48</v>
      </c>
      <c r="AE977" s="6">
        <v>45545</v>
      </c>
      <c r="AF977" s="3" t="s">
        <v>59</v>
      </c>
      <c r="AG977" s="3" t="s">
        <v>48</v>
      </c>
      <c r="AH977" s="3">
        <f>YEAR(SrcDB[[#This Row],[Datum_zverejnenia]])</f>
        <v>2023</v>
      </c>
      <c r="AI977" s="3" cm="1">
        <f t="array" ref="AI977">COUNT(_xlfn.UNIQUE(_xlfn._xlws.FILTER(SrcDB[ID],SrcDB[Objednavatel_ICO]=$H977)))</f>
        <v>25</v>
      </c>
      <c r="AJ977" s="3" cm="1">
        <f t="array" ref="AJ977">COUNT(_xlfn.UNIQUE(_xlfn._xlws.FILTER(SrcDB[ID],SrcDB[Dodavatel_ICO]=$K977)))</f>
        <v>34</v>
      </c>
      <c r="AK977" s="3">
        <f t="shared" si="1072"/>
        <v>0</v>
      </c>
      <c r="AL977" s="3">
        <f t="shared" si="1073"/>
        <v>0</v>
      </c>
      <c r="AM977" s="17" t="str">
        <f>IF(SrcDB[[#This Row],[Pocet zmluv objednavatela]]&gt;3,SrcDB[[#This Row],[Objednavatel]],"Ostatné")</f>
        <v>Finančné riaditeľstvo SR</v>
      </c>
      <c r="AN977" s="17" t="str">
        <f>IF(SrcDB[[#This Row],[Pocet zmluv dodavatela]]&gt;3,SrcDB[[#This Row],[Dodavatel]],"Ostatné")</f>
        <v>Asseco Central Europe, a.s.</v>
      </c>
    </row>
    <row r="978" spans="1:40" x14ac:dyDescent="0.3">
      <c r="A978" s="2" t="s">
        <v>1163</v>
      </c>
      <c r="B978" s="2">
        <v>7800325</v>
      </c>
      <c r="C978" s="3" t="str">
        <f t="shared" si="1066"/>
        <v>Nejasné</v>
      </c>
      <c r="D978" s="3" t="str">
        <f t="shared" si="1067"/>
        <v>Nejasné</v>
      </c>
      <c r="E978" s="3" t="s">
        <v>49</v>
      </c>
      <c r="F978" s="3" t="s">
        <v>48</v>
      </c>
      <c r="G978" s="2" t="str">
        <f t="shared" si="1068"/>
        <v>Malé zmluvy</v>
      </c>
      <c r="H978" s="5">
        <v>42499500</v>
      </c>
      <c r="I978" s="2" t="s">
        <v>464</v>
      </c>
      <c r="J978" s="2" t="s">
        <v>465</v>
      </c>
      <c r="K978" s="5">
        <v>35760419</v>
      </c>
      <c r="L978" s="2" t="s">
        <v>85</v>
      </c>
      <c r="N978" s="6">
        <v>45043.598263888889</v>
      </c>
      <c r="O978" s="4">
        <v>212010.48</v>
      </c>
      <c r="P978" s="2">
        <v>114725</v>
      </c>
      <c r="Q978" s="2" t="s">
        <v>1164</v>
      </c>
      <c r="R978" s="2" t="s">
        <v>1165</v>
      </c>
      <c r="S978" s="2" t="s">
        <v>160</v>
      </c>
      <c r="T978" s="2" t="s">
        <v>477</v>
      </c>
      <c r="W978" s="4">
        <v>713.84</v>
      </c>
      <c r="X978" s="4">
        <v>856.60800000000006</v>
      </c>
      <c r="Y978" s="4">
        <f t="shared" ref="Y978" si="1087">INDEX(InternalRates,MATCH($S978,InternalRates01,FALSE),2)</f>
        <v>231.85833333333335</v>
      </c>
      <c r="Z978" s="3" t="str">
        <f t="shared" si="1031"/>
        <v>Nie</v>
      </c>
      <c r="AA978" s="3" t="str">
        <f t="shared" si="1032"/>
        <v>ZoD</v>
      </c>
      <c r="AB978" s="4">
        <v>33</v>
      </c>
      <c r="AC978" s="4">
        <v>198</v>
      </c>
      <c r="AD978" s="3" t="s">
        <v>48</v>
      </c>
      <c r="AE978" s="6">
        <v>45545</v>
      </c>
      <c r="AF978" s="3" t="s">
        <v>59</v>
      </c>
      <c r="AG978" s="3" t="s">
        <v>48</v>
      </c>
      <c r="AH978" s="3">
        <f>YEAR(SrcDB[[#This Row],[Datum_zverejnenia]])</f>
        <v>2023</v>
      </c>
      <c r="AI978" s="3" cm="1">
        <f t="array" ref="AI978">COUNT(_xlfn.UNIQUE(_xlfn._xlws.FILTER(SrcDB[ID],SrcDB[Objednavatel_ICO]=$H978)))</f>
        <v>25</v>
      </c>
      <c r="AJ978" s="3" cm="1">
        <f t="array" ref="AJ978">COUNT(_xlfn.UNIQUE(_xlfn._xlws.FILTER(SrcDB[ID],SrcDB[Dodavatel_ICO]=$K978)))</f>
        <v>34</v>
      </c>
      <c r="AK978" s="3">
        <f t="shared" si="1072"/>
        <v>0</v>
      </c>
      <c r="AL978" s="3">
        <f t="shared" si="1073"/>
        <v>0</v>
      </c>
      <c r="AM978" s="17" t="str">
        <f>IF(SrcDB[[#This Row],[Pocet zmluv objednavatela]]&gt;3,SrcDB[[#This Row],[Objednavatel]],"Ostatné")</f>
        <v>Finančné riaditeľstvo SR</v>
      </c>
      <c r="AN978" s="17" t="str">
        <f>IF(SrcDB[[#This Row],[Pocet zmluv dodavatela]]&gt;3,SrcDB[[#This Row],[Dodavatel]],"Ostatné")</f>
        <v>Asseco Central Europe, a.s.</v>
      </c>
    </row>
    <row r="979" spans="1:40" x14ac:dyDescent="0.3">
      <c r="A979" s="2" t="s">
        <v>1167</v>
      </c>
      <c r="B979" s="2">
        <v>7800155</v>
      </c>
      <c r="C979" s="3" t="str">
        <f t="shared" si="1066"/>
        <v>Áno</v>
      </c>
      <c r="D979" s="3" t="str">
        <f t="shared" si="1067"/>
        <v>Nie</v>
      </c>
      <c r="E979" s="3" t="s">
        <v>49</v>
      </c>
      <c r="F979" s="3" t="s">
        <v>48</v>
      </c>
      <c r="G979" s="2" t="str">
        <f t="shared" si="1068"/>
        <v>Stredné zmluvy</v>
      </c>
      <c r="H979" s="5">
        <v>36069841</v>
      </c>
      <c r="I979" s="2" t="s">
        <v>1168</v>
      </c>
      <c r="J979" s="2" t="s">
        <v>1169</v>
      </c>
      <c r="K979" s="5">
        <v>50438336</v>
      </c>
      <c r="L979" s="2" t="s">
        <v>691</v>
      </c>
      <c r="M979" s="2" t="s">
        <v>1170</v>
      </c>
      <c r="N979" s="6">
        <v>45043.610613425924</v>
      </c>
      <c r="O979" s="4">
        <v>2256660</v>
      </c>
      <c r="P979" s="2">
        <v>356704</v>
      </c>
      <c r="Q979" s="2" t="s">
        <v>1171</v>
      </c>
      <c r="R979" s="2" t="s">
        <v>1172</v>
      </c>
      <c r="S979" s="2" t="s">
        <v>71</v>
      </c>
      <c r="T979" s="2" t="s">
        <v>196</v>
      </c>
      <c r="W979" s="4">
        <v>750</v>
      </c>
      <c r="X979" s="4">
        <v>900</v>
      </c>
      <c r="Y979" s="4">
        <f t="shared" ref="Y979" si="1088">INDEX(InternalRates,MATCH($S979,InternalRates01,FALSE),2)</f>
        <v>354.0333333333333</v>
      </c>
      <c r="Z979" s="3" t="str">
        <f t="shared" si="1031"/>
        <v>Nie</v>
      </c>
      <c r="AA979" s="3" t="str">
        <f t="shared" si="1032"/>
        <v>ZoD</v>
      </c>
      <c r="AB979" s="4">
        <v>32</v>
      </c>
      <c r="AC979" s="4">
        <v>32</v>
      </c>
      <c r="AD979" s="3" t="s">
        <v>48</v>
      </c>
      <c r="AE979" s="6">
        <v>45544</v>
      </c>
      <c r="AF979" s="3" t="s">
        <v>59</v>
      </c>
      <c r="AG979" s="3" t="s">
        <v>48</v>
      </c>
      <c r="AH979" s="3">
        <f>YEAR(SrcDB[[#This Row],[Datum_zverejnenia]])</f>
        <v>2023</v>
      </c>
      <c r="AI979" s="3" cm="1">
        <f t="array" ref="AI979">COUNT(_xlfn.UNIQUE(_xlfn._xlws.FILTER(SrcDB[ID],SrcDB[Objednavatel_ICO]=$H979)))</f>
        <v>2</v>
      </c>
      <c r="AJ979" s="3" cm="1">
        <f t="array" ref="AJ979">COUNT(_xlfn.UNIQUE(_xlfn._xlws.FILTER(SrcDB[ID],SrcDB[Dodavatel_ICO]=$K979)))</f>
        <v>3</v>
      </c>
      <c r="AK979" s="3">
        <f t="shared" si="1072"/>
        <v>1</v>
      </c>
      <c r="AL979" s="3">
        <f t="shared" si="1073"/>
        <v>1</v>
      </c>
      <c r="AM979" s="17" t="str">
        <f>IF(SrcDB[[#This Row],[Pocet zmluv objednavatela]]&gt;3,SrcDB[[#This Row],[Objednavatel]],"Ostatné")</f>
        <v>Ostatné</v>
      </c>
      <c r="AN979" s="17" t="str">
        <f>IF(SrcDB[[#This Row],[Pocet zmluv dodavatela]]&gt;3,SrcDB[[#This Row],[Dodavatel]],"Ostatné")</f>
        <v>Ostatné</v>
      </c>
    </row>
    <row r="980" spans="1:40" x14ac:dyDescent="0.3">
      <c r="A980" s="2" t="s">
        <v>1167</v>
      </c>
      <c r="B980" s="2">
        <v>7800155</v>
      </c>
      <c r="C980" s="3" t="str">
        <f t="shared" si="1066"/>
        <v>Áno</v>
      </c>
      <c r="D980" s="3" t="str">
        <f t="shared" si="1067"/>
        <v>Nie</v>
      </c>
      <c r="E980" s="3" t="s">
        <v>49</v>
      </c>
      <c r="F980" s="3" t="s">
        <v>48</v>
      </c>
      <c r="G980" s="2" t="str">
        <f t="shared" si="1068"/>
        <v>Stredné zmluvy</v>
      </c>
      <c r="H980" s="5">
        <v>36069841</v>
      </c>
      <c r="I980" s="2" t="s">
        <v>1168</v>
      </c>
      <c r="J980" s="2" t="s">
        <v>1169</v>
      </c>
      <c r="K980" s="5">
        <v>50438336</v>
      </c>
      <c r="L980" s="2" t="s">
        <v>691</v>
      </c>
      <c r="M980" s="2" t="s">
        <v>1170</v>
      </c>
      <c r="N980" s="6">
        <v>45043.610613425924</v>
      </c>
      <c r="O980" s="4">
        <v>2256660</v>
      </c>
      <c r="P980" s="2">
        <v>356704</v>
      </c>
      <c r="Q980" s="2" t="s">
        <v>1171</v>
      </c>
      <c r="R980" s="2" t="s">
        <v>1172</v>
      </c>
      <c r="S980" s="2" t="s">
        <v>79</v>
      </c>
      <c r="T980" s="2" t="s">
        <v>93</v>
      </c>
      <c r="W980" s="4">
        <v>450</v>
      </c>
      <c r="X980" s="4">
        <v>540</v>
      </c>
      <c r="Y980" s="4">
        <f t="shared" ref="Y980" si="1089">INDEX(InternalRates,MATCH($S980,InternalRates01,FALSE),2)</f>
        <v>278.98333333333335</v>
      </c>
      <c r="Z980" s="3" t="str">
        <f t="shared" si="1031"/>
        <v>Nie</v>
      </c>
      <c r="AA980" s="3" t="str">
        <f t="shared" si="1032"/>
        <v>ZoD</v>
      </c>
      <c r="AB980" s="4">
        <v>50</v>
      </c>
      <c r="AC980" s="4">
        <v>50</v>
      </c>
      <c r="AD980" s="3" t="s">
        <v>48</v>
      </c>
      <c r="AE980" s="6">
        <v>45544</v>
      </c>
      <c r="AF980" s="3" t="s">
        <v>59</v>
      </c>
      <c r="AG980" s="3" t="s">
        <v>48</v>
      </c>
      <c r="AH980" s="3">
        <f>YEAR(SrcDB[[#This Row],[Datum_zverejnenia]])</f>
        <v>2023</v>
      </c>
      <c r="AI980" s="3" cm="1">
        <f t="array" ref="AI980">COUNT(_xlfn.UNIQUE(_xlfn._xlws.FILTER(SrcDB[ID],SrcDB[Objednavatel_ICO]=$H980)))</f>
        <v>2</v>
      </c>
      <c r="AJ980" s="3" cm="1">
        <f t="array" ref="AJ980">COUNT(_xlfn.UNIQUE(_xlfn._xlws.FILTER(SrcDB[ID],SrcDB[Dodavatel_ICO]=$K980)))</f>
        <v>3</v>
      </c>
      <c r="AK980" s="3">
        <f t="shared" si="1072"/>
        <v>0</v>
      </c>
      <c r="AL980" s="3">
        <f t="shared" si="1073"/>
        <v>0</v>
      </c>
      <c r="AM980" s="17" t="str">
        <f>IF(SrcDB[[#This Row],[Pocet zmluv objednavatela]]&gt;3,SrcDB[[#This Row],[Objednavatel]],"Ostatné")</f>
        <v>Ostatné</v>
      </c>
      <c r="AN980" s="17" t="str">
        <f>IF(SrcDB[[#This Row],[Pocet zmluv dodavatela]]&gt;3,SrcDB[[#This Row],[Dodavatel]],"Ostatné")</f>
        <v>Ostatné</v>
      </c>
    </row>
    <row r="981" spans="1:40" x14ac:dyDescent="0.3">
      <c r="A981" s="2" t="s">
        <v>1167</v>
      </c>
      <c r="B981" s="2">
        <v>7800155</v>
      </c>
      <c r="C981" s="3" t="str">
        <f t="shared" si="1066"/>
        <v>Áno</v>
      </c>
      <c r="D981" s="3" t="str">
        <f t="shared" si="1067"/>
        <v>Nie</v>
      </c>
      <c r="E981" s="3" t="s">
        <v>49</v>
      </c>
      <c r="F981" s="3" t="s">
        <v>48</v>
      </c>
      <c r="G981" s="2" t="str">
        <f t="shared" si="1068"/>
        <v>Stredné zmluvy</v>
      </c>
      <c r="H981" s="5">
        <v>36069841</v>
      </c>
      <c r="I981" s="2" t="s">
        <v>1168</v>
      </c>
      <c r="J981" s="2" t="s">
        <v>1169</v>
      </c>
      <c r="K981" s="5">
        <v>50438336</v>
      </c>
      <c r="L981" s="2" t="s">
        <v>691</v>
      </c>
      <c r="M981" s="2" t="s">
        <v>1170</v>
      </c>
      <c r="N981" s="6">
        <v>45043.610613425924</v>
      </c>
      <c r="O981" s="4">
        <v>2256660</v>
      </c>
      <c r="P981" s="2">
        <v>356704</v>
      </c>
      <c r="Q981" s="2" t="s">
        <v>1171</v>
      </c>
      <c r="R981" s="2" t="s">
        <v>1172</v>
      </c>
      <c r="S981" s="2" t="s">
        <v>77</v>
      </c>
      <c r="T981" s="2" t="s">
        <v>92</v>
      </c>
      <c r="W981" s="4">
        <v>520</v>
      </c>
      <c r="X981" s="4">
        <v>624</v>
      </c>
      <c r="Y981" s="4">
        <f t="shared" ref="Y981" si="1090">INDEX(InternalRates,MATCH($S981,InternalRates01,FALSE),2)</f>
        <v>278.98333333333335</v>
      </c>
      <c r="Z981" s="3" t="str">
        <f t="shared" si="1031"/>
        <v>Nie</v>
      </c>
      <c r="AA981" s="3" t="str">
        <f t="shared" si="1032"/>
        <v>ZoD</v>
      </c>
      <c r="AB981" s="4">
        <v>90</v>
      </c>
      <c r="AC981" s="4">
        <v>90</v>
      </c>
      <c r="AD981" s="3" t="s">
        <v>48</v>
      </c>
      <c r="AE981" s="6">
        <v>45544</v>
      </c>
      <c r="AF981" s="3" t="s">
        <v>59</v>
      </c>
      <c r="AG981" s="3" t="s">
        <v>48</v>
      </c>
      <c r="AH981" s="3">
        <f>YEAR(SrcDB[[#This Row],[Datum_zverejnenia]])</f>
        <v>2023</v>
      </c>
      <c r="AI981" s="3" cm="1">
        <f t="array" ref="AI981">COUNT(_xlfn.UNIQUE(_xlfn._xlws.FILTER(SrcDB[ID],SrcDB[Objednavatel_ICO]=$H981)))</f>
        <v>2</v>
      </c>
      <c r="AJ981" s="3" cm="1">
        <f t="array" ref="AJ981">COUNT(_xlfn.UNIQUE(_xlfn._xlws.FILTER(SrcDB[ID],SrcDB[Dodavatel_ICO]=$K981)))</f>
        <v>3</v>
      </c>
      <c r="AK981" s="3">
        <f t="shared" si="1072"/>
        <v>0</v>
      </c>
      <c r="AL981" s="3">
        <f t="shared" si="1073"/>
        <v>0</v>
      </c>
      <c r="AM981" s="17" t="str">
        <f>IF(SrcDB[[#This Row],[Pocet zmluv objednavatela]]&gt;3,SrcDB[[#This Row],[Objednavatel]],"Ostatné")</f>
        <v>Ostatné</v>
      </c>
      <c r="AN981" s="17" t="str">
        <f>IF(SrcDB[[#This Row],[Pocet zmluv dodavatela]]&gt;3,SrcDB[[#This Row],[Dodavatel]],"Ostatné")</f>
        <v>Ostatné</v>
      </c>
    </row>
    <row r="982" spans="1:40" x14ac:dyDescent="0.3">
      <c r="A982" s="2" t="s">
        <v>1167</v>
      </c>
      <c r="B982" s="2">
        <v>7800155</v>
      </c>
      <c r="C982" s="3" t="str">
        <f t="shared" si="1066"/>
        <v>Áno</v>
      </c>
      <c r="D982" s="3" t="str">
        <f t="shared" si="1067"/>
        <v>Nie</v>
      </c>
      <c r="E982" s="3" t="s">
        <v>49</v>
      </c>
      <c r="F982" s="3" t="s">
        <v>48</v>
      </c>
      <c r="G982" s="2" t="str">
        <f t="shared" si="1068"/>
        <v>Stredné zmluvy</v>
      </c>
      <c r="H982" s="5">
        <v>36069841</v>
      </c>
      <c r="I982" s="2" t="s">
        <v>1168</v>
      </c>
      <c r="J982" s="2" t="s">
        <v>1169</v>
      </c>
      <c r="K982" s="5">
        <v>50438336</v>
      </c>
      <c r="L982" s="2" t="s">
        <v>691</v>
      </c>
      <c r="M982" s="2" t="s">
        <v>1170</v>
      </c>
      <c r="N982" s="6">
        <v>45043.610613425924</v>
      </c>
      <c r="O982" s="4">
        <v>2256660</v>
      </c>
      <c r="P982" s="2">
        <v>356704</v>
      </c>
      <c r="Q982" s="2" t="s">
        <v>1171</v>
      </c>
      <c r="R982" s="2" t="s">
        <v>1172</v>
      </c>
      <c r="S982" s="2" t="s">
        <v>69</v>
      </c>
      <c r="T982" s="2" t="s">
        <v>285</v>
      </c>
      <c r="W982" s="4">
        <v>710</v>
      </c>
      <c r="X982" s="4">
        <v>852</v>
      </c>
      <c r="Y982" s="4">
        <f t="shared" ref="Y982" si="1091">INDEX(InternalRates,MATCH($S982,InternalRates01,FALSE),2)</f>
        <v>278.98333333333335</v>
      </c>
      <c r="Z982" s="3" t="str">
        <f t="shared" si="1031"/>
        <v>Nie</v>
      </c>
      <c r="AA982" s="3" t="str">
        <f t="shared" si="1032"/>
        <v>ZoD</v>
      </c>
      <c r="AB982" s="4">
        <v>20</v>
      </c>
      <c r="AC982" s="4">
        <v>20</v>
      </c>
      <c r="AD982" s="3" t="s">
        <v>48</v>
      </c>
      <c r="AE982" s="6">
        <v>45544</v>
      </c>
      <c r="AF982" s="3" t="s">
        <v>59</v>
      </c>
      <c r="AG982" s="3" t="s">
        <v>48</v>
      </c>
      <c r="AH982" s="3">
        <f>YEAR(SrcDB[[#This Row],[Datum_zverejnenia]])</f>
        <v>2023</v>
      </c>
      <c r="AI982" s="3" cm="1">
        <f t="array" ref="AI982">COUNT(_xlfn.UNIQUE(_xlfn._xlws.FILTER(SrcDB[ID],SrcDB[Objednavatel_ICO]=$H982)))</f>
        <v>2</v>
      </c>
      <c r="AJ982" s="3" cm="1">
        <f t="array" ref="AJ982">COUNT(_xlfn.UNIQUE(_xlfn._xlws.FILTER(SrcDB[ID],SrcDB[Dodavatel_ICO]=$K982)))</f>
        <v>3</v>
      </c>
      <c r="AK982" s="3">
        <f t="shared" si="1072"/>
        <v>0</v>
      </c>
      <c r="AL982" s="3">
        <f t="shared" si="1073"/>
        <v>0</v>
      </c>
      <c r="AM982" s="17" t="str">
        <f>IF(SrcDB[[#This Row],[Pocet zmluv objednavatela]]&gt;3,SrcDB[[#This Row],[Objednavatel]],"Ostatné")</f>
        <v>Ostatné</v>
      </c>
      <c r="AN982" s="17" t="str">
        <f>IF(SrcDB[[#This Row],[Pocet zmluv dodavatela]]&gt;3,SrcDB[[#This Row],[Dodavatel]],"Ostatné")</f>
        <v>Ostatné</v>
      </c>
    </row>
    <row r="983" spans="1:40" x14ac:dyDescent="0.3">
      <c r="A983" s="2" t="s">
        <v>1167</v>
      </c>
      <c r="B983" s="2">
        <v>7800155</v>
      </c>
      <c r="C983" s="3" t="str">
        <f t="shared" si="1066"/>
        <v>Áno</v>
      </c>
      <c r="D983" s="3" t="str">
        <f t="shared" si="1067"/>
        <v>Nie</v>
      </c>
      <c r="E983" s="3" t="s">
        <v>49</v>
      </c>
      <c r="F983" s="3" t="s">
        <v>48</v>
      </c>
      <c r="G983" s="2" t="str">
        <f t="shared" si="1068"/>
        <v>Stredné zmluvy</v>
      </c>
      <c r="H983" s="5">
        <v>36069841</v>
      </c>
      <c r="I983" s="2" t="s">
        <v>1168</v>
      </c>
      <c r="J983" s="2" t="s">
        <v>1169</v>
      </c>
      <c r="K983" s="5">
        <v>50438336</v>
      </c>
      <c r="L983" s="2" t="s">
        <v>691</v>
      </c>
      <c r="M983" s="2" t="s">
        <v>1170</v>
      </c>
      <c r="N983" s="6">
        <v>45043.610613425924</v>
      </c>
      <c r="O983" s="4">
        <v>2256660</v>
      </c>
      <c r="P983" s="2">
        <v>356704</v>
      </c>
      <c r="Q983" s="2" t="s">
        <v>1171</v>
      </c>
      <c r="R983" s="2" t="s">
        <v>1172</v>
      </c>
      <c r="S983" s="2" t="s">
        <v>73</v>
      </c>
      <c r="T983" s="2" t="s">
        <v>90</v>
      </c>
      <c r="W983" s="4">
        <v>600</v>
      </c>
      <c r="X983" s="4">
        <v>720</v>
      </c>
      <c r="Y983" s="4">
        <f t="shared" ref="Y983" si="1092">INDEX(InternalRates,MATCH($S983,InternalRates01,FALSE),2)</f>
        <v>278.98333333333335</v>
      </c>
      <c r="Z983" s="3" t="str">
        <f t="shared" si="1031"/>
        <v>Nie</v>
      </c>
      <c r="AA983" s="3" t="str">
        <f t="shared" si="1032"/>
        <v>ZoD</v>
      </c>
      <c r="AB983" s="4">
        <v>100</v>
      </c>
      <c r="AC983" s="4">
        <v>100</v>
      </c>
      <c r="AD983" s="3" t="s">
        <v>48</v>
      </c>
      <c r="AE983" s="6">
        <v>45544</v>
      </c>
      <c r="AF983" s="3" t="s">
        <v>59</v>
      </c>
      <c r="AG983" s="3" t="s">
        <v>48</v>
      </c>
      <c r="AH983" s="3">
        <f>YEAR(SrcDB[[#This Row],[Datum_zverejnenia]])</f>
        <v>2023</v>
      </c>
      <c r="AI983" s="3" cm="1">
        <f t="array" ref="AI983">COUNT(_xlfn.UNIQUE(_xlfn._xlws.FILTER(SrcDB[ID],SrcDB[Objednavatel_ICO]=$H983)))</f>
        <v>2</v>
      </c>
      <c r="AJ983" s="3" cm="1">
        <f t="array" ref="AJ983">COUNT(_xlfn.UNIQUE(_xlfn._xlws.FILTER(SrcDB[ID],SrcDB[Dodavatel_ICO]=$K983)))</f>
        <v>3</v>
      </c>
      <c r="AK983" s="3">
        <f t="shared" si="1072"/>
        <v>0</v>
      </c>
      <c r="AL983" s="3">
        <f t="shared" si="1073"/>
        <v>0</v>
      </c>
      <c r="AM983" s="17" t="str">
        <f>IF(SrcDB[[#This Row],[Pocet zmluv objednavatela]]&gt;3,SrcDB[[#This Row],[Objednavatel]],"Ostatné")</f>
        <v>Ostatné</v>
      </c>
      <c r="AN983" s="17" t="str">
        <f>IF(SrcDB[[#This Row],[Pocet zmluv dodavatela]]&gt;3,SrcDB[[#This Row],[Dodavatel]],"Ostatné")</f>
        <v>Ostatné</v>
      </c>
    </row>
    <row r="984" spans="1:40" x14ac:dyDescent="0.3">
      <c r="A984" s="2" t="s">
        <v>1167</v>
      </c>
      <c r="B984" s="2">
        <v>7800155</v>
      </c>
      <c r="C984" s="3" t="str">
        <f t="shared" si="1066"/>
        <v>Áno</v>
      </c>
      <c r="D984" s="3" t="str">
        <f t="shared" si="1067"/>
        <v>Nie</v>
      </c>
      <c r="E984" s="3" t="s">
        <v>49</v>
      </c>
      <c r="F984" s="3" t="s">
        <v>48</v>
      </c>
      <c r="G984" s="2" t="str">
        <f t="shared" si="1068"/>
        <v>Stredné zmluvy</v>
      </c>
      <c r="H984" s="5">
        <v>36069841</v>
      </c>
      <c r="I984" s="2" t="s">
        <v>1168</v>
      </c>
      <c r="J984" s="2" t="s">
        <v>1169</v>
      </c>
      <c r="K984" s="5">
        <v>50438336</v>
      </c>
      <c r="L984" s="2" t="s">
        <v>691</v>
      </c>
      <c r="M984" s="2" t="s">
        <v>1170</v>
      </c>
      <c r="N984" s="6">
        <v>45043.610613425924</v>
      </c>
      <c r="O984" s="4">
        <v>2256660</v>
      </c>
      <c r="P984" s="2">
        <v>356704</v>
      </c>
      <c r="Q984" s="2" t="s">
        <v>1171</v>
      </c>
      <c r="R984" s="2" t="s">
        <v>1172</v>
      </c>
      <c r="S984" s="2" t="s">
        <v>56</v>
      </c>
      <c r="T984" s="2" t="s">
        <v>1173</v>
      </c>
      <c r="U984" s="2" t="s">
        <v>449</v>
      </c>
      <c r="W984" s="4">
        <v>710</v>
      </c>
      <c r="X984" s="4">
        <v>852</v>
      </c>
      <c r="Y984" s="4">
        <f t="shared" ref="Y984" si="1093">INDEX(InternalRates,MATCH($S984,InternalRates01,FALSE),2)</f>
        <v>278.98333333333335</v>
      </c>
      <c r="Z984" s="3" t="str">
        <f t="shared" si="1031"/>
        <v>Nie</v>
      </c>
      <c r="AA984" s="3" t="str">
        <f t="shared" si="1032"/>
        <v>ZoD</v>
      </c>
      <c r="AB984" s="4">
        <v>40</v>
      </c>
      <c r="AC984" s="4">
        <v>40</v>
      </c>
      <c r="AD984" s="3" t="s">
        <v>48</v>
      </c>
      <c r="AE984" s="6">
        <v>45544</v>
      </c>
      <c r="AF984" s="3" t="s">
        <v>59</v>
      </c>
      <c r="AG984" s="3" t="s">
        <v>48</v>
      </c>
      <c r="AH984" s="3">
        <f>YEAR(SrcDB[[#This Row],[Datum_zverejnenia]])</f>
        <v>2023</v>
      </c>
      <c r="AI984" s="3" cm="1">
        <f t="array" ref="AI984">COUNT(_xlfn.UNIQUE(_xlfn._xlws.FILTER(SrcDB[ID],SrcDB[Objednavatel_ICO]=$H984)))</f>
        <v>2</v>
      </c>
      <c r="AJ984" s="3" cm="1">
        <f t="array" ref="AJ984">COUNT(_xlfn.UNIQUE(_xlfn._xlws.FILTER(SrcDB[ID],SrcDB[Dodavatel_ICO]=$K984)))</f>
        <v>3</v>
      </c>
      <c r="AK984" s="3">
        <f t="shared" si="1072"/>
        <v>0</v>
      </c>
      <c r="AL984" s="3">
        <f t="shared" si="1073"/>
        <v>0</v>
      </c>
      <c r="AM984" s="17" t="str">
        <f>IF(SrcDB[[#This Row],[Pocet zmluv objednavatela]]&gt;3,SrcDB[[#This Row],[Objednavatel]],"Ostatné")</f>
        <v>Ostatné</v>
      </c>
      <c r="AN984" s="17" t="str">
        <f>IF(SrcDB[[#This Row],[Pocet zmluv dodavatela]]&gt;3,SrcDB[[#This Row],[Dodavatel]],"Ostatné")</f>
        <v>Ostatné</v>
      </c>
    </row>
    <row r="985" spans="1:40" x14ac:dyDescent="0.3">
      <c r="A985" s="2" t="s">
        <v>1167</v>
      </c>
      <c r="B985" s="2">
        <v>7800155</v>
      </c>
      <c r="C985" s="3" t="str">
        <f t="shared" si="1066"/>
        <v>Áno</v>
      </c>
      <c r="D985" s="3" t="str">
        <f t="shared" si="1067"/>
        <v>Nie</v>
      </c>
      <c r="E985" s="3" t="s">
        <v>49</v>
      </c>
      <c r="F985" s="3" t="s">
        <v>48</v>
      </c>
      <c r="G985" s="2" t="str">
        <f t="shared" si="1068"/>
        <v>Stredné zmluvy</v>
      </c>
      <c r="H985" s="5">
        <v>36069841</v>
      </c>
      <c r="I985" s="2" t="s">
        <v>1168</v>
      </c>
      <c r="J985" s="2" t="s">
        <v>1169</v>
      </c>
      <c r="K985" s="5">
        <v>50438336</v>
      </c>
      <c r="L985" s="2" t="s">
        <v>691</v>
      </c>
      <c r="M985" s="2" t="s">
        <v>1170</v>
      </c>
      <c r="N985" s="6">
        <v>45043.610613425924</v>
      </c>
      <c r="O985" s="4">
        <v>2256660</v>
      </c>
      <c r="P985" s="2">
        <v>356704</v>
      </c>
      <c r="Q985" s="2" t="s">
        <v>1171</v>
      </c>
      <c r="R985" s="2" t="s">
        <v>1172</v>
      </c>
      <c r="S985" s="2" t="s">
        <v>56</v>
      </c>
      <c r="T985" s="2" t="s">
        <v>94</v>
      </c>
      <c r="U985" s="2" t="s">
        <v>95</v>
      </c>
      <c r="W985" s="4">
        <v>960</v>
      </c>
      <c r="X985" s="4">
        <v>1152</v>
      </c>
      <c r="Y985" s="4">
        <f t="shared" ref="Y985" si="1094">INDEX(InternalRates,MATCH($S985,InternalRates01,FALSE),2)</f>
        <v>278.98333333333335</v>
      </c>
      <c r="Z985" s="3" t="str">
        <f t="shared" si="1031"/>
        <v>Nie</v>
      </c>
      <c r="AA985" s="3" t="str">
        <f t="shared" si="1032"/>
        <v>ZoD</v>
      </c>
      <c r="AB985" s="4">
        <v>50</v>
      </c>
      <c r="AC985" s="4">
        <v>50</v>
      </c>
      <c r="AD985" s="3" t="s">
        <v>48</v>
      </c>
      <c r="AE985" s="6">
        <v>45544</v>
      </c>
      <c r="AF985" s="3" t="s">
        <v>59</v>
      </c>
      <c r="AG985" s="3" t="s">
        <v>48</v>
      </c>
      <c r="AH985" s="3">
        <f>YEAR(SrcDB[[#This Row],[Datum_zverejnenia]])</f>
        <v>2023</v>
      </c>
      <c r="AI985" s="3" cm="1">
        <f t="array" ref="AI985">COUNT(_xlfn.UNIQUE(_xlfn._xlws.FILTER(SrcDB[ID],SrcDB[Objednavatel_ICO]=$H985)))</f>
        <v>2</v>
      </c>
      <c r="AJ985" s="3" cm="1">
        <f t="array" ref="AJ985">COUNT(_xlfn.UNIQUE(_xlfn._xlws.FILTER(SrcDB[ID],SrcDB[Dodavatel_ICO]=$K985)))</f>
        <v>3</v>
      </c>
      <c r="AK985" s="3">
        <f t="shared" si="1072"/>
        <v>0</v>
      </c>
      <c r="AL985" s="3">
        <f t="shared" si="1073"/>
        <v>0</v>
      </c>
      <c r="AM985" s="17" t="str">
        <f>IF(SrcDB[[#This Row],[Pocet zmluv objednavatela]]&gt;3,SrcDB[[#This Row],[Objednavatel]],"Ostatné")</f>
        <v>Ostatné</v>
      </c>
      <c r="AN985" s="17" t="str">
        <f>IF(SrcDB[[#This Row],[Pocet zmluv dodavatela]]&gt;3,SrcDB[[#This Row],[Dodavatel]],"Ostatné")</f>
        <v>Ostatné</v>
      </c>
    </row>
    <row r="986" spans="1:40" x14ac:dyDescent="0.3">
      <c r="A986" s="2" t="s">
        <v>1167</v>
      </c>
      <c r="B986" s="2">
        <v>7800155</v>
      </c>
      <c r="C986" s="3" t="str">
        <f t="shared" si="1066"/>
        <v>Áno</v>
      </c>
      <c r="D986" s="3" t="str">
        <f t="shared" si="1067"/>
        <v>Nie</v>
      </c>
      <c r="E986" s="3" t="s">
        <v>49</v>
      </c>
      <c r="F986" s="3" t="s">
        <v>48</v>
      </c>
      <c r="G986" s="2" t="str">
        <f t="shared" si="1068"/>
        <v>Stredné zmluvy</v>
      </c>
      <c r="H986" s="5">
        <v>36069841</v>
      </c>
      <c r="I986" s="2" t="s">
        <v>1168</v>
      </c>
      <c r="J986" s="2" t="s">
        <v>1169</v>
      </c>
      <c r="K986" s="5">
        <v>50438336</v>
      </c>
      <c r="L986" s="2" t="s">
        <v>691</v>
      </c>
      <c r="M986" s="2" t="s">
        <v>1170</v>
      </c>
      <c r="N986" s="6">
        <v>45043.610613425924</v>
      </c>
      <c r="O986" s="4">
        <v>2256660</v>
      </c>
      <c r="P986" s="2">
        <v>356704</v>
      </c>
      <c r="Q986" s="2" t="s">
        <v>1171</v>
      </c>
      <c r="R986" s="2" t="s">
        <v>1172</v>
      </c>
      <c r="S986" s="2" t="s">
        <v>56</v>
      </c>
      <c r="T986" s="2" t="s">
        <v>96</v>
      </c>
      <c r="U986" s="2" t="s">
        <v>97</v>
      </c>
      <c r="W986" s="4">
        <v>640</v>
      </c>
      <c r="X986" s="4">
        <v>768</v>
      </c>
      <c r="Y986" s="4">
        <f t="shared" ref="Y986" si="1095">INDEX(InternalRates,MATCH($S986,InternalRates01,FALSE),2)</f>
        <v>278.98333333333335</v>
      </c>
      <c r="Z986" s="3" t="str">
        <f t="shared" si="1031"/>
        <v>Nie</v>
      </c>
      <c r="AA986" s="3" t="str">
        <f t="shared" si="1032"/>
        <v>ZoD</v>
      </c>
      <c r="AB986" s="4">
        <v>70</v>
      </c>
      <c r="AC986" s="4">
        <v>70</v>
      </c>
      <c r="AD986" s="3" t="s">
        <v>48</v>
      </c>
      <c r="AE986" s="6">
        <v>45544</v>
      </c>
      <c r="AF986" s="3" t="s">
        <v>59</v>
      </c>
      <c r="AG986" s="3" t="s">
        <v>48</v>
      </c>
      <c r="AH986" s="3">
        <f>YEAR(SrcDB[[#This Row],[Datum_zverejnenia]])</f>
        <v>2023</v>
      </c>
      <c r="AI986" s="3" cm="1">
        <f t="array" ref="AI986">COUNT(_xlfn.UNIQUE(_xlfn._xlws.FILTER(SrcDB[ID],SrcDB[Objednavatel_ICO]=$H986)))</f>
        <v>2</v>
      </c>
      <c r="AJ986" s="3" cm="1">
        <f t="array" ref="AJ986">COUNT(_xlfn.UNIQUE(_xlfn._xlws.FILTER(SrcDB[ID],SrcDB[Dodavatel_ICO]=$K986)))</f>
        <v>3</v>
      </c>
      <c r="AK986" s="3">
        <f t="shared" si="1072"/>
        <v>0</v>
      </c>
      <c r="AL986" s="3">
        <f t="shared" si="1073"/>
        <v>0</v>
      </c>
      <c r="AM986" s="17" t="str">
        <f>IF(SrcDB[[#This Row],[Pocet zmluv objednavatela]]&gt;3,SrcDB[[#This Row],[Objednavatel]],"Ostatné")</f>
        <v>Ostatné</v>
      </c>
      <c r="AN986" s="17" t="str">
        <f>IF(SrcDB[[#This Row],[Pocet zmluv dodavatela]]&gt;3,SrcDB[[#This Row],[Dodavatel]],"Ostatné")</f>
        <v>Ostatné</v>
      </c>
    </row>
    <row r="987" spans="1:40" x14ac:dyDescent="0.3">
      <c r="A987" s="2" t="s">
        <v>1167</v>
      </c>
      <c r="B987" s="2">
        <v>7800155</v>
      </c>
      <c r="C987" s="3" t="str">
        <f t="shared" si="1066"/>
        <v>Áno</v>
      </c>
      <c r="D987" s="3" t="str">
        <f t="shared" si="1067"/>
        <v>Nie</v>
      </c>
      <c r="E987" s="3" t="s">
        <v>49</v>
      </c>
      <c r="F987" s="3" t="s">
        <v>48</v>
      </c>
      <c r="G987" s="2" t="str">
        <f t="shared" si="1068"/>
        <v>Stredné zmluvy</v>
      </c>
      <c r="H987" s="5">
        <v>36069841</v>
      </c>
      <c r="I987" s="2" t="s">
        <v>1168</v>
      </c>
      <c r="J987" s="2" t="s">
        <v>1169</v>
      </c>
      <c r="K987" s="5">
        <v>50438336</v>
      </c>
      <c r="L987" s="2" t="s">
        <v>691</v>
      </c>
      <c r="M987" s="2" t="s">
        <v>1170</v>
      </c>
      <c r="N987" s="6">
        <v>45043.610613425924</v>
      </c>
      <c r="O987" s="4">
        <v>2256660</v>
      </c>
      <c r="P987" s="2">
        <v>356704</v>
      </c>
      <c r="Q987" s="2" t="s">
        <v>1171</v>
      </c>
      <c r="R987" s="2" t="s">
        <v>1172</v>
      </c>
      <c r="S987" s="2" t="s">
        <v>56</v>
      </c>
      <c r="T987" s="2" t="s">
        <v>288</v>
      </c>
      <c r="U987" s="2" t="s">
        <v>289</v>
      </c>
      <c r="W987" s="4">
        <v>500</v>
      </c>
      <c r="X987" s="4">
        <v>600</v>
      </c>
      <c r="Y987" s="4">
        <f t="shared" ref="Y987" si="1096">INDEX(InternalRates,MATCH($S987,InternalRates01,FALSE),2)</f>
        <v>278.98333333333335</v>
      </c>
      <c r="Z987" s="3" t="str">
        <f t="shared" si="1031"/>
        <v>Nie</v>
      </c>
      <c r="AA987" s="3" t="str">
        <f t="shared" si="1032"/>
        <v>ZoD</v>
      </c>
      <c r="AB987" s="4">
        <v>85</v>
      </c>
      <c r="AC987" s="4">
        <v>85</v>
      </c>
      <c r="AD987" s="3" t="s">
        <v>48</v>
      </c>
      <c r="AE987" s="6">
        <v>45544</v>
      </c>
      <c r="AF987" s="3" t="s">
        <v>59</v>
      </c>
      <c r="AG987" s="3" t="s">
        <v>48</v>
      </c>
      <c r="AH987" s="3">
        <f>YEAR(SrcDB[[#This Row],[Datum_zverejnenia]])</f>
        <v>2023</v>
      </c>
      <c r="AI987" s="3" cm="1">
        <f t="array" ref="AI987">COUNT(_xlfn.UNIQUE(_xlfn._xlws.FILTER(SrcDB[ID],SrcDB[Objednavatel_ICO]=$H987)))</f>
        <v>2</v>
      </c>
      <c r="AJ987" s="3" cm="1">
        <f t="array" ref="AJ987">COUNT(_xlfn.UNIQUE(_xlfn._xlws.FILTER(SrcDB[ID],SrcDB[Dodavatel_ICO]=$K987)))</f>
        <v>3</v>
      </c>
      <c r="AK987" s="3">
        <f t="shared" si="1072"/>
        <v>0</v>
      </c>
      <c r="AL987" s="3">
        <f t="shared" si="1073"/>
        <v>0</v>
      </c>
      <c r="AM987" s="17" t="str">
        <f>IF(SrcDB[[#This Row],[Pocet zmluv objednavatela]]&gt;3,SrcDB[[#This Row],[Objednavatel]],"Ostatné")</f>
        <v>Ostatné</v>
      </c>
      <c r="AN987" s="17" t="str">
        <f>IF(SrcDB[[#This Row],[Pocet zmluv dodavatela]]&gt;3,SrcDB[[#This Row],[Dodavatel]],"Ostatné")</f>
        <v>Ostatné</v>
      </c>
    </row>
    <row r="988" spans="1:40" x14ac:dyDescent="0.3">
      <c r="A988" s="2" t="s">
        <v>1167</v>
      </c>
      <c r="B988" s="2">
        <v>7800155</v>
      </c>
      <c r="C988" s="3" t="str">
        <f t="shared" si="1066"/>
        <v>Áno</v>
      </c>
      <c r="D988" s="3" t="str">
        <f t="shared" si="1067"/>
        <v>Nie</v>
      </c>
      <c r="E988" s="3" t="s">
        <v>49</v>
      </c>
      <c r="F988" s="3" t="s">
        <v>48</v>
      </c>
      <c r="G988" s="2" t="str">
        <f t="shared" si="1068"/>
        <v>Stredné zmluvy</v>
      </c>
      <c r="H988" s="5">
        <v>36069841</v>
      </c>
      <c r="I988" s="2" t="s">
        <v>1168</v>
      </c>
      <c r="J988" s="2" t="s">
        <v>1169</v>
      </c>
      <c r="K988" s="5">
        <v>50438336</v>
      </c>
      <c r="L988" s="2" t="s">
        <v>691</v>
      </c>
      <c r="M988" s="2" t="s">
        <v>1170</v>
      </c>
      <c r="N988" s="6">
        <v>45043.610613425924</v>
      </c>
      <c r="O988" s="4">
        <v>2256660</v>
      </c>
      <c r="P988" s="2">
        <v>356704</v>
      </c>
      <c r="Q988" s="2" t="s">
        <v>1171</v>
      </c>
      <c r="R988" s="2" t="s">
        <v>1172</v>
      </c>
      <c r="S988" s="2" t="s">
        <v>98</v>
      </c>
      <c r="T988" s="2" t="s">
        <v>287</v>
      </c>
      <c r="W988" s="4">
        <v>570</v>
      </c>
      <c r="X988" s="4">
        <v>684</v>
      </c>
      <c r="Y988" s="4">
        <f t="shared" ref="Y988" si="1097">INDEX(InternalRates,MATCH($S988,InternalRates01,FALSE),2)</f>
        <v>278.98333333333335</v>
      </c>
      <c r="Z988" s="3" t="str">
        <f t="shared" si="1031"/>
        <v>Nie</v>
      </c>
      <c r="AA988" s="3" t="str">
        <f t="shared" si="1032"/>
        <v>ZoD</v>
      </c>
      <c r="AB988" s="4">
        <v>30</v>
      </c>
      <c r="AC988" s="4">
        <v>30</v>
      </c>
      <c r="AD988" s="3" t="s">
        <v>48</v>
      </c>
      <c r="AE988" s="6">
        <v>45544</v>
      </c>
      <c r="AF988" s="3" t="s">
        <v>59</v>
      </c>
      <c r="AG988" s="3" t="s">
        <v>48</v>
      </c>
      <c r="AH988" s="3">
        <f>YEAR(SrcDB[[#This Row],[Datum_zverejnenia]])</f>
        <v>2023</v>
      </c>
      <c r="AI988" s="3" cm="1">
        <f t="array" ref="AI988">COUNT(_xlfn.UNIQUE(_xlfn._xlws.FILTER(SrcDB[ID],SrcDB[Objednavatel_ICO]=$H988)))</f>
        <v>2</v>
      </c>
      <c r="AJ988" s="3" cm="1">
        <f t="array" ref="AJ988">COUNT(_xlfn.UNIQUE(_xlfn._xlws.FILTER(SrcDB[ID],SrcDB[Dodavatel_ICO]=$K988)))</f>
        <v>3</v>
      </c>
      <c r="AK988" s="3">
        <f t="shared" si="1072"/>
        <v>0</v>
      </c>
      <c r="AL988" s="3">
        <f t="shared" si="1073"/>
        <v>0</v>
      </c>
      <c r="AM988" s="17" t="str">
        <f>IF(SrcDB[[#This Row],[Pocet zmluv objednavatela]]&gt;3,SrcDB[[#This Row],[Objednavatel]],"Ostatné")</f>
        <v>Ostatné</v>
      </c>
      <c r="AN988" s="17" t="str">
        <f>IF(SrcDB[[#This Row],[Pocet zmluv dodavatela]]&gt;3,SrcDB[[#This Row],[Dodavatel]],"Ostatné")</f>
        <v>Ostatné</v>
      </c>
    </row>
    <row r="989" spans="1:40" x14ac:dyDescent="0.3">
      <c r="A989" s="2" t="s">
        <v>1167</v>
      </c>
      <c r="B989" s="2">
        <v>7800155</v>
      </c>
      <c r="C989" s="3" t="str">
        <f t="shared" si="1066"/>
        <v>Áno</v>
      </c>
      <c r="D989" s="3" t="str">
        <f t="shared" si="1067"/>
        <v>Nie</v>
      </c>
      <c r="E989" s="3" t="s">
        <v>49</v>
      </c>
      <c r="F989" s="3" t="s">
        <v>48</v>
      </c>
      <c r="G989" s="2" t="str">
        <f t="shared" si="1068"/>
        <v>Stredné zmluvy</v>
      </c>
      <c r="H989" s="5">
        <v>36069841</v>
      </c>
      <c r="I989" s="2" t="s">
        <v>1168</v>
      </c>
      <c r="J989" s="2" t="s">
        <v>1169</v>
      </c>
      <c r="K989" s="5">
        <v>50438336</v>
      </c>
      <c r="L989" s="2" t="s">
        <v>691</v>
      </c>
      <c r="M989" s="2" t="s">
        <v>1170</v>
      </c>
      <c r="N989" s="6">
        <v>45043.610613425924</v>
      </c>
      <c r="O989" s="4">
        <v>2256660</v>
      </c>
      <c r="P989" s="2">
        <v>356704</v>
      </c>
      <c r="Q989" s="2" t="s">
        <v>1171</v>
      </c>
      <c r="R989" s="2" t="s">
        <v>1172</v>
      </c>
      <c r="S989" s="2" t="s">
        <v>56</v>
      </c>
      <c r="T989" s="2" t="s">
        <v>613</v>
      </c>
      <c r="U989" s="2" t="s">
        <v>129</v>
      </c>
      <c r="W989" s="4">
        <v>720</v>
      </c>
      <c r="X989" s="4">
        <v>864</v>
      </c>
      <c r="Y989" s="4">
        <f t="shared" ref="Y989" si="1098">INDEX(InternalRates,MATCH($S989,InternalRates01,FALSE),2)</f>
        <v>278.98333333333335</v>
      </c>
      <c r="Z989" s="3" t="str">
        <f t="shared" si="1031"/>
        <v>Nie</v>
      </c>
      <c r="AA989" s="3" t="str">
        <f t="shared" si="1032"/>
        <v>ZoD</v>
      </c>
      <c r="AB989" s="4">
        <v>0</v>
      </c>
      <c r="AC989" s="4">
        <v>0</v>
      </c>
      <c r="AD989" s="3" t="s">
        <v>48</v>
      </c>
      <c r="AE989" s="6">
        <v>45544</v>
      </c>
      <c r="AF989" s="3" t="s">
        <v>59</v>
      </c>
      <c r="AG989" s="3" t="s">
        <v>48</v>
      </c>
      <c r="AH989" s="3">
        <f>YEAR(SrcDB[[#This Row],[Datum_zverejnenia]])</f>
        <v>2023</v>
      </c>
      <c r="AI989" s="3" cm="1">
        <f t="array" ref="AI989">COUNT(_xlfn.UNIQUE(_xlfn._xlws.FILTER(SrcDB[ID],SrcDB[Objednavatel_ICO]=$H989)))</f>
        <v>2</v>
      </c>
      <c r="AJ989" s="3" cm="1">
        <f t="array" ref="AJ989">COUNT(_xlfn.UNIQUE(_xlfn._xlws.FILTER(SrcDB[ID],SrcDB[Dodavatel_ICO]=$K989)))</f>
        <v>3</v>
      </c>
      <c r="AK989" s="3">
        <f t="shared" si="1072"/>
        <v>0</v>
      </c>
      <c r="AL989" s="3">
        <f t="shared" si="1073"/>
        <v>0</v>
      </c>
      <c r="AM989" s="17" t="str">
        <f>IF(SrcDB[[#This Row],[Pocet zmluv objednavatela]]&gt;3,SrcDB[[#This Row],[Objednavatel]],"Ostatné")</f>
        <v>Ostatné</v>
      </c>
      <c r="AN989" s="17" t="str">
        <f>IF(SrcDB[[#This Row],[Pocet zmluv dodavatela]]&gt;3,SrcDB[[#This Row],[Dodavatel]],"Ostatné")</f>
        <v>Ostatné</v>
      </c>
    </row>
    <row r="990" spans="1:40" x14ac:dyDescent="0.3">
      <c r="A990" s="2" t="s">
        <v>780</v>
      </c>
      <c r="B990" s="2">
        <v>7800344</v>
      </c>
      <c r="C990" s="3" t="str">
        <f t="shared" si="1066"/>
        <v>Nie</v>
      </c>
      <c r="D990" s="3" t="str">
        <f t="shared" si="1067"/>
        <v>Áno</v>
      </c>
      <c r="E990" s="3" t="s">
        <v>48</v>
      </c>
      <c r="F990" s="3" t="s">
        <v>49</v>
      </c>
      <c r="G990" s="2" t="str">
        <f t="shared" si="1068"/>
        <v>Stredné zmluvy</v>
      </c>
      <c r="H990" s="5">
        <v>36069841</v>
      </c>
      <c r="I990" s="2" t="s">
        <v>1168</v>
      </c>
      <c r="J990" s="2" t="s">
        <v>1169</v>
      </c>
      <c r="K990" s="5">
        <v>50438336</v>
      </c>
      <c r="L990" s="2" t="s">
        <v>691</v>
      </c>
      <c r="M990" s="2" t="s">
        <v>1170</v>
      </c>
      <c r="N990" s="6">
        <v>45043.610648148147</v>
      </c>
      <c r="O990" s="4">
        <v>1035000</v>
      </c>
      <c r="P990" s="2">
        <v>356704</v>
      </c>
      <c r="Q990" s="2" t="s">
        <v>1174</v>
      </c>
      <c r="R990" s="2" t="s">
        <v>1175</v>
      </c>
      <c r="S990" s="2" t="s">
        <v>160</v>
      </c>
      <c r="T990" s="2" t="s">
        <v>1176</v>
      </c>
      <c r="W990" s="4">
        <v>250</v>
      </c>
      <c r="X990" s="4">
        <v>300</v>
      </c>
      <c r="Y990" s="4">
        <f t="shared" ref="Y990" si="1099">INDEX(InternalRates,MATCH($S990,InternalRates01,FALSE),2)</f>
        <v>231.85833333333335</v>
      </c>
      <c r="Z990" s="3" t="str">
        <f t="shared" si="1031"/>
        <v>Nie</v>
      </c>
      <c r="AA990" s="3" t="str">
        <f t="shared" si="1032"/>
        <v>SLA</v>
      </c>
      <c r="AB990" s="4">
        <v>1250</v>
      </c>
      <c r="AC990" s="4">
        <v>250</v>
      </c>
      <c r="AD990" s="3" t="s">
        <v>48</v>
      </c>
      <c r="AE990" s="6">
        <v>45544</v>
      </c>
      <c r="AF990" s="3" t="s">
        <v>59</v>
      </c>
      <c r="AG990" s="3" t="s">
        <v>48</v>
      </c>
      <c r="AH990" s="3">
        <f>YEAR(SrcDB[[#This Row],[Datum_zverejnenia]])</f>
        <v>2023</v>
      </c>
      <c r="AI990" s="3" cm="1">
        <f t="array" ref="AI990">COUNT(_xlfn.UNIQUE(_xlfn._xlws.FILTER(SrcDB[ID],SrcDB[Objednavatel_ICO]=$H990)))</f>
        <v>2</v>
      </c>
      <c r="AJ990" s="3" cm="1">
        <f t="array" ref="AJ990">COUNT(_xlfn.UNIQUE(_xlfn._xlws.FILTER(SrcDB[ID],SrcDB[Dodavatel_ICO]=$K990)))</f>
        <v>3</v>
      </c>
      <c r="AK990" s="3">
        <f t="shared" si="1072"/>
        <v>1</v>
      </c>
      <c r="AL990" s="3">
        <f t="shared" si="1073"/>
        <v>1</v>
      </c>
      <c r="AM990" s="17" t="str">
        <f>IF(SrcDB[[#This Row],[Pocet zmluv objednavatela]]&gt;3,SrcDB[[#This Row],[Objednavatel]],"Ostatné")</f>
        <v>Ostatné</v>
      </c>
      <c r="AN990" s="17" t="str">
        <f>IF(SrcDB[[#This Row],[Pocet zmluv dodavatela]]&gt;3,SrcDB[[#This Row],[Dodavatel]],"Ostatné")</f>
        <v>Ostatné</v>
      </c>
    </row>
    <row r="991" spans="1:40" x14ac:dyDescent="0.3">
      <c r="A991" s="2" t="s">
        <v>564</v>
      </c>
      <c r="B991" s="2">
        <v>7812839</v>
      </c>
      <c r="C991" s="3" t="str">
        <f t="shared" si="1066"/>
        <v>Nejasné</v>
      </c>
      <c r="D991" s="3" t="str">
        <f t="shared" si="1067"/>
        <v>Nejasné</v>
      </c>
      <c r="E991" s="3" t="s">
        <v>48</v>
      </c>
      <c r="F991" s="3" t="s">
        <v>49</v>
      </c>
      <c r="G991" s="2" t="str">
        <f t="shared" si="1068"/>
        <v>Malé zmluvy</v>
      </c>
      <c r="H991" s="5">
        <v>31364501</v>
      </c>
      <c r="I991" s="2" t="s">
        <v>220</v>
      </c>
      <c r="J991" s="2" t="s">
        <v>726</v>
      </c>
      <c r="K991" s="5">
        <v>50634526</v>
      </c>
      <c r="L991" s="2" t="s">
        <v>1155</v>
      </c>
      <c r="M991" s="2" t="s">
        <v>1156</v>
      </c>
      <c r="N991" s="6">
        <v>45048</v>
      </c>
      <c r="O991" s="4">
        <v>328293.59999999998</v>
      </c>
      <c r="P991" s="2">
        <v>114573</v>
      </c>
      <c r="Q991" s="2" t="s">
        <v>1177</v>
      </c>
      <c r="R991" s="2" t="s">
        <v>1178</v>
      </c>
      <c r="S991" s="2" t="s">
        <v>183</v>
      </c>
      <c r="T991" s="2" t="s">
        <v>183</v>
      </c>
      <c r="W991" s="4">
        <v>624</v>
      </c>
      <c r="X991" s="4">
        <v>748.8</v>
      </c>
      <c r="Y991" s="4">
        <f t="shared" ref="Y991" si="1100">INDEX(InternalRates,MATCH($S991,InternalRates01,FALSE),2)</f>
        <v>278.98333333333335</v>
      </c>
      <c r="Z991" s="3" t="str">
        <f t="shared" si="1031"/>
        <v>Nie</v>
      </c>
      <c r="AA991" s="3" t="str">
        <f t="shared" si="1032"/>
        <v>SLA</v>
      </c>
      <c r="AD991" s="3" t="s">
        <v>48</v>
      </c>
      <c r="AE991" s="6">
        <v>45545</v>
      </c>
      <c r="AF991" s="3" t="s">
        <v>59</v>
      </c>
      <c r="AG991" s="3" t="s">
        <v>48</v>
      </c>
      <c r="AH991" s="3">
        <f>YEAR(SrcDB[[#This Row],[Datum_zverejnenia]])</f>
        <v>2023</v>
      </c>
      <c r="AI991" s="3" cm="1">
        <f t="array" ref="AI991">COUNT(_xlfn.UNIQUE(_xlfn._xlws.FILTER(SrcDB[ID],SrcDB[Objednavatel_ICO]=$H991)))</f>
        <v>24</v>
      </c>
      <c r="AJ991" s="3" cm="1">
        <f t="array" ref="AJ991">COUNT(_xlfn.UNIQUE(_xlfn._xlws.FILTER(SrcDB[ID],SrcDB[Dodavatel_ICO]=$K991)))</f>
        <v>6</v>
      </c>
      <c r="AK991" s="3">
        <f t="shared" si="1072"/>
        <v>1</v>
      </c>
      <c r="AL991" s="3">
        <f t="shared" si="1073"/>
        <v>1</v>
      </c>
      <c r="AM991" s="17" t="str">
        <f>IF(SrcDB[[#This Row],[Pocet zmluv objednavatela]]&gt;3,SrcDB[[#This Row],[Objednavatel]],"Ostatné")</f>
        <v>Železnice Slovenskej republiky</v>
      </c>
      <c r="AN991" s="17" t="str">
        <f>IF(SrcDB[[#This Row],[Pocet zmluv dodavatela]]&gt;3,SrcDB[[#This Row],[Dodavatel]],"Ostatné")</f>
        <v>SophistIT, s.r.o.</v>
      </c>
    </row>
    <row r="992" spans="1:40" x14ac:dyDescent="0.3">
      <c r="A992" s="2" t="s">
        <v>564</v>
      </c>
      <c r="B992" s="2">
        <v>7812800</v>
      </c>
      <c r="C992" s="3" t="str">
        <f t="shared" si="1066"/>
        <v>Nejasné</v>
      </c>
      <c r="D992" s="3" t="str">
        <f t="shared" si="1067"/>
        <v>Nejasné</v>
      </c>
      <c r="E992" s="3" t="s">
        <v>48</v>
      </c>
      <c r="F992" s="3" t="s">
        <v>49</v>
      </c>
      <c r="G992" s="2" t="str">
        <f t="shared" si="1068"/>
        <v>Malé zmluvy</v>
      </c>
      <c r="H992" s="5">
        <v>31364501</v>
      </c>
      <c r="I992" s="2" t="s">
        <v>220</v>
      </c>
      <c r="J992" s="2" t="s">
        <v>726</v>
      </c>
      <c r="K992" s="5">
        <v>50634526</v>
      </c>
      <c r="L992" s="2" t="s">
        <v>1155</v>
      </c>
      <c r="M992" s="2" t="s">
        <v>1156</v>
      </c>
      <c r="N992" s="6">
        <v>45048.603877314818</v>
      </c>
      <c r="O992" s="4">
        <v>250762.8</v>
      </c>
      <c r="P992" s="2">
        <v>114573</v>
      </c>
      <c r="Q992" s="2" t="s">
        <v>1179</v>
      </c>
      <c r="R992" s="2" t="s">
        <v>1180</v>
      </c>
      <c r="S992" s="2" t="s">
        <v>183</v>
      </c>
      <c r="T992" s="2" t="s">
        <v>183</v>
      </c>
      <c r="W992" s="4">
        <v>624</v>
      </c>
      <c r="X992" s="4">
        <v>748.8</v>
      </c>
      <c r="Y992" s="4">
        <f t="shared" ref="Y992" si="1101">INDEX(InternalRates,MATCH($S992,InternalRates01,FALSE),2)</f>
        <v>278.98333333333335</v>
      </c>
      <c r="Z992" s="3" t="str">
        <f t="shared" ref="Z992:Z1055" si="1102">IF(W992&gt;0,IF(Y992&gt;W992,"Áno","Nie"),"Nie")</f>
        <v>Nie</v>
      </c>
      <c r="AA992" s="3" t="str">
        <f t="shared" ref="AA992:AA1055" si="1103">IF(E992="Nie","SLA",IF(F992="Nie","ZoD","SLA+ZoD"))</f>
        <v>SLA</v>
      </c>
      <c r="AD992" s="3" t="s">
        <v>48</v>
      </c>
      <c r="AE992" s="6">
        <v>45545</v>
      </c>
      <c r="AF992" s="3" t="s">
        <v>59</v>
      </c>
      <c r="AG992" s="3" t="s">
        <v>48</v>
      </c>
      <c r="AH992" s="3">
        <f>YEAR(SrcDB[[#This Row],[Datum_zverejnenia]])</f>
        <v>2023</v>
      </c>
      <c r="AI992" s="3" cm="1">
        <f t="array" ref="AI992">COUNT(_xlfn.UNIQUE(_xlfn._xlws.FILTER(SrcDB[ID],SrcDB[Objednavatel_ICO]=$H992)))</f>
        <v>24</v>
      </c>
      <c r="AJ992" s="3" cm="1">
        <f t="array" ref="AJ992">COUNT(_xlfn.UNIQUE(_xlfn._xlws.FILTER(SrcDB[ID],SrcDB[Dodavatel_ICO]=$K992)))</f>
        <v>6</v>
      </c>
      <c r="AK992" s="3">
        <f t="shared" si="1072"/>
        <v>1</v>
      </c>
      <c r="AL992" s="3">
        <f t="shared" si="1073"/>
        <v>1</v>
      </c>
      <c r="AM992" s="17" t="str">
        <f>IF(SrcDB[[#This Row],[Pocet zmluv objednavatela]]&gt;3,SrcDB[[#This Row],[Objednavatel]],"Ostatné")</f>
        <v>Železnice Slovenskej republiky</v>
      </c>
      <c r="AN992" s="17" t="str">
        <f>IF(SrcDB[[#This Row],[Pocet zmluv dodavatela]]&gt;3,SrcDB[[#This Row],[Dodavatel]],"Ostatné")</f>
        <v>SophistIT, s.r.o.</v>
      </c>
    </row>
    <row r="993" spans="1:40" x14ac:dyDescent="0.3">
      <c r="A993" s="2" t="s">
        <v>1181</v>
      </c>
      <c r="B993" s="2">
        <v>7824228</v>
      </c>
      <c r="C993" s="3" t="str">
        <f t="shared" si="1066"/>
        <v>Nejasné</v>
      </c>
      <c r="D993" s="3" t="str">
        <f t="shared" si="1067"/>
        <v>Nejasné</v>
      </c>
      <c r="E993" s="3" t="s">
        <v>48</v>
      </c>
      <c r="F993" s="3" t="s">
        <v>49</v>
      </c>
      <c r="G993" s="2" t="str">
        <f t="shared" si="1068"/>
        <v>Stredné zmluvy</v>
      </c>
      <c r="H993" s="5" t="s">
        <v>278</v>
      </c>
      <c r="I993" s="2" t="s">
        <v>279</v>
      </c>
      <c r="J993" s="2" t="s">
        <v>1182</v>
      </c>
      <c r="K993" s="5">
        <v>44694695</v>
      </c>
      <c r="L993" s="2" t="s">
        <v>302</v>
      </c>
      <c r="M993" s="2" t="s">
        <v>303</v>
      </c>
      <c r="N993" s="6">
        <v>45050.457349537035</v>
      </c>
      <c r="O993" s="4">
        <v>2154480</v>
      </c>
      <c r="P993" s="2">
        <v>114733</v>
      </c>
      <c r="Q993" s="2" t="s">
        <v>1183</v>
      </c>
      <c r="R993" s="2" t="s">
        <v>1184</v>
      </c>
      <c r="S993" s="2" t="s">
        <v>69</v>
      </c>
      <c r="T993" s="2" t="s">
        <v>285</v>
      </c>
      <c r="W993" s="4">
        <v>600</v>
      </c>
      <c r="X993" s="4">
        <v>720</v>
      </c>
      <c r="Y993" s="4">
        <f t="shared" ref="Y993" si="1104">INDEX(InternalRates,MATCH($S993,InternalRates01,FALSE),2)</f>
        <v>278.98333333333335</v>
      </c>
      <c r="Z993" s="3" t="str">
        <f t="shared" si="1102"/>
        <v>Nie</v>
      </c>
      <c r="AA993" s="3" t="str">
        <f t="shared" si="1103"/>
        <v>SLA</v>
      </c>
      <c r="AB993" s="4">
        <v>120</v>
      </c>
      <c r="AC993" s="4">
        <v>30</v>
      </c>
      <c r="AD993" s="3" t="s">
        <v>48</v>
      </c>
      <c r="AE993" s="6">
        <v>45545</v>
      </c>
      <c r="AF993" s="3" t="s">
        <v>59</v>
      </c>
      <c r="AG993" s="3" t="s">
        <v>49</v>
      </c>
      <c r="AH993" s="3">
        <f>YEAR(SrcDB[[#This Row],[Datum_zverejnenia]])</f>
        <v>2023</v>
      </c>
      <c r="AI993" s="3" cm="1">
        <f t="array" ref="AI993">COUNT(_xlfn.UNIQUE(_xlfn._xlws.FILTER(SrcDB[ID],SrcDB[Objednavatel_ICO]=$H993)))</f>
        <v>6</v>
      </c>
      <c r="AJ993" s="3" cm="1">
        <f t="array" ref="AJ993">COUNT(_xlfn.UNIQUE(_xlfn._xlws.FILTER(SrcDB[ID],SrcDB[Dodavatel_ICO]=$K993)))</f>
        <v>4</v>
      </c>
      <c r="AK993" s="3">
        <f t="shared" si="1072"/>
        <v>1</v>
      </c>
      <c r="AL993" s="3">
        <f t="shared" si="1073"/>
        <v>1</v>
      </c>
      <c r="AM993" s="17" t="str">
        <f>IF(SrcDB[[#This Row],[Pocet zmluv objednavatela]]&gt;3,SrcDB[[#This Row],[Objednavatel]],"Ostatné")</f>
        <v>Štatistický úrad SR</v>
      </c>
      <c r="AN993" s="17" t="str">
        <f>IF(SrcDB[[#This Row],[Pocet zmluv dodavatela]]&gt;3,SrcDB[[#This Row],[Dodavatel]],"Ostatné")</f>
        <v>NextIT s.r.o.</v>
      </c>
    </row>
    <row r="994" spans="1:40" x14ac:dyDescent="0.3">
      <c r="A994" s="2" t="s">
        <v>1181</v>
      </c>
      <c r="B994" s="2">
        <v>7824228</v>
      </c>
      <c r="C994" s="3" t="str">
        <f t="shared" si="1066"/>
        <v>Nejasné</v>
      </c>
      <c r="D994" s="3" t="str">
        <f t="shared" si="1067"/>
        <v>Nejasné</v>
      </c>
      <c r="E994" s="3" t="s">
        <v>48</v>
      </c>
      <c r="F994" s="3" t="s">
        <v>49</v>
      </c>
      <c r="G994" s="2" t="str">
        <f t="shared" si="1068"/>
        <v>Stredné zmluvy</v>
      </c>
      <c r="H994" s="5" t="s">
        <v>278</v>
      </c>
      <c r="I994" s="2" t="s">
        <v>279</v>
      </c>
      <c r="J994" s="2" t="s">
        <v>1182</v>
      </c>
      <c r="K994" s="5">
        <v>44694695</v>
      </c>
      <c r="L994" s="2" t="s">
        <v>302</v>
      </c>
      <c r="M994" s="2" t="s">
        <v>303</v>
      </c>
      <c r="N994" s="6">
        <v>45050.457349537035</v>
      </c>
      <c r="O994" s="4">
        <v>2154480</v>
      </c>
      <c r="P994" s="2">
        <v>114733</v>
      </c>
      <c r="Q994" s="2" t="s">
        <v>1183</v>
      </c>
      <c r="R994" s="2" t="s">
        <v>1184</v>
      </c>
      <c r="S994" s="2" t="s">
        <v>73</v>
      </c>
      <c r="T994" s="2" t="s">
        <v>90</v>
      </c>
      <c r="W994" s="4">
        <v>590</v>
      </c>
      <c r="X994" s="4">
        <v>708</v>
      </c>
      <c r="Y994" s="4">
        <f t="shared" ref="Y994" si="1105">INDEX(InternalRates,MATCH($S994,InternalRates01,FALSE),2)</f>
        <v>278.98333333333335</v>
      </c>
      <c r="Z994" s="3" t="str">
        <f t="shared" si="1102"/>
        <v>Nie</v>
      </c>
      <c r="AA994" s="3" t="str">
        <f t="shared" si="1103"/>
        <v>SLA</v>
      </c>
      <c r="AB994" s="4">
        <v>800</v>
      </c>
      <c r="AC994" s="4">
        <v>200</v>
      </c>
      <c r="AD994" s="3" t="s">
        <v>48</v>
      </c>
      <c r="AE994" s="6">
        <v>45545</v>
      </c>
      <c r="AF994" s="3" t="s">
        <v>59</v>
      </c>
      <c r="AG994" s="3" t="s">
        <v>49</v>
      </c>
      <c r="AH994" s="3">
        <f>YEAR(SrcDB[[#This Row],[Datum_zverejnenia]])</f>
        <v>2023</v>
      </c>
      <c r="AI994" s="3" cm="1">
        <f t="array" ref="AI994">COUNT(_xlfn.UNIQUE(_xlfn._xlws.FILTER(SrcDB[ID],SrcDB[Objednavatel_ICO]=$H994)))</f>
        <v>6</v>
      </c>
      <c r="AJ994" s="3" cm="1">
        <f t="array" ref="AJ994">COUNT(_xlfn.UNIQUE(_xlfn._xlws.FILTER(SrcDB[ID],SrcDB[Dodavatel_ICO]=$K994)))</f>
        <v>4</v>
      </c>
      <c r="AK994" s="3">
        <f t="shared" si="1072"/>
        <v>0</v>
      </c>
      <c r="AL994" s="3">
        <f t="shared" si="1073"/>
        <v>0</v>
      </c>
      <c r="AM994" s="17" t="str">
        <f>IF(SrcDB[[#This Row],[Pocet zmluv objednavatela]]&gt;3,SrcDB[[#This Row],[Objednavatel]],"Ostatné")</f>
        <v>Štatistický úrad SR</v>
      </c>
      <c r="AN994" s="17" t="str">
        <f>IF(SrcDB[[#This Row],[Pocet zmluv dodavatela]]&gt;3,SrcDB[[#This Row],[Dodavatel]],"Ostatné")</f>
        <v>NextIT s.r.o.</v>
      </c>
    </row>
    <row r="995" spans="1:40" x14ac:dyDescent="0.3">
      <c r="A995" s="2" t="s">
        <v>1181</v>
      </c>
      <c r="B995" s="2">
        <v>7824228</v>
      </c>
      <c r="C995" s="3" t="str">
        <f t="shared" si="1066"/>
        <v>Nejasné</v>
      </c>
      <c r="D995" s="3" t="str">
        <f t="shared" si="1067"/>
        <v>Nejasné</v>
      </c>
      <c r="E995" s="3" t="s">
        <v>48</v>
      </c>
      <c r="F995" s="3" t="s">
        <v>49</v>
      </c>
      <c r="G995" s="2" t="str">
        <f t="shared" si="1068"/>
        <v>Stredné zmluvy</v>
      </c>
      <c r="H995" s="5" t="s">
        <v>278</v>
      </c>
      <c r="I995" s="2" t="s">
        <v>279</v>
      </c>
      <c r="J995" s="2" t="s">
        <v>1182</v>
      </c>
      <c r="K995" s="5">
        <v>44694695</v>
      </c>
      <c r="L995" s="2" t="s">
        <v>302</v>
      </c>
      <c r="M995" s="2" t="s">
        <v>303</v>
      </c>
      <c r="N995" s="6">
        <v>45050.457349537035</v>
      </c>
      <c r="O995" s="4">
        <v>2154480</v>
      </c>
      <c r="P995" s="2">
        <v>114733</v>
      </c>
      <c r="Q995" s="2" t="s">
        <v>1183</v>
      </c>
      <c r="R995" s="2" t="s">
        <v>1184</v>
      </c>
      <c r="S995" s="2" t="s">
        <v>77</v>
      </c>
      <c r="T995" s="2" t="s">
        <v>92</v>
      </c>
      <c r="W995" s="4">
        <v>640</v>
      </c>
      <c r="X995" s="4">
        <v>768</v>
      </c>
      <c r="Y995" s="4">
        <f t="shared" ref="Y995" si="1106">INDEX(InternalRates,MATCH($S995,InternalRates01,FALSE),2)</f>
        <v>278.98333333333335</v>
      </c>
      <c r="Z995" s="3" t="str">
        <f t="shared" si="1102"/>
        <v>Nie</v>
      </c>
      <c r="AA995" s="3" t="str">
        <f t="shared" si="1103"/>
        <v>SLA</v>
      </c>
      <c r="AB995" s="4">
        <v>1500</v>
      </c>
      <c r="AC995" s="4">
        <v>375</v>
      </c>
      <c r="AD995" s="3" t="s">
        <v>48</v>
      </c>
      <c r="AE995" s="6">
        <v>45545</v>
      </c>
      <c r="AF995" s="3" t="s">
        <v>59</v>
      </c>
      <c r="AG995" s="3" t="s">
        <v>49</v>
      </c>
      <c r="AH995" s="3">
        <f>YEAR(SrcDB[[#This Row],[Datum_zverejnenia]])</f>
        <v>2023</v>
      </c>
      <c r="AI995" s="3" cm="1">
        <f t="array" ref="AI995">COUNT(_xlfn.UNIQUE(_xlfn._xlws.FILTER(SrcDB[ID],SrcDB[Objednavatel_ICO]=$H995)))</f>
        <v>6</v>
      </c>
      <c r="AJ995" s="3" cm="1">
        <f t="array" ref="AJ995">COUNT(_xlfn.UNIQUE(_xlfn._xlws.FILTER(SrcDB[ID],SrcDB[Dodavatel_ICO]=$K995)))</f>
        <v>4</v>
      </c>
      <c r="AK995" s="3">
        <f t="shared" si="1072"/>
        <v>0</v>
      </c>
      <c r="AL995" s="3">
        <f t="shared" si="1073"/>
        <v>0</v>
      </c>
      <c r="AM995" s="17" t="str">
        <f>IF(SrcDB[[#This Row],[Pocet zmluv objednavatela]]&gt;3,SrcDB[[#This Row],[Objednavatel]],"Ostatné")</f>
        <v>Štatistický úrad SR</v>
      </c>
      <c r="AN995" s="17" t="str">
        <f>IF(SrcDB[[#This Row],[Pocet zmluv dodavatela]]&gt;3,SrcDB[[#This Row],[Dodavatel]],"Ostatné")</f>
        <v>NextIT s.r.o.</v>
      </c>
    </row>
    <row r="996" spans="1:40" x14ac:dyDescent="0.3">
      <c r="A996" s="2" t="s">
        <v>1181</v>
      </c>
      <c r="B996" s="2">
        <v>7824228</v>
      </c>
      <c r="C996" s="3" t="str">
        <f t="shared" si="1066"/>
        <v>Nejasné</v>
      </c>
      <c r="D996" s="3" t="str">
        <f t="shared" si="1067"/>
        <v>Nejasné</v>
      </c>
      <c r="E996" s="3" t="s">
        <v>48</v>
      </c>
      <c r="F996" s="3" t="s">
        <v>49</v>
      </c>
      <c r="G996" s="2" t="str">
        <f t="shared" si="1068"/>
        <v>Stredné zmluvy</v>
      </c>
      <c r="H996" s="5" t="s">
        <v>278</v>
      </c>
      <c r="I996" s="2" t="s">
        <v>279</v>
      </c>
      <c r="J996" s="2" t="s">
        <v>1182</v>
      </c>
      <c r="K996" s="5">
        <v>44694695</v>
      </c>
      <c r="L996" s="2" t="s">
        <v>302</v>
      </c>
      <c r="M996" s="2" t="s">
        <v>303</v>
      </c>
      <c r="N996" s="6">
        <v>45050.457349537035</v>
      </c>
      <c r="O996" s="4">
        <v>2154480</v>
      </c>
      <c r="P996" s="2">
        <v>114733</v>
      </c>
      <c r="Q996" s="2" t="s">
        <v>1183</v>
      </c>
      <c r="R996" s="2" t="s">
        <v>1184</v>
      </c>
      <c r="S996" s="2" t="s">
        <v>71</v>
      </c>
      <c r="T996" s="2" t="s">
        <v>196</v>
      </c>
      <c r="W996" s="4">
        <v>650</v>
      </c>
      <c r="X996" s="4">
        <v>780</v>
      </c>
      <c r="Y996" s="4">
        <f t="shared" ref="Y996" si="1107">INDEX(InternalRates,MATCH($S996,InternalRates01,FALSE),2)</f>
        <v>354.0333333333333</v>
      </c>
      <c r="Z996" s="3" t="str">
        <f t="shared" si="1102"/>
        <v>Nie</v>
      </c>
      <c r="AA996" s="3" t="str">
        <f t="shared" si="1103"/>
        <v>SLA</v>
      </c>
      <c r="AB996" s="4">
        <v>120</v>
      </c>
      <c r="AC996" s="4">
        <v>30</v>
      </c>
      <c r="AD996" s="3" t="s">
        <v>48</v>
      </c>
      <c r="AE996" s="6">
        <v>45545</v>
      </c>
      <c r="AF996" s="3" t="s">
        <v>59</v>
      </c>
      <c r="AG996" s="3" t="s">
        <v>49</v>
      </c>
      <c r="AH996" s="3">
        <f>YEAR(SrcDB[[#This Row],[Datum_zverejnenia]])</f>
        <v>2023</v>
      </c>
      <c r="AI996" s="3" cm="1">
        <f t="array" ref="AI996">COUNT(_xlfn.UNIQUE(_xlfn._xlws.FILTER(SrcDB[ID],SrcDB[Objednavatel_ICO]=$H996)))</f>
        <v>6</v>
      </c>
      <c r="AJ996" s="3" cm="1">
        <f t="array" ref="AJ996">COUNT(_xlfn.UNIQUE(_xlfn._xlws.FILTER(SrcDB[ID],SrcDB[Dodavatel_ICO]=$K996)))</f>
        <v>4</v>
      </c>
      <c r="AK996" s="3">
        <f t="shared" si="1072"/>
        <v>0</v>
      </c>
      <c r="AL996" s="3">
        <f t="shared" si="1073"/>
        <v>0</v>
      </c>
      <c r="AM996" s="17" t="str">
        <f>IF(SrcDB[[#This Row],[Pocet zmluv objednavatela]]&gt;3,SrcDB[[#This Row],[Objednavatel]],"Ostatné")</f>
        <v>Štatistický úrad SR</v>
      </c>
      <c r="AN996" s="17" t="str">
        <f>IF(SrcDB[[#This Row],[Pocet zmluv dodavatela]]&gt;3,SrcDB[[#This Row],[Dodavatel]],"Ostatné")</f>
        <v>NextIT s.r.o.</v>
      </c>
    </row>
    <row r="997" spans="1:40" x14ac:dyDescent="0.3">
      <c r="A997" s="2" t="s">
        <v>1181</v>
      </c>
      <c r="B997" s="2">
        <v>7824228</v>
      </c>
      <c r="C997" s="3" t="str">
        <f t="shared" si="1066"/>
        <v>Nejasné</v>
      </c>
      <c r="D997" s="3" t="str">
        <f t="shared" si="1067"/>
        <v>Nejasné</v>
      </c>
      <c r="E997" s="3" t="s">
        <v>48</v>
      </c>
      <c r="F997" s="3" t="s">
        <v>49</v>
      </c>
      <c r="G997" s="2" t="str">
        <f t="shared" si="1068"/>
        <v>Stredné zmluvy</v>
      </c>
      <c r="H997" s="5" t="s">
        <v>278</v>
      </c>
      <c r="I997" s="2" t="s">
        <v>279</v>
      </c>
      <c r="J997" s="2" t="s">
        <v>1182</v>
      </c>
      <c r="K997" s="5">
        <v>44694695</v>
      </c>
      <c r="L997" s="2" t="s">
        <v>302</v>
      </c>
      <c r="M997" s="2" t="s">
        <v>303</v>
      </c>
      <c r="N997" s="6">
        <v>45050.457349537035</v>
      </c>
      <c r="O997" s="4">
        <v>2154480</v>
      </c>
      <c r="P997" s="2">
        <v>114733</v>
      </c>
      <c r="Q997" s="2" t="s">
        <v>1183</v>
      </c>
      <c r="R997" s="2" t="s">
        <v>1184</v>
      </c>
      <c r="S997" s="2" t="s">
        <v>79</v>
      </c>
      <c r="T997" s="2" t="s">
        <v>93</v>
      </c>
      <c r="W997" s="4">
        <v>440</v>
      </c>
      <c r="X997" s="4">
        <v>528</v>
      </c>
      <c r="Y997" s="4">
        <f t="shared" ref="Y997" si="1108">INDEX(InternalRates,MATCH($S997,InternalRates01,FALSE),2)</f>
        <v>278.98333333333335</v>
      </c>
      <c r="Z997" s="3" t="str">
        <f t="shared" si="1102"/>
        <v>Nie</v>
      </c>
      <c r="AA997" s="3" t="str">
        <f t="shared" si="1103"/>
        <v>SLA</v>
      </c>
      <c r="AB997" s="4">
        <v>360</v>
      </c>
      <c r="AC997" s="4">
        <v>90</v>
      </c>
      <c r="AD997" s="3" t="s">
        <v>48</v>
      </c>
      <c r="AE997" s="6">
        <v>45545</v>
      </c>
      <c r="AF997" s="3" t="s">
        <v>59</v>
      </c>
      <c r="AG997" s="3" t="s">
        <v>49</v>
      </c>
      <c r="AH997" s="3">
        <f>YEAR(SrcDB[[#This Row],[Datum_zverejnenia]])</f>
        <v>2023</v>
      </c>
      <c r="AI997" s="3" cm="1">
        <f t="array" ref="AI997">COUNT(_xlfn.UNIQUE(_xlfn._xlws.FILTER(SrcDB[ID],SrcDB[Objednavatel_ICO]=$H997)))</f>
        <v>6</v>
      </c>
      <c r="AJ997" s="3" cm="1">
        <f t="array" ref="AJ997">COUNT(_xlfn.UNIQUE(_xlfn._xlws.FILTER(SrcDB[ID],SrcDB[Dodavatel_ICO]=$K997)))</f>
        <v>4</v>
      </c>
      <c r="AK997" s="3">
        <f t="shared" si="1072"/>
        <v>0</v>
      </c>
      <c r="AL997" s="3">
        <f t="shared" si="1073"/>
        <v>0</v>
      </c>
      <c r="AM997" s="17" t="str">
        <f>IF(SrcDB[[#This Row],[Pocet zmluv objednavatela]]&gt;3,SrcDB[[#This Row],[Objednavatel]],"Ostatné")</f>
        <v>Štatistický úrad SR</v>
      </c>
      <c r="AN997" s="17" t="str">
        <f>IF(SrcDB[[#This Row],[Pocet zmluv dodavatela]]&gt;3,SrcDB[[#This Row],[Dodavatel]],"Ostatné")</f>
        <v>NextIT s.r.o.</v>
      </c>
    </row>
    <row r="998" spans="1:40" x14ac:dyDescent="0.3">
      <c r="A998" s="2" t="s">
        <v>1181</v>
      </c>
      <c r="B998" s="2">
        <v>7824228</v>
      </c>
      <c r="C998" s="3" t="str">
        <f t="shared" si="1066"/>
        <v>Nejasné</v>
      </c>
      <c r="D998" s="3" t="str">
        <f t="shared" si="1067"/>
        <v>Nejasné</v>
      </c>
      <c r="E998" s="3" t="s">
        <v>48</v>
      </c>
      <c r="F998" s="3" t="s">
        <v>49</v>
      </c>
      <c r="G998" s="2" t="str">
        <f t="shared" si="1068"/>
        <v>Stredné zmluvy</v>
      </c>
      <c r="H998" s="5" t="s">
        <v>278</v>
      </c>
      <c r="I998" s="2" t="s">
        <v>279</v>
      </c>
      <c r="J998" s="2" t="s">
        <v>1182</v>
      </c>
      <c r="K998" s="5">
        <v>44694695</v>
      </c>
      <c r="L998" s="2" t="s">
        <v>302</v>
      </c>
      <c r="M998" s="2" t="s">
        <v>303</v>
      </c>
      <c r="N998" s="6">
        <v>45050.457349537035</v>
      </c>
      <c r="O998" s="4">
        <v>2154480</v>
      </c>
      <c r="P998" s="2">
        <v>114733</v>
      </c>
      <c r="Q998" s="2" t="s">
        <v>1183</v>
      </c>
      <c r="R998" s="2" t="s">
        <v>1184</v>
      </c>
      <c r="S998" s="2" t="s">
        <v>98</v>
      </c>
      <c r="T998" s="2" t="s">
        <v>287</v>
      </c>
      <c r="W998" s="4">
        <v>450</v>
      </c>
      <c r="X998" s="4">
        <v>540</v>
      </c>
      <c r="Y998" s="4">
        <f t="shared" ref="Y998" si="1109">INDEX(InternalRates,MATCH($S998,InternalRates01,FALSE),2)</f>
        <v>278.98333333333335</v>
      </c>
      <c r="Z998" s="3" t="str">
        <f t="shared" si="1102"/>
        <v>Nie</v>
      </c>
      <c r="AA998" s="3" t="str">
        <f t="shared" si="1103"/>
        <v>SLA</v>
      </c>
      <c r="AB998" s="4">
        <v>50</v>
      </c>
      <c r="AC998" s="4">
        <v>12.5</v>
      </c>
      <c r="AD998" s="3" t="s">
        <v>48</v>
      </c>
      <c r="AE998" s="6">
        <v>45545</v>
      </c>
      <c r="AF998" s="3" t="s">
        <v>59</v>
      </c>
      <c r="AG998" s="3" t="s">
        <v>49</v>
      </c>
      <c r="AH998" s="3">
        <f>YEAR(SrcDB[[#This Row],[Datum_zverejnenia]])</f>
        <v>2023</v>
      </c>
      <c r="AI998" s="3" cm="1">
        <f t="array" ref="AI998">COUNT(_xlfn.UNIQUE(_xlfn._xlws.FILTER(SrcDB[ID],SrcDB[Objednavatel_ICO]=$H998)))</f>
        <v>6</v>
      </c>
      <c r="AJ998" s="3" cm="1">
        <f t="array" ref="AJ998">COUNT(_xlfn.UNIQUE(_xlfn._xlws.FILTER(SrcDB[ID],SrcDB[Dodavatel_ICO]=$K998)))</f>
        <v>4</v>
      </c>
      <c r="AK998" s="3">
        <f t="shared" si="1072"/>
        <v>0</v>
      </c>
      <c r="AL998" s="3">
        <f t="shared" si="1073"/>
        <v>0</v>
      </c>
      <c r="AM998" s="17" t="str">
        <f>IF(SrcDB[[#This Row],[Pocet zmluv objednavatela]]&gt;3,SrcDB[[#This Row],[Objednavatel]],"Ostatné")</f>
        <v>Štatistický úrad SR</v>
      </c>
      <c r="AN998" s="17" t="str">
        <f>IF(SrcDB[[#This Row],[Pocet zmluv dodavatela]]&gt;3,SrcDB[[#This Row],[Dodavatel]],"Ostatné")</f>
        <v>NextIT s.r.o.</v>
      </c>
    </row>
    <row r="999" spans="1:40" x14ac:dyDescent="0.3">
      <c r="A999" s="2" t="s">
        <v>1181</v>
      </c>
      <c r="B999" s="2">
        <v>7824228</v>
      </c>
      <c r="C999" s="3" t="str">
        <f t="shared" si="1066"/>
        <v>Nejasné</v>
      </c>
      <c r="D999" s="3" t="str">
        <f t="shared" si="1067"/>
        <v>Nejasné</v>
      </c>
      <c r="E999" s="3" t="s">
        <v>48</v>
      </c>
      <c r="F999" s="3" t="s">
        <v>49</v>
      </c>
      <c r="G999" s="2" t="str">
        <f t="shared" si="1068"/>
        <v>Stredné zmluvy</v>
      </c>
      <c r="H999" s="5" t="s">
        <v>278</v>
      </c>
      <c r="I999" s="2" t="s">
        <v>279</v>
      </c>
      <c r="J999" s="2" t="s">
        <v>1182</v>
      </c>
      <c r="K999" s="5">
        <v>44694695</v>
      </c>
      <c r="L999" s="2" t="s">
        <v>302</v>
      </c>
      <c r="M999" s="2" t="s">
        <v>303</v>
      </c>
      <c r="N999" s="6">
        <v>45050.457349537035</v>
      </c>
      <c r="O999" s="4">
        <v>2154480</v>
      </c>
      <c r="P999" s="2">
        <v>114733</v>
      </c>
      <c r="Q999" s="2" t="s">
        <v>1183</v>
      </c>
      <c r="R999" s="2" t="s">
        <v>1184</v>
      </c>
      <c r="S999" s="2" t="s">
        <v>56</v>
      </c>
      <c r="T999" s="2" t="s">
        <v>94</v>
      </c>
      <c r="U999" s="2" t="s">
        <v>95</v>
      </c>
      <c r="W999" s="4">
        <v>650</v>
      </c>
      <c r="X999" s="4">
        <v>780</v>
      </c>
      <c r="Y999" s="4">
        <f t="shared" ref="Y999" si="1110">INDEX(InternalRates,MATCH($S999,InternalRates01,FALSE),2)</f>
        <v>278.98333333333335</v>
      </c>
      <c r="Z999" s="3" t="str">
        <f t="shared" si="1102"/>
        <v>Nie</v>
      </c>
      <c r="AA999" s="3" t="str">
        <f t="shared" si="1103"/>
        <v>SLA</v>
      </c>
      <c r="AB999" s="4">
        <v>50</v>
      </c>
      <c r="AC999" s="4">
        <v>12.5</v>
      </c>
      <c r="AD999" s="3" t="s">
        <v>48</v>
      </c>
      <c r="AE999" s="6">
        <v>45545</v>
      </c>
      <c r="AF999" s="3" t="s">
        <v>59</v>
      </c>
      <c r="AG999" s="3" t="s">
        <v>49</v>
      </c>
      <c r="AH999" s="3">
        <f>YEAR(SrcDB[[#This Row],[Datum_zverejnenia]])</f>
        <v>2023</v>
      </c>
      <c r="AI999" s="3" cm="1">
        <f t="array" ref="AI999">COUNT(_xlfn.UNIQUE(_xlfn._xlws.FILTER(SrcDB[ID],SrcDB[Objednavatel_ICO]=$H999)))</f>
        <v>6</v>
      </c>
      <c r="AJ999" s="3" cm="1">
        <f t="array" ref="AJ999">COUNT(_xlfn.UNIQUE(_xlfn._xlws.FILTER(SrcDB[ID],SrcDB[Dodavatel_ICO]=$K999)))</f>
        <v>4</v>
      </c>
      <c r="AK999" s="3">
        <f t="shared" si="1072"/>
        <v>0</v>
      </c>
      <c r="AL999" s="3">
        <f t="shared" si="1073"/>
        <v>0</v>
      </c>
      <c r="AM999" s="17" t="str">
        <f>IF(SrcDB[[#This Row],[Pocet zmluv objednavatela]]&gt;3,SrcDB[[#This Row],[Objednavatel]],"Ostatné")</f>
        <v>Štatistický úrad SR</v>
      </c>
      <c r="AN999" s="17" t="str">
        <f>IF(SrcDB[[#This Row],[Pocet zmluv dodavatela]]&gt;3,SrcDB[[#This Row],[Dodavatel]],"Ostatné")</f>
        <v>NextIT s.r.o.</v>
      </c>
    </row>
    <row r="1000" spans="1:40" x14ac:dyDescent="0.3">
      <c r="A1000" s="2" t="s">
        <v>1185</v>
      </c>
      <c r="B1000" s="2">
        <v>7831029</v>
      </c>
      <c r="C1000" s="3" t="str">
        <f t="shared" si="1066"/>
        <v>Nie</v>
      </c>
      <c r="D1000" s="3" t="str">
        <f t="shared" si="1067"/>
        <v>Áno</v>
      </c>
      <c r="E1000" s="3" t="s">
        <v>48</v>
      </c>
      <c r="F1000" s="3" t="s">
        <v>49</v>
      </c>
      <c r="G1000" s="2" t="str">
        <f t="shared" si="1068"/>
        <v>Stredné zmluvy</v>
      </c>
      <c r="H1000" s="5" t="s">
        <v>391</v>
      </c>
      <c r="I1000" s="2" t="s">
        <v>392</v>
      </c>
      <c r="J1000" s="2" t="s">
        <v>393</v>
      </c>
      <c r="K1000" s="5">
        <v>35743468</v>
      </c>
      <c r="L1000" s="2" t="s">
        <v>356</v>
      </c>
      <c r="M1000" s="2" t="s">
        <v>1186</v>
      </c>
      <c r="N1000" s="6">
        <v>45051.533321759256</v>
      </c>
      <c r="O1000" s="4">
        <v>1888000</v>
      </c>
      <c r="P1000" s="2">
        <v>114533</v>
      </c>
      <c r="Q1000" s="2" t="s">
        <v>1187</v>
      </c>
      <c r="R1000" s="2" t="s">
        <v>1188</v>
      </c>
      <c r="S1000" s="2" t="s">
        <v>160</v>
      </c>
      <c r="T1000" s="2" t="s">
        <v>1189</v>
      </c>
      <c r="W1000" s="4">
        <v>490</v>
      </c>
      <c r="X1000" s="4">
        <v>588</v>
      </c>
      <c r="Y1000" s="4">
        <f t="shared" ref="Y1000" si="1111">INDEX(InternalRates,MATCH($S1000,InternalRates01,FALSE),2)</f>
        <v>231.85833333333335</v>
      </c>
      <c r="Z1000" s="3" t="str">
        <f t="shared" si="1102"/>
        <v>Nie</v>
      </c>
      <c r="AA1000" s="3" t="str">
        <f t="shared" si="1103"/>
        <v>SLA</v>
      </c>
      <c r="AD1000" s="3" t="s">
        <v>48</v>
      </c>
      <c r="AE1000" s="6">
        <v>45545</v>
      </c>
      <c r="AF1000" s="3" t="s">
        <v>59</v>
      </c>
      <c r="AG1000" s="3" t="s">
        <v>49</v>
      </c>
      <c r="AH1000" s="3">
        <f>YEAR(SrcDB[[#This Row],[Datum_zverejnenia]])</f>
        <v>2023</v>
      </c>
      <c r="AI1000" s="3" cm="1">
        <f t="array" ref="AI1000">COUNT(_xlfn.UNIQUE(_xlfn._xlws.FILTER(SrcDB[ID],SrcDB[Objednavatel_ICO]=$H1000)))</f>
        <v>7</v>
      </c>
      <c r="AJ1000" s="3" cm="1">
        <f t="array" ref="AJ1000">COUNT(_xlfn.UNIQUE(_xlfn._xlws.FILTER(SrcDB[ID],SrcDB[Dodavatel_ICO]=$K1000)))</f>
        <v>6</v>
      </c>
      <c r="AK1000" s="3">
        <f t="shared" si="1072"/>
        <v>1</v>
      </c>
      <c r="AL1000" s="3">
        <f t="shared" si="1073"/>
        <v>1</v>
      </c>
      <c r="AM1000" s="17" t="str">
        <f>IF(SrcDB[[#This Row],[Pocet zmluv objednavatela]]&gt;3,SrcDB[[#This Row],[Objednavatel]],"Ostatné")</f>
        <v>Ministerstvo práce, sociálnych vecí a rodiny SR</v>
      </c>
      <c r="AN1000" s="17" t="str">
        <f>IF(SrcDB[[#This Row],[Pocet zmluv dodavatela]]&gt;3,SrcDB[[#This Row],[Dodavatel]],"Ostatné")</f>
        <v>Gratex International, a.s.</v>
      </c>
    </row>
    <row r="1001" spans="1:40" x14ac:dyDescent="0.3">
      <c r="A1001" s="2" t="s">
        <v>176</v>
      </c>
      <c r="B1001" s="2">
        <v>7836995</v>
      </c>
      <c r="C1001" s="3" t="str">
        <f t="shared" si="1066"/>
        <v>Áno</v>
      </c>
      <c r="D1001" s="3" t="str">
        <f t="shared" si="1067"/>
        <v>Nie</v>
      </c>
      <c r="E1001" s="3" t="s">
        <v>48</v>
      </c>
      <c r="F1001" s="3" t="s">
        <v>49</v>
      </c>
      <c r="G1001" s="2" t="str">
        <f t="shared" si="1068"/>
        <v>Malé zmluvy</v>
      </c>
      <c r="H1001" s="5" t="s">
        <v>278</v>
      </c>
      <c r="I1001" s="2" t="s">
        <v>279</v>
      </c>
      <c r="J1001" s="2" t="s">
        <v>1182</v>
      </c>
      <c r="K1001" s="5">
        <v>35955678</v>
      </c>
      <c r="L1001" s="2" t="s">
        <v>179</v>
      </c>
      <c r="M1001" s="2" t="s">
        <v>180</v>
      </c>
      <c r="N1001" s="6">
        <v>45055.643090277779</v>
      </c>
      <c r="O1001" s="4">
        <v>409080</v>
      </c>
      <c r="P1001" s="2">
        <v>114733</v>
      </c>
      <c r="Q1001" s="2" t="s">
        <v>1190</v>
      </c>
      <c r="R1001" s="2" t="s">
        <v>1191</v>
      </c>
      <c r="S1001" s="2" t="s">
        <v>183</v>
      </c>
      <c r="T1001" s="2" t="s">
        <v>183</v>
      </c>
      <c r="W1001" s="4">
        <v>624</v>
      </c>
      <c r="X1001" s="4">
        <v>748.8</v>
      </c>
      <c r="Y1001" s="4">
        <f t="shared" ref="Y1001" si="1112">INDEX(InternalRates,MATCH($S1001,InternalRates01,FALSE),2)</f>
        <v>278.98333333333335</v>
      </c>
      <c r="Z1001" s="3" t="str">
        <f t="shared" si="1102"/>
        <v>Nie</v>
      </c>
      <c r="AA1001" s="3" t="str">
        <f t="shared" si="1103"/>
        <v>SLA</v>
      </c>
      <c r="AD1001" s="3" t="s">
        <v>48</v>
      </c>
      <c r="AE1001" s="6">
        <v>45545</v>
      </c>
      <c r="AF1001" s="3" t="s">
        <v>59</v>
      </c>
      <c r="AG1001" s="3" t="s">
        <v>48</v>
      </c>
      <c r="AH1001" s="3">
        <f>YEAR(SrcDB[[#This Row],[Datum_zverejnenia]])</f>
        <v>2023</v>
      </c>
      <c r="AI1001" s="3" cm="1">
        <f t="array" ref="AI1001">COUNT(_xlfn.UNIQUE(_xlfn._xlws.FILTER(SrcDB[ID],SrcDB[Objednavatel_ICO]=$H1001)))</f>
        <v>6</v>
      </c>
      <c r="AJ1001" s="3" cm="1">
        <f t="array" ref="AJ1001">COUNT(_xlfn.UNIQUE(_xlfn._xlws.FILTER(SrcDB[ID],SrcDB[Dodavatel_ICO]=$K1001)))</f>
        <v>14</v>
      </c>
      <c r="AK1001" s="3">
        <f t="shared" si="1072"/>
        <v>1</v>
      </c>
      <c r="AL1001" s="3">
        <f t="shared" si="1073"/>
        <v>1</v>
      </c>
      <c r="AM1001" s="17" t="str">
        <f>IF(SrcDB[[#This Row],[Pocet zmluv objednavatela]]&gt;3,SrcDB[[#This Row],[Objednavatel]],"Ostatné")</f>
        <v>Štatistický úrad SR</v>
      </c>
      <c r="AN1001" s="17" t="str">
        <f>IF(SrcDB[[#This Row],[Pocet zmluv dodavatela]]&gt;3,SrcDB[[#This Row],[Dodavatel]],"Ostatné")</f>
        <v>SOITRON, s.r.o.</v>
      </c>
    </row>
    <row r="1002" spans="1:40" x14ac:dyDescent="0.3">
      <c r="A1002" s="2" t="s">
        <v>523</v>
      </c>
      <c r="B1002" s="2">
        <v>7858877</v>
      </c>
      <c r="C1002" s="3" t="str">
        <f t="shared" si="1066"/>
        <v>Nejasné</v>
      </c>
      <c r="D1002" s="3" t="str">
        <f t="shared" si="1067"/>
        <v>Nejasné</v>
      </c>
      <c r="E1002" s="3" t="s">
        <v>48</v>
      </c>
      <c r="F1002" s="3" t="s">
        <v>49</v>
      </c>
      <c r="G1002" s="2" t="str">
        <f t="shared" si="1068"/>
        <v>Malé zmluvy</v>
      </c>
      <c r="H1002" s="5">
        <v>30807484</v>
      </c>
      <c r="I1002" s="2" t="s">
        <v>50</v>
      </c>
      <c r="J1002" s="2" t="s">
        <v>51</v>
      </c>
      <c r="K1002" s="5">
        <v>35743468</v>
      </c>
      <c r="L1002" s="2" t="s">
        <v>356</v>
      </c>
      <c r="M1002" s="2" t="s">
        <v>944</v>
      </c>
      <c r="N1002" s="6">
        <v>45061.658634259256</v>
      </c>
      <c r="O1002" s="4">
        <v>936375.6</v>
      </c>
      <c r="P1002" s="2">
        <v>114493</v>
      </c>
      <c r="Q1002" s="2" t="s">
        <v>1192</v>
      </c>
      <c r="R1002" s="2" t="s">
        <v>1193</v>
      </c>
      <c r="S1002" s="2" t="s">
        <v>56</v>
      </c>
      <c r="T1002" s="2" t="s">
        <v>1194</v>
      </c>
      <c r="U1002" s="2" t="s">
        <v>76</v>
      </c>
      <c r="W1002" s="4">
        <v>320</v>
      </c>
      <c r="X1002" s="4">
        <v>384</v>
      </c>
      <c r="Y1002" s="4">
        <f t="shared" ref="Y1002" si="1113">INDEX(InternalRates,MATCH($S1002,InternalRates01,FALSE),2)</f>
        <v>278.98333333333335</v>
      </c>
      <c r="Z1002" s="3" t="str">
        <f t="shared" si="1102"/>
        <v>Nie</v>
      </c>
      <c r="AA1002" s="3" t="str">
        <f t="shared" si="1103"/>
        <v>SLA</v>
      </c>
      <c r="AB1002" s="4">
        <v>550</v>
      </c>
      <c r="AC1002" s="4">
        <v>275</v>
      </c>
      <c r="AD1002" s="3" t="s">
        <v>48</v>
      </c>
      <c r="AE1002" s="6">
        <v>45545</v>
      </c>
      <c r="AF1002" s="3" t="s">
        <v>59</v>
      </c>
      <c r="AG1002" s="3" t="s">
        <v>48</v>
      </c>
      <c r="AH1002" s="3">
        <f>YEAR(SrcDB[[#This Row],[Datum_zverejnenia]])</f>
        <v>2023</v>
      </c>
      <c r="AI1002" s="3" cm="1">
        <f t="array" ref="AI1002">COUNT(_xlfn.UNIQUE(_xlfn._xlws.FILTER(SrcDB[ID],SrcDB[Objednavatel_ICO]=$H1002)))</f>
        <v>14</v>
      </c>
      <c r="AJ1002" s="3" cm="1">
        <f t="array" ref="AJ1002">COUNT(_xlfn.UNIQUE(_xlfn._xlws.FILTER(SrcDB[ID],SrcDB[Dodavatel_ICO]=$K1002)))</f>
        <v>6</v>
      </c>
      <c r="AK1002" s="3">
        <f t="shared" si="1072"/>
        <v>1</v>
      </c>
      <c r="AL1002" s="3">
        <f t="shared" si="1073"/>
        <v>1</v>
      </c>
      <c r="AM1002" s="17" t="str">
        <f>IF(SrcDB[[#This Row],[Pocet zmluv objednavatela]]&gt;3,SrcDB[[#This Row],[Objednavatel]],"Ostatné")</f>
        <v>Sociálna poisťovňa, ústredie</v>
      </c>
      <c r="AN1002" s="17" t="str">
        <f>IF(SrcDB[[#This Row],[Pocet zmluv dodavatela]]&gt;3,SrcDB[[#This Row],[Dodavatel]],"Ostatné")</f>
        <v>Gratex International, a.s.</v>
      </c>
    </row>
    <row r="1003" spans="1:40" x14ac:dyDescent="0.3">
      <c r="A1003" s="2" t="s">
        <v>523</v>
      </c>
      <c r="B1003" s="2">
        <v>7858877</v>
      </c>
      <c r="C1003" s="3" t="str">
        <f t="shared" si="1066"/>
        <v>Nejasné</v>
      </c>
      <c r="D1003" s="3" t="str">
        <f t="shared" si="1067"/>
        <v>Nejasné</v>
      </c>
      <c r="E1003" s="3" t="s">
        <v>48</v>
      </c>
      <c r="F1003" s="3" t="s">
        <v>49</v>
      </c>
      <c r="G1003" s="2" t="str">
        <f t="shared" si="1068"/>
        <v>Malé zmluvy</v>
      </c>
      <c r="H1003" s="5">
        <v>30807484</v>
      </c>
      <c r="I1003" s="2" t="s">
        <v>50</v>
      </c>
      <c r="J1003" s="2" t="s">
        <v>51</v>
      </c>
      <c r="K1003" s="5">
        <v>35743468</v>
      </c>
      <c r="L1003" s="2" t="s">
        <v>356</v>
      </c>
      <c r="M1003" s="2" t="s">
        <v>944</v>
      </c>
      <c r="N1003" s="6">
        <v>45061.658634259256</v>
      </c>
      <c r="O1003" s="4">
        <v>936375.6</v>
      </c>
      <c r="P1003" s="2">
        <v>114493</v>
      </c>
      <c r="Q1003" s="2" t="s">
        <v>1192</v>
      </c>
      <c r="R1003" s="2" t="s">
        <v>1193</v>
      </c>
      <c r="S1003" s="2" t="s">
        <v>73</v>
      </c>
      <c r="T1003" s="2" t="s">
        <v>1195</v>
      </c>
      <c r="W1003" s="4">
        <v>385</v>
      </c>
      <c r="X1003" s="4">
        <v>462</v>
      </c>
      <c r="Y1003" s="4">
        <f t="shared" ref="Y1003" si="1114">INDEX(InternalRates,MATCH($S1003,InternalRates01,FALSE),2)</f>
        <v>278.98333333333335</v>
      </c>
      <c r="Z1003" s="3" t="str">
        <f t="shared" si="1102"/>
        <v>Nie</v>
      </c>
      <c r="AA1003" s="3" t="str">
        <f t="shared" si="1103"/>
        <v>SLA</v>
      </c>
      <c r="AB1003" s="4">
        <v>550</v>
      </c>
      <c r="AC1003" s="4">
        <v>275</v>
      </c>
      <c r="AD1003" s="3" t="s">
        <v>48</v>
      </c>
      <c r="AE1003" s="6">
        <v>45545</v>
      </c>
      <c r="AF1003" s="3" t="s">
        <v>59</v>
      </c>
      <c r="AG1003" s="3" t="s">
        <v>48</v>
      </c>
      <c r="AH1003" s="3">
        <f>YEAR(SrcDB[[#This Row],[Datum_zverejnenia]])</f>
        <v>2023</v>
      </c>
      <c r="AI1003" s="3" cm="1">
        <f t="array" ref="AI1003">COUNT(_xlfn.UNIQUE(_xlfn._xlws.FILTER(SrcDB[ID],SrcDB[Objednavatel_ICO]=$H1003)))</f>
        <v>14</v>
      </c>
      <c r="AJ1003" s="3" cm="1">
        <f t="array" ref="AJ1003">COUNT(_xlfn.UNIQUE(_xlfn._xlws.FILTER(SrcDB[ID],SrcDB[Dodavatel_ICO]=$K1003)))</f>
        <v>6</v>
      </c>
      <c r="AK1003" s="3">
        <f t="shared" si="1072"/>
        <v>0</v>
      </c>
      <c r="AL1003" s="3">
        <f t="shared" si="1073"/>
        <v>0</v>
      </c>
      <c r="AM1003" s="17" t="str">
        <f>IF(SrcDB[[#This Row],[Pocet zmluv objednavatela]]&gt;3,SrcDB[[#This Row],[Objednavatel]],"Ostatné")</f>
        <v>Sociálna poisťovňa, ústredie</v>
      </c>
      <c r="AN1003" s="17" t="str">
        <f>IF(SrcDB[[#This Row],[Pocet zmluv dodavatela]]&gt;3,SrcDB[[#This Row],[Dodavatel]],"Ostatné")</f>
        <v>Gratex International, a.s.</v>
      </c>
    </row>
    <row r="1004" spans="1:40" x14ac:dyDescent="0.3">
      <c r="A1004" s="2" t="s">
        <v>1196</v>
      </c>
      <c r="B1004" s="2">
        <v>7862350</v>
      </c>
      <c r="C1004" s="3" t="str">
        <f t="shared" si="1066"/>
        <v>Nejasné</v>
      </c>
      <c r="D1004" s="3" t="str">
        <f t="shared" si="1067"/>
        <v>Nejasné</v>
      </c>
      <c r="E1004" s="3" t="s">
        <v>49</v>
      </c>
      <c r="F1004" s="3" t="s">
        <v>49</v>
      </c>
      <c r="G1004" s="2" t="str">
        <f t="shared" si="1068"/>
        <v>Malé zmluvy</v>
      </c>
      <c r="H1004" s="5" t="s">
        <v>632</v>
      </c>
      <c r="I1004" s="2" t="s">
        <v>633</v>
      </c>
      <c r="J1004" s="2" t="s">
        <v>1197</v>
      </c>
      <c r="K1004" s="5">
        <v>50634526</v>
      </c>
      <c r="L1004" s="2" t="s">
        <v>1155</v>
      </c>
      <c r="M1004" s="2" t="s">
        <v>1156</v>
      </c>
      <c r="N1004" s="6">
        <v>45062.499016203707</v>
      </c>
      <c r="O1004" s="4">
        <v>492286.8</v>
      </c>
      <c r="P1004" s="2">
        <v>114725</v>
      </c>
      <c r="Q1004" s="2" t="s">
        <v>1198</v>
      </c>
      <c r="R1004" s="2" t="s">
        <v>1199</v>
      </c>
      <c r="S1004" s="2" t="s">
        <v>77</v>
      </c>
      <c r="T1004" s="2" t="s">
        <v>1200</v>
      </c>
      <c r="W1004" s="4">
        <v>650</v>
      </c>
      <c r="X1004" s="4">
        <v>780</v>
      </c>
      <c r="Y1004" s="4">
        <f t="shared" ref="Y1004" si="1115">INDEX(InternalRates,MATCH($S1004,InternalRates01,FALSE),2)</f>
        <v>278.98333333333335</v>
      </c>
      <c r="Z1004" s="3" t="str">
        <f t="shared" si="1102"/>
        <v>Nie</v>
      </c>
      <c r="AA1004" s="3" t="str">
        <f t="shared" si="1103"/>
        <v>SLA+ZoD</v>
      </c>
      <c r="AB1004" s="4">
        <v>64</v>
      </c>
      <c r="AC1004" s="4">
        <v>32</v>
      </c>
      <c r="AD1004" s="3" t="s">
        <v>48</v>
      </c>
      <c r="AE1004" s="6">
        <v>45545</v>
      </c>
      <c r="AF1004" s="3" t="s">
        <v>59</v>
      </c>
      <c r="AG1004" s="3" t="s">
        <v>49</v>
      </c>
      <c r="AH1004" s="3">
        <f>YEAR(SrcDB[[#This Row],[Datum_zverejnenia]])</f>
        <v>2023</v>
      </c>
      <c r="AI1004" s="3" cm="1">
        <f t="array" ref="AI1004">COUNT(_xlfn.UNIQUE(_xlfn._xlws.FILTER(SrcDB[ID],SrcDB[Objednavatel_ICO]=$H1004)))</f>
        <v>6</v>
      </c>
      <c r="AJ1004" s="3" cm="1">
        <f t="array" ref="AJ1004">COUNT(_xlfn.UNIQUE(_xlfn._xlws.FILTER(SrcDB[ID],SrcDB[Dodavatel_ICO]=$K1004)))</f>
        <v>6</v>
      </c>
      <c r="AK1004" s="3">
        <f t="shared" si="1072"/>
        <v>1</v>
      </c>
      <c r="AL1004" s="3">
        <f t="shared" si="1073"/>
        <v>1</v>
      </c>
      <c r="AM1004" s="17" t="str">
        <f>IF(SrcDB[[#This Row],[Pocet zmluv objednavatela]]&gt;3,SrcDB[[#This Row],[Objednavatel]],"Ostatné")</f>
        <v>Ministerstvo financií SR</v>
      </c>
      <c r="AN1004" s="17" t="str">
        <f>IF(SrcDB[[#This Row],[Pocet zmluv dodavatela]]&gt;3,SrcDB[[#This Row],[Dodavatel]],"Ostatné")</f>
        <v>SophistIT, s.r.o.</v>
      </c>
    </row>
    <row r="1005" spans="1:40" x14ac:dyDescent="0.3">
      <c r="A1005" s="2" t="s">
        <v>1196</v>
      </c>
      <c r="B1005" s="2">
        <v>7862350</v>
      </c>
      <c r="C1005" s="3" t="str">
        <f t="shared" si="1066"/>
        <v>Nejasné</v>
      </c>
      <c r="D1005" s="3" t="str">
        <f t="shared" si="1067"/>
        <v>Nejasné</v>
      </c>
      <c r="E1005" s="3" t="s">
        <v>49</v>
      </c>
      <c r="F1005" s="3" t="s">
        <v>49</v>
      </c>
      <c r="G1005" s="2" t="str">
        <f t="shared" si="1068"/>
        <v>Malé zmluvy</v>
      </c>
      <c r="H1005" s="5" t="s">
        <v>632</v>
      </c>
      <c r="I1005" s="2" t="s">
        <v>633</v>
      </c>
      <c r="J1005" s="2" t="s">
        <v>1197</v>
      </c>
      <c r="K1005" s="5">
        <v>50634526</v>
      </c>
      <c r="L1005" s="2" t="s">
        <v>1155</v>
      </c>
      <c r="M1005" s="2" t="s">
        <v>1156</v>
      </c>
      <c r="N1005" s="6">
        <v>45062.499016203707</v>
      </c>
      <c r="O1005" s="4">
        <v>492286.8</v>
      </c>
      <c r="P1005" s="2">
        <v>114725</v>
      </c>
      <c r="Q1005" s="2" t="s">
        <v>1198</v>
      </c>
      <c r="R1005" s="2" t="s">
        <v>1199</v>
      </c>
      <c r="S1005" s="2" t="s">
        <v>98</v>
      </c>
      <c r="T1005" s="2" t="s">
        <v>287</v>
      </c>
      <c r="W1005" s="4">
        <v>650</v>
      </c>
      <c r="X1005" s="4">
        <v>780</v>
      </c>
      <c r="Y1005" s="4">
        <f t="shared" ref="Y1005" si="1116">INDEX(InternalRates,MATCH($S1005,InternalRates01,FALSE),2)</f>
        <v>278.98333333333335</v>
      </c>
      <c r="Z1005" s="3" t="str">
        <f t="shared" si="1102"/>
        <v>Nie</v>
      </c>
      <c r="AA1005" s="3" t="str">
        <f t="shared" si="1103"/>
        <v>SLA+ZoD</v>
      </c>
      <c r="AB1005" s="4">
        <v>20</v>
      </c>
      <c r="AC1005" s="4">
        <v>10</v>
      </c>
      <c r="AD1005" s="3" t="s">
        <v>48</v>
      </c>
      <c r="AE1005" s="6">
        <v>45545</v>
      </c>
      <c r="AF1005" s="3" t="s">
        <v>59</v>
      </c>
      <c r="AG1005" s="3" t="s">
        <v>49</v>
      </c>
      <c r="AH1005" s="3">
        <f>YEAR(SrcDB[[#This Row],[Datum_zverejnenia]])</f>
        <v>2023</v>
      </c>
      <c r="AI1005" s="3" cm="1">
        <f t="array" ref="AI1005">COUNT(_xlfn.UNIQUE(_xlfn._xlws.FILTER(SrcDB[ID],SrcDB[Objednavatel_ICO]=$H1005)))</f>
        <v>6</v>
      </c>
      <c r="AJ1005" s="3" cm="1">
        <f t="array" ref="AJ1005">COUNT(_xlfn.UNIQUE(_xlfn._xlws.FILTER(SrcDB[ID],SrcDB[Dodavatel_ICO]=$K1005)))</f>
        <v>6</v>
      </c>
      <c r="AK1005" s="3">
        <f t="shared" si="1072"/>
        <v>0</v>
      </c>
      <c r="AL1005" s="3">
        <f t="shared" si="1073"/>
        <v>0</v>
      </c>
      <c r="AM1005" s="17" t="str">
        <f>IF(SrcDB[[#This Row],[Pocet zmluv objednavatela]]&gt;3,SrcDB[[#This Row],[Objednavatel]],"Ostatné")</f>
        <v>Ministerstvo financií SR</v>
      </c>
      <c r="AN1005" s="17" t="str">
        <f>IF(SrcDB[[#This Row],[Pocet zmluv dodavatela]]&gt;3,SrcDB[[#This Row],[Dodavatel]],"Ostatné")</f>
        <v>SophistIT, s.r.o.</v>
      </c>
    </row>
    <row r="1006" spans="1:40" x14ac:dyDescent="0.3">
      <c r="A1006" s="2" t="s">
        <v>1201</v>
      </c>
      <c r="B1006" s="2">
        <v>7862385</v>
      </c>
      <c r="C1006" s="3" t="str">
        <f t="shared" si="1066"/>
        <v>Nejasné</v>
      </c>
      <c r="D1006" s="3" t="str">
        <f t="shared" si="1067"/>
        <v>Nejasné</v>
      </c>
      <c r="E1006" s="3" t="s">
        <v>49</v>
      </c>
      <c r="F1006" s="3" t="s">
        <v>49</v>
      </c>
      <c r="G1006" s="2" t="str">
        <f t="shared" si="1068"/>
        <v>Malé zmluvy</v>
      </c>
      <c r="H1006" s="5" t="s">
        <v>632</v>
      </c>
      <c r="I1006" s="2" t="s">
        <v>633</v>
      </c>
      <c r="J1006" s="2" t="s">
        <v>1197</v>
      </c>
      <c r="K1006" s="5">
        <v>50634526</v>
      </c>
      <c r="L1006" s="2" t="s">
        <v>1155</v>
      </c>
      <c r="M1006" s="2" t="s">
        <v>1156</v>
      </c>
      <c r="N1006" s="6">
        <v>45062.501979166664</v>
      </c>
      <c r="O1006" s="4">
        <v>567018</v>
      </c>
      <c r="P1006" s="2">
        <v>114725</v>
      </c>
      <c r="Q1006" s="2" t="s">
        <v>1202</v>
      </c>
      <c r="R1006" s="2" t="s">
        <v>1203</v>
      </c>
      <c r="S1006" s="2" t="s">
        <v>56</v>
      </c>
      <c r="T1006" s="2" t="s">
        <v>1204</v>
      </c>
      <c r="U1006" s="2" t="s">
        <v>97</v>
      </c>
      <c r="W1006" s="4">
        <v>730</v>
      </c>
      <c r="X1006" s="4">
        <v>876</v>
      </c>
      <c r="Y1006" s="4">
        <f t="shared" ref="Y1006" si="1117">INDEX(InternalRates,MATCH($S1006,InternalRates01,FALSE),2)</f>
        <v>278.98333333333335</v>
      </c>
      <c r="Z1006" s="3" t="str">
        <f t="shared" si="1102"/>
        <v>Nie</v>
      </c>
      <c r="AA1006" s="3" t="str">
        <f t="shared" si="1103"/>
        <v>SLA+ZoD</v>
      </c>
      <c r="AB1006" s="4">
        <v>30</v>
      </c>
      <c r="AC1006" s="4">
        <v>15</v>
      </c>
      <c r="AD1006" s="3" t="s">
        <v>48</v>
      </c>
      <c r="AE1006" s="6">
        <v>45545</v>
      </c>
      <c r="AF1006" s="3" t="s">
        <v>59</v>
      </c>
      <c r="AG1006" s="3" t="s">
        <v>49</v>
      </c>
      <c r="AH1006" s="3">
        <f>YEAR(SrcDB[[#This Row],[Datum_zverejnenia]])</f>
        <v>2023</v>
      </c>
      <c r="AI1006" s="3" cm="1">
        <f t="array" ref="AI1006">COUNT(_xlfn.UNIQUE(_xlfn._xlws.FILTER(SrcDB[ID],SrcDB[Objednavatel_ICO]=$H1006)))</f>
        <v>6</v>
      </c>
      <c r="AJ1006" s="3" cm="1">
        <f t="array" ref="AJ1006">COUNT(_xlfn.UNIQUE(_xlfn._xlws.FILTER(SrcDB[ID],SrcDB[Dodavatel_ICO]=$K1006)))</f>
        <v>6</v>
      </c>
      <c r="AK1006" s="3">
        <f t="shared" si="1072"/>
        <v>1</v>
      </c>
      <c r="AL1006" s="3">
        <f t="shared" si="1073"/>
        <v>1</v>
      </c>
      <c r="AM1006" s="17" t="str">
        <f>IF(SrcDB[[#This Row],[Pocet zmluv objednavatela]]&gt;3,SrcDB[[#This Row],[Objednavatel]],"Ostatné")</f>
        <v>Ministerstvo financií SR</v>
      </c>
      <c r="AN1006" s="17" t="str">
        <f>IF(SrcDB[[#This Row],[Pocet zmluv dodavatela]]&gt;3,SrcDB[[#This Row],[Dodavatel]],"Ostatné")</f>
        <v>SophistIT, s.r.o.</v>
      </c>
    </row>
    <row r="1007" spans="1:40" x14ac:dyDescent="0.3">
      <c r="A1007" s="2" t="s">
        <v>1201</v>
      </c>
      <c r="B1007" s="2">
        <v>7862385</v>
      </c>
      <c r="C1007" s="3" t="str">
        <f t="shared" si="1066"/>
        <v>Nejasné</v>
      </c>
      <c r="D1007" s="3" t="str">
        <f t="shared" si="1067"/>
        <v>Nejasné</v>
      </c>
      <c r="E1007" s="3" t="s">
        <v>49</v>
      </c>
      <c r="F1007" s="3" t="s">
        <v>49</v>
      </c>
      <c r="G1007" s="2" t="str">
        <f t="shared" si="1068"/>
        <v>Malé zmluvy</v>
      </c>
      <c r="H1007" s="5" t="s">
        <v>632</v>
      </c>
      <c r="I1007" s="2" t="s">
        <v>633</v>
      </c>
      <c r="J1007" s="2" t="s">
        <v>1197</v>
      </c>
      <c r="K1007" s="5">
        <v>50634526</v>
      </c>
      <c r="L1007" s="2" t="s">
        <v>1155</v>
      </c>
      <c r="M1007" s="2" t="s">
        <v>1156</v>
      </c>
      <c r="N1007" s="6">
        <v>45062.501979166664</v>
      </c>
      <c r="O1007" s="4">
        <v>567018</v>
      </c>
      <c r="P1007" s="2">
        <v>114725</v>
      </c>
      <c r="Q1007" s="2" t="s">
        <v>1202</v>
      </c>
      <c r="R1007" s="2" t="s">
        <v>1203</v>
      </c>
      <c r="S1007" s="2" t="s">
        <v>73</v>
      </c>
      <c r="T1007" s="2" t="s">
        <v>90</v>
      </c>
      <c r="W1007" s="4">
        <v>720</v>
      </c>
      <c r="X1007" s="4">
        <v>864</v>
      </c>
      <c r="Y1007" s="4">
        <f t="shared" ref="Y1007" si="1118">INDEX(InternalRates,MATCH($S1007,InternalRates01,FALSE),2)</f>
        <v>278.98333333333335</v>
      </c>
      <c r="Z1007" s="3" t="str">
        <f t="shared" si="1102"/>
        <v>Nie</v>
      </c>
      <c r="AA1007" s="3" t="str">
        <f t="shared" si="1103"/>
        <v>SLA+ZoD</v>
      </c>
      <c r="AB1007" s="4">
        <v>80</v>
      </c>
      <c r="AC1007" s="4">
        <v>40</v>
      </c>
      <c r="AD1007" s="3" t="s">
        <v>48</v>
      </c>
      <c r="AE1007" s="6">
        <v>45545</v>
      </c>
      <c r="AF1007" s="3" t="s">
        <v>59</v>
      </c>
      <c r="AG1007" s="3" t="s">
        <v>49</v>
      </c>
      <c r="AH1007" s="3">
        <f>YEAR(SrcDB[[#This Row],[Datum_zverejnenia]])</f>
        <v>2023</v>
      </c>
      <c r="AI1007" s="3" cm="1">
        <f t="array" ref="AI1007">COUNT(_xlfn.UNIQUE(_xlfn._xlws.FILTER(SrcDB[ID],SrcDB[Objednavatel_ICO]=$H1007)))</f>
        <v>6</v>
      </c>
      <c r="AJ1007" s="3" cm="1">
        <f t="array" ref="AJ1007">COUNT(_xlfn.UNIQUE(_xlfn._xlws.FILTER(SrcDB[ID],SrcDB[Dodavatel_ICO]=$K1007)))</f>
        <v>6</v>
      </c>
      <c r="AK1007" s="3">
        <f t="shared" si="1072"/>
        <v>0</v>
      </c>
      <c r="AL1007" s="3">
        <f t="shared" si="1073"/>
        <v>0</v>
      </c>
      <c r="AM1007" s="17" t="str">
        <f>IF(SrcDB[[#This Row],[Pocet zmluv objednavatela]]&gt;3,SrcDB[[#This Row],[Objednavatel]],"Ostatné")</f>
        <v>Ministerstvo financií SR</v>
      </c>
      <c r="AN1007" s="17" t="str">
        <f>IF(SrcDB[[#This Row],[Pocet zmluv dodavatela]]&gt;3,SrcDB[[#This Row],[Dodavatel]],"Ostatné")</f>
        <v>SophistIT, s.r.o.</v>
      </c>
    </row>
    <row r="1008" spans="1:40" x14ac:dyDescent="0.3">
      <c r="A1008" s="2" t="s">
        <v>1201</v>
      </c>
      <c r="B1008" s="2">
        <v>7862385</v>
      </c>
      <c r="C1008" s="3" t="str">
        <f t="shared" si="1066"/>
        <v>Nejasné</v>
      </c>
      <c r="D1008" s="3" t="str">
        <f t="shared" si="1067"/>
        <v>Nejasné</v>
      </c>
      <c r="E1008" s="3" t="s">
        <v>49</v>
      </c>
      <c r="F1008" s="3" t="s">
        <v>49</v>
      </c>
      <c r="G1008" s="2" t="str">
        <f t="shared" si="1068"/>
        <v>Malé zmluvy</v>
      </c>
      <c r="H1008" s="5" t="s">
        <v>632</v>
      </c>
      <c r="I1008" s="2" t="s">
        <v>633</v>
      </c>
      <c r="J1008" s="2" t="s">
        <v>1197</v>
      </c>
      <c r="K1008" s="5">
        <v>50634526</v>
      </c>
      <c r="L1008" s="2" t="s">
        <v>1155</v>
      </c>
      <c r="M1008" s="2" t="s">
        <v>1156</v>
      </c>
      <c r="N1008" s="6">
        <v>45062.501979166664</v>
      </c>
      <c r="O1008" s="4">
        <v>567018</v>
      </c>
      <c r="P1008" s="2">
        <v>114725</v>
      </c>
      <c r="Q1008" s="2" t="s">
        <v>1202</v>
      </c>
      <c r="R1008" s="2" t="s">
        <v>1203</v>
      </c>
      <c r="S1008" s="2" t="s">
        <v>56</v>
      </c>
      <c r="T1008" s="2" t="s">
        <v>1205</v>
      </c>
      <c r="U1008" s="2" t="s">
        <v>76</v>
      </c>
      <c r="W1008" s="4">
        <v>660</v>
      </c>
      <c r="X1008" s="4">
        <v>792</v>
      </c>
      <c r="Y1008" s="4">
        <f t="shared" ref="Y1008" si="1119">INDEX(InternalRates,MATCH($S1008,InternalRates01,FALSE),2)</f>
        <v>278.98333333333335</v>
      </c>
      <c r="Z1008" s="3" t="str">
        <f t="shared" si="1102"/>
        <v>Nie</v>
      </c>
      <c r="AA1008" s="3" t="str">
        <f t="shared" si="1103"/>
        <v>SLA+ZoD</v>
      </c>
      <c r="AB1008" s="4">
        <v>121</v>
      </c>
      <c r="AC1008" s="4">
        <v>60.5</v>
      </c>
      <c r="AD1008" s="3" t="s">
        <v>48</v>
      </c>
      <c r="AE1008" s="6">
        <v>45545</v>
      </c>
      <c r="AF1008" s="3" t="s">
        <v>59</v>
      </c>
      <c r="AG1008" s="3" t="s">
        <v>49</v>
      </c>
      <c r="AH1008" s="3">
        <f>YEAR(SrcDB[[#This Row],[Datum_zverejnenia]])</f>
        <v>2023</v>
      </c>
      <c r="AI1008" s="3" cm="1">
        <f t="array" ref="AI1008">COUNT(_xlfn.UNIQUE(_xlfn._xlws.FILTER(SrcDB[ID],SrcDB[Objednavatel_ICO]=$H1008)))</f>
        <v>6</v>
      </c>
      <c r="AJ1008" s="3" cm="1">
        <f t="array" ref="AJ1008">COUNT(_xlfn.UNIQUE(_xlfn._xlws.FILTER(SrcDB[ID],SrcDB[Dodavatel_ICO]=$K1008)))</f>
        <v>6</v>
      </c>
      <c r="AK1008" s="3">
        <f t="shared" si="1072"/>
        <v>0</v>
      </c>
      <c r="AL1008" s="3">
        <f t="shared" si="1073"/>
        <v>0</v>
      </c>
      <c r="AM1008" s="17" t="str">
        <f>IF(SrcDB[[#This Row],[Pocet zmluv objednavatela]]&gt;3,SrcDB[[#This Row],[Objednavatel]],"Ostatné")</f>
        <v>Ministerstvo financií SR</v>
      </c>
      <c r="AN1008" s="17" t="str">
        <f>IF(SrcDB[[#This Row],[Pocet zmluv dodavatela]]&gt;3,SrcDB[[#This Row],[Dodavatel]],"Ostatné")</f>
        <v>SophistIT, s.r.o.</v>
      </c>
    </row>
    <row r="1009" spans="1:40" x14ac:dyDescent="0.3">
      <c r="A1009" s="2" t="s">
        <v>1201</v>
      </c>
      <c r="B1009" s="2">
        <v>7862385</v>
      </c>
      <c r="C1009" s="3" t="str">
        <f t="shared" si="1066"/>
        <v>Nejasné</v>
      </c>
      <c r="D1009" s="3" t="str">
        <f t="shared" si="1067"/>
        <v>Nejasné</v>
      </c>
      <c r="E1009" s="3" t="s">
        <v>49</v>
      </c>
      <c r="F1009" s="3" t="s">
        <v>49</v>
      </c>
      <c r="G1009" s="2" t="str">
        <f t="shared" si="1068"/>
        <v>Malé zmluvy</v>
      </c>
      <c r="H1009" s="5" t="s">
        <v>632</v>
      </c>
      <c r="I1009" s="2" t="s">
        <v>633</v>
      </c>
      <c r="J1009" s="2" t="s">
        <v>1197</v>
      </c>
      <c r="K1009" s="5">
        <v>50634526</v>
      </c>
      <c r="L1009" s="2" t="s">
        <v>1155</v>
      </c>
      <c r="M1009" s="2" t="s">
        <v>1156</v>
      </c>
      <c r="N1009" s="6">
        <v>45062.501979166664</v>
      </c>
      <c r="O1009" s="4">
        <v>567018</v>
      </c>
      <c r="P1009" s="2">
        <v>114725</v>
      </c>
      <c r="Q1009" s="2" t="s">
        <v>1202</v>
      </c>
      <c r="R1009" s="2" t="s">
        <v>1203</v>
      </c>
      <c r="S1009" s="2" t="s">
        <v>98</v>
      </c>
      <c r="T1009" s="2" t="s">
        <v>1206</v>
      </c>
      <c r="W1009" s="4">
        <v>650</v>
      </c>
      <c r="X1009" s="4">
        <v>780</v>
      </c>
      <c r="Y1009" s="4">
        <f t="shared" ref="Y1009" si="1120">INDEX(InternalRates,MATCH($S1009,InternalRates01,FALSE),2)</f>
        <v>278.98333333333335</v>
      </c>
      <c r="Z1009" s="3" t="str">
        <f t="shared" si="1102"/>
        <v>Nie</v>
      </c>
      <c r="AA1009" s="3" t="str">
        <f t="shared" si="1103"/>
        <v>SLA+ZoD</v>
      </c>
      <c r="AB1009" s="4">
        <v>20</v>
      </c>
      <c r="AC1009" s="4">
        <v>10</v>
      </c>
      <c r="AD1009" s="3" t="s">
        <v>48</v>
      </c>
      <c r="AE1009" s="6">
        <v>45545</v>
      </c>
      <c r="AF1009" s="3" t="s">
        <v>59</v>
      </c>
      <c r="AG1009" s="3" t="s">
        <v>49</v>
      </c>
      <c r="AH1009" s="3">
        <f>YEAR(SrcDB[[#This Row],[Datum_zverejnenia]])</f>
        <v>2023</v>
      </c>
      <c r="AI1009" s="3" cm="1">
        <f t="array" ref="AI1009">COUNT(_xlfn.UNIQUE(_xlfn._xlws.FILTER(SrcDB[ID],SrcDB[Objednavatel_ICO]=$H1009)))</f>
        <v>6</v>
      </c>
      <c r="AJ1009" s="3" cm="1">
        <f t="array" ref="AJ1009">COUNT(_xlfn.UNIQUE(_xlfn._xlws.FILTER(SrcDB[ID],SrcDB[Dodavatel_ICO]=$K1009)))</f>
        <v>6</v>
      </c>
      <c r="AK1009" s="3">
        <f t="shared" si="1072"/>
        <v>0</v>
      </c>
      <c r="AL1009" s="3">
        <f t="shared" si="1073"/>
        <v>0</v>
      </c>
      <c r="AM1009" s="17" t="str">
        <f>IF(SrcDB[[#This Row],[Pocet zmluv objednavatela]]&gt;3,SrcDB[[#This Row],[Objednavatel]],"Ostatné")</f>
        <v>Ministerstvo financií SR</v>
      </c>
      <c r="AN1009" s="17" t="str">
        <f>IF(SrcDB[[#This Row],[Pocet zmluv dodavatela]]&gt;3,SrcDB[[#This Row],[Dodavatel]],"Ostatné")</f>
        <v>SophistIT, s.r.o.</v>
      </c>
    </row>
    <row r="1010" spans="1:40" x14ac:dyDescent="0.3">
      <c r="A1010" s="2" t="s">
        <v>1201</v>
      </c>
      <c r="B1010" s="2">
        <v>7862385</v>
      </c>
      <c r="C1010" s="3" t="str">
        <f t="shared" si="1066"/>
        <v>Nejasné</v>
      </c>
      <c r="D1010" s="3" t="str">
        <f t="shared" si="1067"/>
        <v>Nejasné</v>
      </c>
      <c r="E1010" s="3" t="s">
        <v>49</v>
      </c>
      <c r="F1010" s="3" t="s">
        <v>49</v>
      </c>
      <c r="G1010" s="2" t="str">
        <f t="shared" si="1068"/>
        <v>Malé zmluvy</v>
      </c>
      <c r="H1010" s="5" t="s">
        <v>632</v>
      </c>
      <c r="I1010" s="2" t="s">
        <v>633</v>
      </c>
      <c r="J1010" s="2" t="s">
        <v>1197</v>
      </c>
      <c r="K1010" s="5">
        <v>50634526</v>
      </c>
      <c r="L1010" s="2" t="s">
        <v>1155</v>
      </c>
      <c r="M1010" s="2" t="s">
        <v>1156</v>
      </c>
      <c r="N1010" s="6">
        <v>45062.501979166664</v>
      </c>
      <c r="O1010" s="4">
        <v>567018</v>
      </c>
      <c r="P1010" s="2">
        <v>114725</v>
      </c>
      <c r="Q1010" s="2" t="s">
        <v>1202</v>
      </c>
      <c r="R1010" s="2" t="s">
        <v>1203</v>
      </c>
      <c r="S1010" s="2" t="s">
        <v>56</v>
      </c>
      <c r="T1010" s="2" t="s">
        <v>1207</v>
      </c>
      <c r="U1010" s="2" t="s">
        <v>95</v>
      </c>
      <c r="W1010" s="4">
        <v>650</v>
      </c>
      <c r="X1010" s="4">
        <v>780</v>
      </c>
      <c r="Y1010" s="4">
        <f t="shared" ref="Y1010" si="1121">INDEX(InternalRates,MATCH($S1010,InternalRates01,FALSE),2)</f>
        <v>278.98333333333335</v>
      </c>
      <c r="Z1010" s="3" t="str">
        <f t="shared" si="1102"/>
        <v>Nie</v>
      </c>
      <c r="AA1010" s="3" t="str">
        <f t="shared" si="1103"/>
        <v>SLA+ZoD</v>
      </c>
      <c r="AB1010" s="4">
        <v>108</v>
      </c>
      <c r="AC1010" s="4">
        <v>54</v>
      </c>
      <c r="AD1010" s="3" t="s">
        <v>48</v>
      </c>
      <c r="AE1010" s="6">
        <v>45545</v>
      </c>
      <c r="AF1010" s="3" t="s">
        <v>59</v>
      </c>
      <c r="AG1010" s="3" t="s">
        <v>49</v>
      </c>
      <c r="AH1010" s="3">
        <f>YEAR(SrcDB[[#This Row],[Datum_zverejnenia]])</f>
        <v>2023</v>
      </c>
      <c r="AI1010" s="3" cm="1">
        <f t="array" ref="AI1010">COUNT(_xlfn.UNIQUE(_xlfn._xlws.FILTER(SrcDB[ID],SrcDB[Objednavatel_ICO]=$H1010)))</f>
        <v>6</v>
      </c>
      <c r="AJ1010" s="3" cm="1">
        <f t="array" ref="AJ1010">COUNT(_xlfn.UNIQUE(_xlfn._xlws.FILTER(SrcDB[ID],SrcDB[Dodavatel_ICO]=$K1010)))</f>
        <v>6</v>
      </c>
      <c r="AK1010" s="3">
        <f t="shared" si="1072"/>
        <v>0</v>
      </c>
      <c r="AL1010" s="3">
        <f t="shared" si="1073"/>
        <v>0</v>
      </c>
      <c r="AM1010" s="17" t="str">
        <f>IF(SrcDB[[#This Row],[Pocet zmluv objednavatela]]&gt;3,SrcDB[[#This Row],[Objednavatel]],"Ostatné")</f>
        <v>Ministerstvo financií SR</v>
      </c>
      <c r="AN1010" s="17" t="str">
        <f>IF(SrcDB[[#This Row],[Pocet zmluv dodavatela]]&gt;3,SrcDB[[#This Row],[Dodavatel]],"Ostatné")</f>
        <v>SophistIT, s.r.o.</v>
      </c>
    </row>
    <row r="1011" spans="1:40" x14ac:dyDescent="0.3">
      <c r="A1011" s="2" t="s">
        <v>1208</v>
      </c>
      <c r="B1011" s="2">
        <v>7877927</v>
      </c>
      <c r="C1011" s="3" t="str">
        <f t="shared" si="1066"/>
        <v>Nie</v>
      </c>
      <c r="D1011" s="3" t="str">
        <f t="shared" si="1067"/>
        <v>Áno</v>
      </c>
      <c r="E1011" s="3" t="s">
        <v>48</v>
      </c>
      <c r="F1011" s="3" t="s">
        <v>49</v>
      </c>
      <c r="G1011" s="2" t="str">
        <f t="shared" si="1068"/>
        <v>Stredné zmluvy</v>
      </c>
      <c r="H1011" s="5" t="s">
        <v>391</v>
      </c>
      <c r="I1011" s="2" t="s">
        <v>392</v>
      </c>
      <c r="J1011" s="2" t="s">
        <v>393</v>
      </c>
      <c r="K1011" s="5">
        <v>44367465</v>
      </c>
      <c r="L1011" s="2" t="s">
        <v>932</v>
      </c>
      <c r="M1011" s="2" t="s">
        <v>1209</v>
      </c>
      <c r="N1011" s="6">
        <v>45065.416550925926</v>
      </c>
      <c r="O1011" s="4">
        <v>4889097.5999999996</v>
      </c>
      <c r="P1011" s="2">
        <v>114533</v>
      </c>
      <c r="Q1011" s="2" t="s">
        <v>1210</v>
      </c>
      <c r="R1011" s="2" t="s">
        <v>1211</v>
      </c>
      <c r="S1011" s="2" t="s">
        <v>183</v>
      </c>
      <c r="T1011" s="2" t="s">
        <v>183</v>
      </c>
      <c r="W1011" s="4">
        <v>656</v>
      </c>
      <c r="X1011" s="4">
        <v>787.19999999999993</v>
      </c>
      <c r="Y1011" s="4">
        <f t="shared" ref="Y1011" si="1122">INDEX(InternalRates,MATCH($S1011,InternalRates01,FALSE),2)</f>
        <v>278.98333333333335</v>
      </c>
      <c r="Z1011" s="3" t="str">
        <f t="shared" si="1102"/>
        <v>Nie</v>
      </c>
      <c r="AA1011" s="3" t="str">
        <f t="shared" si="1103"/>
        <v>SLA</v>
      </c>
      <c r="AB1011" s="4">
        <v>1112.5</v>
      </c>
      <c r="AC1011" s="4">
        <v>278.125</v>
      </c>
      <c r="AD1011" s="3" t="s">
        <v>48</v>
      </c>
      <c r="AE1011" s="6">
        <v>45545</v>
      </c>
      <c r="AF1011" s="3" t="s">
        <v>59</v>
      </c>
      <c r="AG1011" s="3" t="s">
        <v>49</v>
      </c>
      <c r="AH1011" s="3">
        <f>YEAR(SrcDB[[#This Row],[Datum_zverejnenia]])</f>
        <v>2023</v>
      </c>
      <c r="AI1011" s="3" cm="1">
        <f t="array" ref="AI1011">COUNT(_xlfn.UNIQUE(_xlfn._xlws.FILTER(SrcDB[ID],SrcDB[Objednavatel_ICO]=$H1011)))</f>
        <v>7</v>
      </c>
      <c r="AJ1011" s="3" cm="1">
        <f t="array" ref="AJ1011">COUNT(_xlfn.UNIQUE(_xlfn._xlws.FILTER(SrcDB[ID],SrcDB[Dodavatel_ICO]=$K1011)))</f>
        <v>4</v>
      </c>
      <c r="AK1011" s="3">
        <f t="shared" si="1072"/>
        <v>1</v>
      </c>
      <c r="AL1011" s="3">
        <f t="shared" si="1073"/>
        <v>1</v>
      </c>
      <c r="AM1011" s="17" t="str">
        <f>IF(SrcDB[[#This Row],[Pocet zmluv objednavatela]]&gt;3,SrcDB[[#This Row],[Objednavatel]],"Ostatné")</f>
        <v>Ministerstvo práce, sociálnych vecí a rodiny SR</v>
      </c>
      <c r="AN1011" s="17" t="str">
        <f>IF(SrcDB[[#This Row],[Pocet zmluv dodavatela]]&gt;3,SrcDB[[#This Row],[Dodavatel]],"Ostatné")</f>
        <v>Soimco a. s.</v>
      </c>
    </row>
    <row r="1012" spans="1:40" x14ac:dyDescent="0.3">
      <c r="A1012" s="2" t="s">
        <v>1212</v>
      </c>
      <c r="B1012" s="2">
        <v>7886467</v>
      </c>
      <c r="C1012" s="3" t="str">
        <f t="shared" si="1066"/>
        <v>Nejasné</v>
      </c>
      <c r="D1012" s="3" t="str">
        <f t="shared" si="1067"/>
        <v>Nejasné</v>
      </c>
      <c r="E1012" s="3" t="s">
        <v>49</v>
      </c>
      <c r="F1012" s="3" t="s">
        <v>49</v>
      </c>
      <c r="G1012" s="2" t="str">
        <f t="shared" si="1068"/>
        <v>Malé zmluvy</v>
      </c>
      <c r="H1012" s="5">
        <v>35850370</v>
      </c>
      <c r="I1012" s="2" t="s">
        <v>854</v>
      </c>
      <c r="J1012" s="2" t="s">
        <v>855</v>
      </c>
      <c r="K1012" s="5">
        <v>31387811</v>
      </c>
      <c r="L1012" s="2" t="s">
        <v>1050</v>
      </c>
      <c r="M1012" s="2" t="s">
        <v>1213</v>
      </c>
      <c r="N1012" s="6">
        <v>45068.646064814813</v>
      </c>
      <c r="O1012" s="4">
        <v>458388</v>
      </c>
      <c r="P1012" s="2">
        <v>6215909</v>
      </c>
      <c r="Q1012" s="2" t="s">
        <v>1214</v>
      </c>
      <c r="R1012" s="2" t="s">
        <v>1215</v>
      </c>
      <c r="S1012" s="2" t="s">
        <v>183</v>
      </c>
      <c r="T1012" s="2" t="s">
        <v>183</v>
      </c>
      <c r="W1012" s="4">
        <v>320</v>
      </c>
      <c r="X1012" s="4">
        <v>384</v>
      </c>
      <c r="Y1012" s="4">
        <f t="shared" ref="Y1012" si="1123">INDEX(InternalRates,MATCH($S1012,InternalRates01,FALSE),2)</f>
        <v>278.98333333333335</v>
      </c>
      <c r="Z1012" s="3" t="str">
        <f t="shared" si="1102"/>
        <v>Nie</v>
      </c>
      <c r="AA1012" s="3" t="str">
        <f t="shared" si="1103"/>
        <v>SLA+ZoD</v>
      </c>
      <c r="AB1012" s="4">
        <v>160</v>
      </c>
      <c r="AC1012" s="4">
        <v>53.333333333333336</v>
      </c>
      <c r="AD1012" s="3" t="s">
        <v>48</v>
      </c>
      <c r="AE1012" s="6">
        <v>45545</v>
      </c>
      <c r="AF1012" s="3" t="s">
        <v>59</v>
      </c>
      <c r="AG1012" s="3" t="s">
        <v>48</v>
      </c>
      <c r="AH1012" s="3">
        <f>YEAR(SrcDB[[#This Row],[Datum_zverejnenia]])</f>
        <v>2023</v>
      </c>
      <c r="AI1012" s="3" cm="1">
        <f t="array" ref="AI1012">COUNT(_xlfn.UNIQUE(_xlfn._xlws.FILTER(SrcDB[ID],SrcDB[Objednavatel_ICO]=$H1012)))</f>
        <v>5</v>
      </c>
      <c r="AJ1012" s="3" cm="1">
        <f t="array" ref="AJ1012">COUNT(_xlfn.UNIQUE(_xlfn._xlws.FILTER(SrcDB[ID],SrcDB[Dodavatel_ICO]=$K1012)))</f>
        <v>3</v>
      </c>
      <c r="AK1012" s="3">
        <f t="shared" si="1072"/>
        <v>1</v>
      </c>
      <c r="AL1012" s="3">
        <f t="shared" si="1073"/>
        <v>1</v>
      </c>
      <c r="AM1012" s="17" t="str">
        <f>IF(SrcDB[[#This Row],[Pocet zmluv objednavatela]]&gt;3,SrcDB[[#This Row],[Objednavatel]],"Ostatné")</f>
        <v>Bratislavská vodárenská spoločnosť, a. s.</v>
      </c>
      <c r="AN1012" s="17" t="str">
        <f>IF(SrcDB[[#This Row],[Pocet zmluv dodavatela]]&gt;3,SrcDB[[#This Row],[Dodavatel]],"Ostatné")</f>
        <v>Ostatné</v>
      </c>
    </row>
    <row r="1013" spans="1:40" x14ac:dyDescent="0.3">
      <c r="A1013" s="2" t="s">
        <v>1216</v>
      </c>
      <c r="B1013" s="2">
        <v>7898435</v>
      </c>
      <c r="C1013" s="3" t="str">
        <f t="shared" si="1066"/>
        <v>Áno</v>
      </c>
      <c r="D1013" s="3" t="str">
        <f t="shared" si="1067"/>
        <v>Nie</v>
      </c>
      <c r="E1013" s="3" t="s">
        <v>49</v>
      </c>
      <c r="F1013" s="3" t="s">
        <v>49</v>
      </c>
      <c r="G1013" s="2" t="str">
        <f t="shared" si="1068"/>
        <v>Malé zmluvy</v>
      </c>
      <c r="H1013" s="5">
        <v>36022047</v>
      </c>
      <c r="I1013" s="2" t="s">
        <v>1217</v>
      </c>
      <c r="J1013" s="2" t="s">
        <v>1218</v>
      </c>
      <c r="K1013" s="5">
        <v>36328057</v>
      </c>
      <c r="L1013" s="2" t="s">
        <v>1219</v>
      </c>
      <c r="M1013" s="2" t="s">
        <v>1220</v>
      </c>
      <c r="N1013" s="6">
        <v>45070.64234953704</v>
      </c>
      <c r="O1013" s="4">
        <v>405192</v>
      </c>
      <c r="P1013" s="2">
        <v>114535</v>
      </c>
      <c r="Q1013" s="2" t="s">
        <v>1221</v>
      </c>
      <c r="R1013" s="2" t="s">
        <v>1222</v>
      </c>
      <c r="S1013" s="2" t="s">
        <v>71</v>
      </c>
      <c r="T1013" s="2" t="s">
        <v>196</v>
      </c>
      <c r="W1013" s="4">
        <v>500</v>
      </c>
      <c r="X1013" s="4">
        <v>600</v>
      </c>
      <c r="Y1013" s="4">
        <f t="shared" ref="Y1013" si="1124">INDEX(InternalRates,MATCH($S1013,InternalRates01,FALSE),2)</f>
        <v>354.0333333333333</v>
      </c>
      <c r="Z1013" s="3" t="str">
        <f t="shared" si="1102"/>
        <v>Nie</v>
      </c>
      <c r="AA1013" s="3" t="str">
        <f t="shared" si="1103"/>
        <v>SLA+ZoD</v>
      </c>
      <c r="AB1013" s="4">
        <v>57</v>
      </c>
      <c r="AC1013" s="4">
        <v>14.25</v>
      </c>
      <c r="AD1013" s="3" t="s">
        <v>48</v>
      </c>
      <c r="AE1013" s="6">
        <v>45545</v>
      </c>
      <c r="AF1013" s="3" t="s">
        <v>59</v>
      </c>
      <c r="AG1013" s="3" t="s">
        <v>48</v>
      </c>
      <c r="AH1013" s="3">
        <f>YEAR(SrcDB[[#This Row],[Datum_zverejnenia]])</f>
        <v>2023</v>
      </c>
      <c r="AI1013" s="3" cm="1">
        <f t="array" ref="AI1013">COUNT(_xlfn.UNIQUE(_xlfn._xlws.FILTER(SrcDB[ID],SrcDB[Objednavatel_ICO]=$H1013)))</f>
        <v>1</v>
      </c>
      <c r="AJ1013" s="3" cm="1">
        <f t="array" ref="AJ1013">COUNT(_xlfn.UNIQUE(_xlfn._xlws.FILTER(SrcDB[ID],SrcDB[Dodavatel_ICO]=$K1013)))</f>
        <v>4</v>
      </c>
      <c r="AK1013" s="3">
        <f t="shared" si="1072"/>
        <v>1</v>
      </c>
      <c r="AL1013" s="3">
        <f t="shared" si="1073"/>
        <v>1</v>
      </c>
      <c r="AM1013" s="17" t="str">
        <f>IF(SrcDB[[#This Row],[Pocet zmluv objednavatela]]&gt;3,SrcDB[[#This Row],[Objednavatel]],"Ostatné")</f>
        <v>Ostatné</v>
      </c>
      <c r="AN1013" s="17" t="str">
        <f>IF(SrcDB[[#This Row],[Pocet zmluv dodavatela]]&gt;3,SrcDB[[#This Row],[Dodavatel]],"Ostatné")</f>
        <v>ICZ Slovakia a.s.</v>
      </c>
    </row>
    <row r="1014" spans="1:40" x14ac:dyDescent="0.3">
      <c r="A1014" s="2" t="s">
        <v>1216</v>
      </c>
      <c r="B1014" s="2">
        <v>7898435</v>
      </c>
      <c r="C1014" s="3" t="str">
        <f t="shared" si="1066"/>
        <v>Áno</v>
      </c>
      <c r="D1014" s="3" t="str">
        <f t="shared" si="1067"/>
        <v>Nie</v>
      </c>
      <c r="E1014" s="3" t="s">
        <v>49</v>
      </c>
      <c r="F1014" s="3" t="s">
        <v>49</v>
      </c>
      <c r="G1014" s="2" t="str">
        <f t="shared" si="1068"/>
        <v>Malé zmluvy</v>
      </c>
      <c r="H1014" s="5">
        <v>36022047</v>
      </c>
      <c r="I1014" s="2" t="s">
        <v>1217</v>
      </c>
      <c r="J1014" s="2" t="s">
        <v>1218</v>
      </c>
      <c r="K1014" s="5">
        <v>36328057</v>
      </c>
      <c r="L1014" s="2" t="s">
        <v>1219</v>
      </c>
      <c r="M1014" s="2" t="s">
        <v>1220</v>
      </c>
      <c r="N1014" s="6">
        <v>45070.64234953704</v>
      </c>
      <c r="O1014" s="4">
        <v>405192</v>
      </c>
      <c r="P1014" s="2">
        <v>114535</v>
      </c>
      <c r="Q1014" s="2" t="s">
        <v>1221</v>
      </c>
      <c r="R1014" s="2" t="s">
        <v>1222</v>
      </c>
      <c r="S1014" s="2" t="s">
        <v>69</v>
      </c>
      <c r="T1014" s="2" t="s">
        <v>285</v>
      </c>
      <c r="W1014" s="4">
        <v>500</v>
      </c>
      <c r="X1014" s="4">
        <v>600</v>
      </c>
      <c r="Y1014" s="4">
        <f t="shared" ref="Y1014" si="1125">INDEX(InternalRates,MATCH($S1014,InternalRates01,FALSE),2)</f>
        <v>278.98333333333335</v>
      </c>
      <c r="Z1014" s="3" t="str">
        <f t="shared" si="1102"/>
        <v>Nie</v>
      </c>
      <c r="AA1014" s="3" t="str">
        <f t="shared" si="1103"/>
        <v>SLA+ZoD</v>
      </c>
      <c r="AB1014" s="4">
        <v>30</v>
      </c>
      <c r="AC1014" s="4">
        <v>7.5</v>
      </c>
      <c r="AD1014" s="3" t="s">
        <v>48</v>
      </c>
      <c r="AE1014" s="6">
        <v>45545</v>
      </c>
      <c r="AF1014" s="3" t="s">
        <v>59</v>
      </c>
      <c r="AG1014" s="3" t="s">
        <v>48</v>
      </c>
      <c r="AH1014" s="3">
        <f>YEAR(SrcDB[[#This Row],[Datum_zverejnenia]])</f>
        <v>2023</v>
      </c>
      <c r="AI1014" s="3" cm="1">
        <f t="array" ref="AI1014">COUNT(_xlfn.UNIQUE(_xlfn._xlws.FILTER(SrcDB[ID],SrcDB[Objednavatel_ICO]=$H1014)))</f>
        <v>1</v>
      </c>
      <c r="AJ1014" s="3" cm="1">
        <f t="array" ref="AJ1014">COUNT(_xlfn.UNIQUE(_xlfn._xlws.FILTER(SrcDB[ID],SrcDB[Dodavatel_ICO]=$K1014)))</f>
        <v>4</v>
      </c>
      <c r="AK1014" s="3">
        <f t="shared" si="1072"/>
        <v>0</v>
      </c>
      <c r="AL1014" s="3">
        <f t="shared" si="1073"/>
        <v>0</v>
      </c>
      <c r="AM1014" s="17" t="str">
        <f>IF(SrcDB[[#This Row],[Pocet zmluv objednavatela]]&gt;3,SrcDB[[#This Row],[Objednavatel]],"Ostatné")</f>
        <v>Ostatné</v>
      </c>
      <c r="AN1014" s="17" t="str">
        <f>IF(SrcDB[[#This Row],[Pocet zmluv dodavatela]]&gt;3,SrcDB[[#This Row],[Dodavatel]],"Ostatné")</f>
        <v>ICZ Slovakia a.s.</v>
      </c>
    </row>
    <row r="1015" spans="1:40" x14ac:dyDescent="0.3">
      <c r="A1015" s="2" t="s">
        <v>1216</v>
      </c>
      <c r="B1015" s="2">
        <v>7898435</v>
      </c>
      <c r="C1015" s="3" t="str">
        <f t="shared" si="1066"/>
        <v>Áno</v>
      </c>
      <c r="D1015" s="3" t="str">
        <f t="shared" si="1067"/>
        <v>Nie</v>
      </c>
      <c r="E1015" s="3" t="s">
        <v>49</v>
      </c>
      <c r="F1015" s="3" t="s">
        <v>49</v>
      </c>
      <c r="G1015" s="2" t="str">
        <f t="shared" si="1068"/>
        <v>Malé zmluvy</v>
      </c>
      <c r="H1015" s="5">
        <v>36022047</v>
      </c>
      <c r="I1015" s="2" t="s">
        <v>1217</v>
      </c>
      <c r="J1015" s="2" t="s">
        <v>1218</v>
      </c>
      <c r="K1015" s="5">
        <v>36328057</v>
      </c>
      <c r="L1015" s="2" t="s">
        <v>1219</v>
      </c>
      <c r="M1015" s="2" t="s">
        <v>1220</v>
      </c>
      <c r="N1015" s="6">
        <v>45070.64234953704</v>
      </c>
      <c r="O1015" s="4">
        <v>405192</v>
      </c>
      <c r="P1015" s="2">
        <v>114535</v>
      </c>
      <c r="Q1015" s="2" t="s">
        <v>1221</v>
      </c>
      <c r="R1015" s="2" t="s">
        <v>1222</v>
      </c>
      <c r="S1015" s="2" t="s">
        <v>73</v>
      </c>
      <c r="T1015" s="2" t="s">
        <v>90</v>
      </c>
      <c r="W1015" s="4">
        <v>446</v>
      </c>
      <c r="X1015" s="4">
        <v>535.19999999999993</v>
      </c>
      <c r="Y1015" s="4">
        <f t="shared" ref="Y1015" si="1126">INDEX(InternalRates,MATCH($S1015,InternalRates01,FALSE),2)</f>
        <v>278.98333333333335</v>
      </c>
      <c r="Z1015" s="3" t="str">
        <f t="shared" si="1102"/>
        <v>Nie</v>
      </c>
      <c r="AA1015" s="3" t="str">
        <f t="shared" si="1103"/>
        <v>SLA+ZoD</v>
      </c>
      <c r="AB1015" s="4">
        <v>253</v>
      </c>
      <c r="AC1015" s="4">
        <v>63.25</v>
      </c>
      <c r="AD1015" s="3" t="s">
        <v>48</v>
      </c>
      <c r="AE1015" s="6">
        <v>45545</v>
      </c>
      <c r="AF1015" s="3" t="s">
        <v>59</v>
      </c>
      <c r="AG1015" s="3" t="s">
        <v>48</v>
      </c>
      <c r="AH1015" s="3">
        <f>YEAR(SrcDB[[#This Row],[Datum_zverejnenia]])</f>
        <v>2023</v>
      </c>
      <c r="AI1015" s="3" cm="1">
        <f t="array" ref="AI1015">COUNT(_xlfn.UNIQUE(_xlfn._xlws.FILTER(SrcDB[ID],SrcDB[Objednavatel_ICO]=$H1015)))</f>
        <v>1</v>
      </c>
      <c r="AJ1015" s="3" cm="1">
        <f t="array" ref="AJ1015">COUNT(_xlfn.UNIQUE(_xlfn._xlws.FILTER(SrcDB[ID],SrcDB[Dodavatel_ICO]=$K1015)))</f>
        <v>4</v>
      </c>
      <c r="AK1015" s="3">
        <f t="shared" si="1072"/>
        <v>0</v>
      </c>
      <c r="AL1015" s="3">
        <f t="shared" si="1073"/>
        <v>0</v>
      </c>
      <c r="AM1015" s="17" t="str">
        <f>IF(SrcDB[[#This Row],[Pocet zmluv objednavatela]]&gt;3,SrcDB[[#This Row],[Objednavatel]],"Ostatné")</f>
        <v>Ostatné</v>
      </c>
      <c r="AN1015" s="17" t="str">
        <f>IF(SrcDB[[#This Row],[Pocet zmluv dodavatela]]&gt;3,SrcDB[[#This Row],[Dodavatel]],"Ostatné")</f>
        <v>ICZ Slovakia a.s.</v>
      </c>
    </row>
    <row r="1016" spans="1:40" x14ac:dyDescent="0.3">
      <c r="A1016" s="2" t="s">
        <v>1216</v>
      </c>
      <c r="B1016" s="2">
        <v>7898435</v>
      </c>
      <c r="C1016" s="3" t="str">
        <f t="shared" si="1066"/>
        <v>Áno</v>
      </c>
      <c r="D1016" s="3" t="str">
        <f t="shared" si="1067"/>
        <v>Nie</v>
      </c>
      <c r="E1016" s="3" t="s">
        <v>49</v>
      </c>
      <c r="F1016" s="3" t="s">
        <v>49</v>
      </c>
      <c r="G1016" s="2" t="str">
        <f t="shared" si="1068"/>
        <v>Malé zmluvy</v>
      </c>
      <c r="H1016" s="5">
        <v>36022047</v>
      </c>
      <c r="I1016" s="2" t="s">
        <v>1217</v>
      </c>
      <c r="J1016" s="2" t="s">
        <v>1218</v>
      </c>
      <c r="K1016" s="5">
        <v>36328057</v>
      </c>
      <c r="L1016" s="2" t="s">
        <v>1219</v>
      </c>
      <c r="M1016" s="2" t="s">
        <v>1220</v>
      </c>
      <c r="N1016" s="6">
        <v>45070.64234953704</v>
      </c>
      <c r="O1016" s="4">
        <v>405192</v>
      </c>
      <c r="P1016" s="2">
        <v>114535</v>
      </c>
      <c r="Q1016" s="2" t="s">
        <v>1221</v>
      </c>
      <c r="R1016" s="2" t="s">
        <v>1222</v>
      </c>
      <c r="S1016" s="2" t="s">
        <v>56</v>
      </c>
      <c r="T1016" s="2" t="s">
        <v>1223</v>
      </c>
      <c r="U1016" s="2" t="s">
        <v>449</v>
      </c>
      <c r="W1016" s="4">
        <v>450</v>
      </c>
      <c r="X1016" s="4">
        <v>540</v>
      </c>
      <c r="Y1016" s="4">
        <f t="shared" ref="Y1016" si="1127">INDEX(InternalRates,MATCH($S1016,InternalRates01,FALSE),2)</f>
        <v>278.98333333333335</v>
      </c>
      <c r="Z1016" s="3" t="str">
        <f t="shared" si="1102"/>
        <v>Nie</v>
      </c>
      <c r="AA1016" s="3" t="str">
        <f t="shared" si="1103"/>
        <v>SLA+ZoD</v>
      </c>
      <c r="AB1016" s="4">
        <v>17</v>
      </c>
      <c r="AC1016" s="4">
        <v>4.25</v>
      </c>
      <c r="AD1016" s="3" t="s">
        <v>48</v>
      </c>
      <c r="AE1016" s="6">
        <v>45545</v>
      </c>
      <c r="AF1016" s="3" t="s">
        <v>59</v>
      </c>
      <c r="AG1016" s="3" t="s">
        <v>48</v>
      </c>
      <c r="AH1016" s="3">
        <f>YEAR(SrcDB[[#This Row],[Datum_zverejnenia]])</f>
        <v>2023</v>
      </c>
      <c r="AI1016" s="3" cm="1">
        <f t="array" ref="AI1016">COUNT(_xlfn.UNIQUE(_xlfn._xlws.FILTER(SrcDB[ID],SrcDB[Objednavatel_ICO]=$H1016)))</f>
        <v>1</v>
      </c>
      <c r="AJ1016" s="3" cm="1">
        <f t="array" ref="AJ1016">COUNT(_xlfn.UNIQUE(_xlfn._xlws.FILTER(SrcDB[ID],SrcDB[Dodavatel_ICO]=$K1016)))</f>
        <v>4</v>
      </c>
      <c r="AK1016" s="3">
        <f t="shared" si="1072"/>
        <v>0</v>
      </c>
      <c r="AL1016" s="3">
        <f t="shared" si="1073"/>
        <v>0</v>
      </c>
      <c r="AM1016" s="17" t="str">
        <f>IF(SrcDB[[#This Row],[Pocet zmluv objednavatela]]&gt;3,SrcDB[[#This Row],[Objednavatel]],"Ostatné")</f>
        <v>Ostatné</v>
      </c>
      <c r="AN1016" s="17" t="str">
        <f>IF(SrcDB[[#This Row],[Pocet zmluv dodavatela]]&gt;3,SrcDB[[#This Row],[Dodavatel]],"Ostatné")</f>
        <v>ICZ Slovakia a.s.</v>
      </c>
    </row>
    <row r="1017" spans="1:40" x14ac:dyDescent="0.3">
      <c r="A1017" s="2" t="s">
        <v>1216</v>
      </c>
      <c r="B1017" s="2">
        <v>7898435</v>
      </c>
      <c r="C1017" s="3" t="str">
        <f t="shared" si="1066"/>
        <v>Áno</v>
      </c>
      <c r="D1017" s="3" t="str">
        <f t="shared" si="1067"/>
        <v>Nie</v>
      </c>
      <c r="E1017" s="3" t="s">
        <v>49</v>
      </c>
      <c r="F1017" s="3" t="s">
        <v>49</v>
      </c>
      <c r="G1017" s="2" t="str">
        <f t="shared" si="1068"/>
        <v>Malé zmluvy</v>
      </c>
      <c r="H1017" s="5">
        <v>36022047</v>
      </c>
      <c r="I1017" s="2" t="s">
        <v>1217</v>
      </c>
      <c r="J1017" s="2" t="s">
        <v>1218</v>
      </c>
      <c r="K1017" s="5">
        <v>36328057</v>
      </c>
      <c r="L1017" s="2" t="s">
        <v>1219</v>
      </c>
      <c r="M1017" s="2" t="s">
        <v>1220</v>
      </c>
      <c r="N1017" s="6">
        <v>45070.64234953704</v>
      </c>
      <c r="O1017" s="4">
        <v>405192</v>
      </c>
      <c r="P1017" s="2">
        <v>114535</v>
      </c>
      <c r="Q1017" s="2" t="s">
        <v>1221</v>
      </c>
      <c r="R1017" s="2" t="s">
        <v>1222</v>
      </c>
      <c r="S1017" s="2" t="s">
        <v>56</v>
      </c>
      <c r="T1017" s="2" t="s">
        <v>94</v>
      </c>
      <c r="U1017" s="2" t="s">
        <v>95</v>
      </c>
      <c r="W1017" s="4">
        <v>560</v>
      </c>
      <c r="X1017" s="4">
        <v>672</v>
      </c>
      <c r="Y1017" s="4">
        <f t="shared" ref="Y1017" si="1128">INDEX(InternalRates,MATCH($S1017,InternalRates01,FALSE),2)</f>
        <v>278.98333333333335</v>
      </c>
      <c r="Z1017" s="3" t="str">
        <f t="shared" si="1102"/>
        <v>Nie</v>
      </c>
      <c r="AA1017" s="3" t="str">
        <f t="shared" si="1103"/>
        <v>SLA+ZoD</v>
      </c>
      <c r="AB1017" s="4">
        <v>11</v>
      </c>
      <c r="AC1017" s="4">
        <v>2.75</v>
      </c>
      <c r="AD1017" s="3" t="s">
        <v>48</v>
      </c>
      <c r="AE1017" s="6">
        <v>45545</v>
      </c>
      <c r="AF1017" s="3" t="s">
        <v>59</v>
      </c>
      <c r="AG1017" s="3" t="s">
        <v>48</v>
      </c>
      <c r="AH1017" s="3">
        <f>YEAR(SrcDB[[#This Row],[Datum_zverejnenia]])</f>
        <v>2023</v>
      </c>
      <c r="AI1017" s="3" cm="1">
        <f t="array" ref="AI1017">COUNT(_xlfn.UNIQUE(_xlfn._xlws.FILTER(SrcDB[ID],SrcDB[Objednavatel_ICO]=$H1017)))</f>
        <v>1</v>
      </c>
      <c r="AJ1017" s="3" cm="1">
        <f t="array" ref="AJ1017">COUNT(_xlfn.UNIQUE(_xlfn._xlws.FILTER(SrcDB[ID],SrcDB[Dodavatel_ICO]=$K1017)))</f>
        <v>4</v>
      </c>
      <c r="AK1017" s="3">
        <f t="shared" si="1072"/>
        <v>0</v>
      </c>
      <c r="AL1017" s="3">
        <f t="shared" si="1073"/>
        <v>0</v>
      </c>
      <c r="AM1017" s="17" t="str">
        <f>IF(SrcDB[[#This Row],[Pocet zmluv objednavatela]]&gt;3,SrcDB[[#This Row],[Objednavatel]],"Ostatné")</f>
        <v>Ostatné</v>
      </c>
      <c r="AN1017" s="17" t="str">
        <f>IF(SrcDB[[#This Row],[Pocet zmluv dodavatela]]&gt;3,SrcDB[[#This Row],[Dodavatel]],"Ostatné")</f>
        <v>ICZ Slovakia a.s.</v>
      </c>
    </row>
    <row r="1018" spans="1:40" x14ac:dyDescent="0.3">
      <c r="A1018" s="2" t="s">
        <v>1216</v>
      </c>
      <c r="B1018" s="2">
        <v>7898435</v>
      </c>
      <c r="C1018" s="3" t="str">
        <f t="shared" si="1066"/>
        <v>Áno</v>
      </c>
      <c r="D1018" s="3" t="str">
        <f t="shared" si="1067"/>
        <v>Nie</v>
      </c>
      <c r="E1018" s="3" t="s">
        <v>49</v>
      </c>
      <c r="F1018" s="3" t="s">
        <v>49</v>
      </c>
      <c r="G1018" s="2" t="str">
        <f t="shared" si="1068"/>
        <v>Malé zmluvy</v>
      </c>
      <c r="H1018" s="5">
        <v>36022047</v>
      </c>
      <c r="I1018" s="2" t="s">
        <v>1217</v>
      </c>
      <c r="J1018" s="2" t="s">
        <v>1218</v>
      </c>
      <c r="K1018" s="5">
        <v>36328057</v>
      </c>
      <c r="L1018" s="2" t="s">
        <v>1219</v>
      </c>
      <c r="M1018" s="2" t="s">
        <v>1220</v>
      </c>
      <c r="N1018" s="6">
        <v>45070.64234953704</v>
      </c>
      <c r="O1018" s="4">
        <v>405192</v>
      </c>
      <c r="P1018" s="2">
        <v>114535</v>
      </c>
      <c r="Q1018" s="2" t="s">
        <v>1221</v>
      </c>
      <c r="R1018" s="2" t="s">
        <v>1222</v>
      </c>
      <c r="S1018" s="2" t="s">
        <v>56</v>
      </c>
      <c r="T1018" s="2" t="s">
        <v>286</v>
      </c>
      <c r="U1018" s="2" t="s">
        <v>129</v>
      </c>
      <c r="W1018" s="4">
        <v>450</v>
      </c>
      <c r="X1018" s="4">
        <v>540</v>
      </c>
      <c r="Y1018" s="4">
        <f t="shared" ref="Y1018" si="1129">INDEX(InternalRates,MATCH($S1018,InternalRates01,FALSE),2)</f>
        <v>278.98333333333335</v>
      </c>
      <c r="Z1018" s="3" t="str">
        <f t="shared" si="1102"/>
        <v>Nie</v>
      </c>
      <c r="AA1018" s="3" t="str">
        <f t="shared" si="1103"/>
        <v>SLA+ZoD</v>
      </c>
      <c r="AB1018" s="4">
        <v>20</v>
      </c>
      <c r="AC1018" s="4">
        <v>5</v>
      </c>
      <c r="AD1018" s="3" t="s">
        <v>48</v>
      </c>
      <c r="AE1018" s="6">
        <v>45545</v>
      </c>
      <c r="AF1018" s="3" t="s">
        <v>59</v>
      </c>
      <c r="AG1018" s="3" t="s">
        <v>48</v>
      </c>
      <c r="AH1018" s="3">
        <f>YEAR(SrcDB[[#This Row],[Datum_zverejnenia]])</f>
        <v>2023</v>
      </c>
      <c r="AI1018" s="3" cm="1">
        <f t="array" ref="AI1018">COUNT(_xlfn.UNIQUE(_xlfn._xlws.FILTER(SrcDB[ID],SrcDB[Objednavatel_ICO]=$H1018)))</f>
        <v>1</v>
      </c>
      <c r="AJ1018" s="3" cm="1">
        <f t="array" ref="AJ1018">COUNT(_xlfn.UNIQUE(_xlfn._xlws.FILTER(SrcDB[ID],SrcDB[Dodavatel_ICO]=$K1018)))</f>
        <v>4</v>
      </c>
      <c r="AK1018" s="3">
        <f t="shared" si="1072"/>
        <v>0</v>
      </c>
      <c r="AL1018" s="3">
        <f t="shared" si="1073"/>
        <v>0</v>
      </c>
      <c r="AM1018" s="17" t="str">
        <f>IF(SrcDB[[#This Row],[Pocet zmluv objednavatela]]&gt;3,SrcDB[[#This Row],[Objednavatel]],"Ostatné")</f>
        <v>Ostatné</v>
      </c>
      <c r="AN1018" s="17" t="str">
        <f>IF(SrcDB[[#This Row],[Pocet zmluv dodavatela]]&gt;3,SrcDB[[#This Row],[Dodavatel]],"Ostatné")</f>
        <v>ICZ Slovakia a.s.</v>
      </c>
    </row>
    <row r="1019" spans="1:40" x14ac:dyDescent="0.3">
      <c r="A1019" s="2" t="s">
        <v>1216</v>
      </c>
      <c r="B1019" s="2">
        <v>7898435</v>
      </c>
      <c r="C1019" s="3" t="str">
        <f t="shared" si="1066"/>
        <v>Áno</v>
      </c>
      <c r="D1019" s="3" t="str">
        <f t="shared" si="1067"/>
        <v>Nie</v>
      </c>
      <c r="E1019" s="3" t="s">
        <v>49</v>
      </c>
      <c r="F1019" s="3" t="s">
        <v>49</v>
      </c>
      <c r="G1019" s="2" t="str">
        <f t="shared" si="1068"/>
        <v>Malé zmluvy</v>
      </c>
      <c r="H1019" s="5">
        <v>36022047</v>
      </c>
      <c r="I1019" s="2" t="s">
        <v>1217</v>
      </c>
      <c r="J1019" s="2" t="s">
        <v>1218</v>
      </c>
      <c r="K1019" s="5">
        <v>36328057</v>
      </c>
      <c r="L1019" s="2" t="s">
        <v>1219</v>
      </c>
      <c r="M1019" s="2" t="s">
        <v>1220</v>
      </c>
      <c r="N1019" s="6">
        <v>45070.64234953704</v>
      </c>
      <c r="O1019" s="4">
        <v>405192</v>
      </c>
      <c r="P1019" s="2">
        <v>114535</v>
      </c>
      <c r="Q1019" s="2" t="s">
        <v>1221</v>
      </c>
      <c r="R1019" s="2" t="s">
        <v>1222</v>
      </c>
      <c r="S1019" s="2" t="s">
        <v>79</v>
      </c>
      <c r="T1019" s="2" t="s">
        <v>93</v>
      </c>
      <c r="W1019" s="4">
        <v>380</v>
      </c>
      <c r="X1019" s="4">
        <v>456</v>
      </c>
      <c r="Y1019" s="4">
        <f t="shared" ref="Y1019" si="1130">INDEX(InternalRates,MATCH($S1019,InternalRates01,FALSE),2)</f>
        <v>278.98333333333335</v>
      </c>
      <c r="Z1019" s="3" t="str">
        <f t="shared" si="1102"/>
        <v>Nie</v>
      </c>
      <c r="AA1019" s="3" t="str">
        <f t="shared" si="1103"/>
        <v>SLA+ZoD</v>
      </c>
      <c r="AB1019" s="4">
        <v>75</v>
      </c>
      <c r="AC1019" s="4">
        <v>18.75</v>
      </c>
      <c r="AD1019" s="3" t="s">
        <v>48</v>
      </c>
      <c r="AE1019" s="6">
        <v>45545</v>
      </c>
      <c r="AF1019" s="3" t="s">
        <v>59</v>
      </c>
      <c r="AG1019" s="3" t="s">
        <v>48</v>
      </c>
      <c r="AH1019" s="3">
        <f>YEAR(SrcDB[[#This Row],[Datum_zverejnenia]])</f>
        <v>2023</v>
      </c>
      <c r="AI1019" s="3" cm="1">
        <f t="array" ref="AI1019">COUNT(_xlfn.UNIQUE(_xlfn._xlws.FILTER(SrcDB[ID],SrcDB[Objednavatel_ICO]=$H1019)))</f>
        <v>1</v>
      </c>
      <c r="AJ1019" s="3" cm="1">
        <f t="array" ref="AJ1019">COUNT(_xlfn.UNIQUE(_xlfn._xlws.FILTER(SrcDB[ID],SrcDB[Dodavatel_ICO]=$K1019)))</f>
        <v>4</v>
      </c>
      <c r="AK1019" s="3">
        <f t="shared" si="1072"/>
        <v>0</v>
      </c>
      <c r="AL1019" s="3">
        <f t="shared" si="1073"/>
        <v>0</v>
      </c>
      <c r="AM1019" s="17" t="str">
        <f>IF(SrcDB[[#This Row],[Pocet zmluv objednavatela]]&gt;3,SrcDB[[#This Row],[Objednavatel]],"Ostatné")</f>
        <v>Ostatné</v>
      </c>
      <c r="AN1019" s="17" t="str">
        <f>IF(SrcDB[[#This Row],[Pocet zmluv dodavatela]]&gt;3,SrcDB[[#This Row],[Dodavatel]],"Ostatné")</f>
        <v>ICZ Slovakia a.s.</v>
      </c>
    </row>
    <row r="1020" spans="1:40" x14ac:dyDescent="0.3">
      <c r="A1020" s="2" t="s">
        <v>1216</v>
      </c>
      <c r="B1020" s="2">
        <v>7898435</v>
      </c>
      <c r="C1020" s="3" t="str">
        <f t="shared" si="1066"/>
        <v>Áno</v>
      </c>
      <c r="D1020" s="3" t="str">
        <f t="shared" si="1067"/>
        <v>Nie</v>
      </c>
      <c r="E1020" s="3" t="s">
        <v>49</v>
      </c>
      <c r="F1020" s="3" t="s">
        <v>49</v>
      </c>
      <c r="G1020" s="2" t="str">
        <f t="shared" si="1068"/>
        <v>Malé zmluvy</v>
      </c>
      <c r="H1020" s="5">
        <v>36022047</v>
      </c>
      <c r="I1020" s="2" t="s">
        <v>1217</v>
      </c>
      <c r="J1020" s="2" t="s">
        <v>1218</v>
      </c>
      <c r="K1020" s="5">
        <v>36328057</v>
      </c>
      <c r="L1020" s="2" t="s">
        <v>1219</v>
      </c>
      <c r="M1020" s="2" t="s">
        <v>1220</v>
      </c>
      <c r="N1020" s="6">
        <v>45070.64234953704</v>
      </c>
      <c r="O1020" s="4">
        <v>405192</v>
      </c>
      <c r="P1020" s="2">
        <v>114535</v>
      </c>
      <c r="Q1020" s="2" t="s">
        <v>1221</v>
      </c>
      <c r="R1020" s="2" t="s">
        <v>1222</v>
      </c>
      <c r="S1020" s="2" t="s">
        <v>77</v>
      </c>
      <c r="T1020" s="2" t="s">
        <v>92</v>
      </c>
      <c r="W1020" s="4">
        <v>400</v>
      </c>
      <c r="X1020" s="4">
        <v>480</v>
      </c>
      <c r="Y1020" s="4">
        <f t="shared" ref="Y1020" si="1131">INDEX(InternalRates,MATCH($S1020,InternalRates01,FALSE),2)</f>
        <v>278.98333333333335</v>
      </c>
      <c r="Z1020" s="3" t="str">
        <f t="shared" si="1102"/>
        <v>Nie</v>
      </c>
      <c r="AA1020" s="3" t="str">
        <f t="shared" si="1103"/>
        <v>SLA+ZoD</v>
      </c>
      <c r="AB1020" s="4">
        <v>297</v>
      </c>
      <c r="AC1020" s="4">
        <v>74.25</v>
      </c>
      <c r="AD1020" s="3" t="s">
        <v>48</v>
      </c>
      <c r="AE1020" s="6">
        <v>45545</v>
      </c>
      <c r="AF1020" s="3" t="s">
        <v>59</v>
      </c>
      <c r="AG1020" s="3" t="s">
        <v>48</v>
      </c>
      <c r="AH1020" s="3">
        <f>YEAR(SrcDB[[#This Row],[Datum_zverejnenia]])</f>
        <v>2023</v>
      </c>
      <c r="AI1020" s="3" cm="1">
        <f t="array" ref="AI1020">COUNT(_xlfn.UNIQUE(_xlfn._xlws.FILTER(SrcDB[ID],SrcDB[Objednavatel_ICO]=$H1020)))</f>
        <v>1</v>
      </c>
      <c r="AJ1020" s="3" cm="1">
        <f t="array" ref="AJ1020">COUNT(_xlfn.UNIQUE(_xlfn._xlws.FILTER(SrcDB[ID],SrcDB[Dodavatel_ICO]=$K1020)))</f>
        <v>4</v>
      </c>
      <c r="AK1020" s="3">
        <f t="shared" si="1072"/>
        <v>0</v>
      </c>
      <c r="AL1020" s="3">
        <f t="shared" si="1073"/>
        <v>0</v>
      </c>
      <c r="AM1020" s="17" t="str">
        <f>IF(SrcDB[[#This Row],[Pocet zmluv objednavatela]]&gt;3,SrcDB[[#This Row],[Objednavatel]],"Ostatné")</f>
        <v>Ostatné</v>
      </c>
      <c r="AN1020" s="17" t="str">
        <f>IF(SrcDB[[#This Row],[Pocet zmluv dodavatela]]&gt;3,SrcDB[[#This Row],[Dodavatel]],"Ostatné")</f>
        <v>ICZ Slovakia a.s.</v>
      </c>
    </row>
    <row r="1021" spans="1:40" x14ac:dyDescent="0.3">
      <c r="A1021" s="2" t="s">
        <v>1216</v>
      </c>
      <c r="B1021" s="2">
        <v>7898435</v>
      </c>
      <c r="C1021" s="3" t="str">
        <f t="shared" si="1066"/>
        <v>Áno</v>
      </c>
      <c r="D1021" s="3" t="str">
        <f t="shared" si="1067"/>
        <v>Nie</v>
      </c>
      <c r="E1021" s="3" t="s">
        <v>49</v>
      </c>
      <c r="F1021" s="3" t="s">
        <v>49</v>
      </c>
      <c r="G1021" s="2" t="str">
        <f t="shared" si="1068"/>
        <v>Malé zmluvy</v>
      </c>
      <c r="H1021" s="5">
        <v>36022047</v>
      </c>
      <c r="I1021" s="2" t="s">
        <v>1217</v>
      </c>
      <c r="J1021" s="2" t="s">
        <v>1218</v>
      </c>
      <c r="K1021" s="5">
        <v>36328057</v>
      </c>
      <c r="L1021" s="2" t="s">
        <v>1219</v>
      </c>
      <c r="M1021" s="2" t="s">
        <v>1220</v>
      </c>
      <c r="N1021" s="6">
        <v>45070.64234953704</v>
      </c>
      <c r="O1021" s="4">
        <v>405192</v>
      </c>
      <c r="P1021" s="2">
        <v>114535</v>
      </c>
      <c r="Q1021" s="2" t="s">
        <v>1221</v>
      </c>
      <c r="R1021" s="2" t="s">
        <v>1222</v>
      </c>
      <c r="S1021" s="2" t="s">
        <v>56</v>
      </c>
      <c r="T1021" s="2" t="s">
        <v>96</v>
      </c>
      <c r="U1021" s="2" t="s">
        <v>97</v>
      </c>
      <c r="W1021" s="4">
        <v>450</v>
      </c>
      <c r="X1021" s="4">
        <v>540</v>
      </c>
      <c r="Y1021" s="4">
        <f t="shared" ref="Y1021" si="1132">INDEX(InternalRates,MATCH($S1021,InternalRates01,FALSE),2)</f>
        <v>278.98333333333335</v>
      </c>
      <c r="Z1021" s="3" t="str">
        <f t="shared" si="1102"/>
        <v>Nie</v>
      </c>
      <c r="AA1021" s="3" t="str">
        <f t="shared" si="1103"/>
        <v>SLA+ZoD</v>
      </c>
      <c r="AB1021" s="4">
        <v>9</v>
      </c>
      <c r="AC1021" s="4">
        <v>2.25</v>
      </c>
      <c r="AD1021" s="3" t="s">
        <v>48</v>
      </c>
      <c r="AE1021" s="6">
        <v>45545</v>
      </c>
      <c r="AF1021" s="3" t="s">
        <v>59</v>
      </c>
      <c r="AG1021" s="3" t="s">
        <v>48</v>
      </c>
      <c r="AH1021" s="3">
        <f>YEAR(SrcDB[[#This Row],[Datum_zverejnenia]])</f>
        <v>2023</v>
      </c>
      <c r="AI1021" s="3" cm="1">
        <f t="array" ref="AI1021">COUNT(_xlfn.UNIQUE(_xlfn._xlws.FILTER(SrcDB[ID],SrcDB[Objednavatel_ICO]=$H1021)))</f>
        <v>1</v>
      </c>
      <c r="AJ1021" s="3" cm="1">
        <f t="array" ref="AJ1021">COUNT(_xlfn.UNIQUE(_xlfn._xlws.FILTER(SrcDB[ID],SrcDB[Dodavatel_ICO]=$K1021)))</f>
        <v>4</v>
      </c>
      <c r="AK1021" s="3">
        <f t="shared" si="1072"/>
        <v>0</v>
      </c>
      <c r="AL1021" s="3">
        <f t="shared" si="1073"/>
        <v>0</v>
      </c>
      <c r="AM1021" s="17" t="str">
        <f>IF(SrcDB[[#This Row],[Pocet zmluv objednavatela]]&gt;3,SrcDB[[#This Row],[Objednavatel]],"Ostatné")</f>
        <v>Ostatné</v>
      </c>
      <c r="AN1021" s="17" t="str">
        <f>IF(SrcDB[[#This Row],[Pocet zmluv dodavatela]]&gt;3,SrcDB[[#This Row],[Dodavatel]],"Ostatné")</f>
        <v>ICZ Slovakia a.s.</v>
      </c>
    </row>
    <row r="1022" spans="1:40" x14ac:dyDescent="0.3">
      <c r="A1022" s="2" t="s">
        <v>1216</v>
      </c>
      <c r="B1022" s="2">
        <v>7898435</v>
      </c>
      <c r="C1022" s="3" t="str">
        <f t="shared" si="1066"/>
        <v>Áno</v>
      </c>
      <c r="D1022" s="3" t="str">
        <f t="shared" si="1067"/>
        <v>Nie</v>
      </c>
      <c r="E1022" s="3" t="s">
        <v>49</v>
      </c>
      <c r="F1022" s="3" t="s">
        <v>49</v>
      </c>
      <c r="G1022" s="2" t="str">
        <f t="shared" si="1068"/>
        <v>Malé zmluvy</v>
      </c>
      <c r="H1022" s="5">
        <v>36022047</v>
      </c>
      <c r="I1022" s="2" t="s">
        <v>1217</v>
      </c>
      <c r="J1022" s="2" t="s">
        <v>1218</v>
      </c>
      <c r="K1022" s="5">
        <v>36328057</v>
      </c>
      <c r="L1022" s="2" t="s">
        <v>1219</v>
      </c>
      <c r="M1022" s="2" t="s">
        <v>1220</v>
      </c>
      <c r="N1022" s="6">
        <v>45070.64234953704</v>
      </c>
      <c r="O1022" s="4">
        <v>405192</v>
      </c>
      <c r="P1022" s="2">
        <v>114535</v>
      </c>
      <c r="Q1022" s="2" t="s">
        <v>1221</v>
      </c>
      <c r="R1022" s="2" t="s">
        <v>1222</v>
      </c>
      <c r="S1022" s="2" t="s">
        <v>98</v>
      </c>
      <c r="T1022" s="2" t="s">
        <v>287</v>
      </c>
      <c r="W1022" s="4">
        <v>400</v>
      </c>
      <c r="X1022" s="4">
        <v>480</v>
      </c>
      <c r="Y1022" s="4">
        <f t="shared" ref="Y1022" si="1133">INDEX(InternalRates,MATCH($S1022,InternalRates01,FALSE),2)</f>
        <v>278.98333333333335</v>
      </c>
      <c r="Z1022" s="3" t="str">
        <f t="shared" si="1102"/>
        <v>Nie</v>
      </c>
      <c r="AA1022" s="3" t="str">
        <f t="shared" si="1103"/>
        <v>SLA+ZoD</v>
      </c>
      <c r="AB1022" s="4">
        <v>18</v>
      </c>
      <c r="AC1022" s="4">
        <v>4.5</v>
      </c>
      <c r="AD1022" s="3" t="s">
        <v>48</v>
      </c>
      <c r="AE1022" s="6">
        <v>45545</v>
      </c>
      <c r="AF1022" s="3" t="s">
        <v>59</v>
      </c>
      <c r="AG1022" s="3" t="s">
        <v>48</v>
      </c>
      <c r="AH1022" s="3">
        <f>YEAR(SrcDB[[#This Row],[Datum_zverejnenia]])</f>
        <v>2023</v>
      </c>
      <c r="AI1022" s="3" cm="1">
        <f t="array" ref="AI1022">COUNT(_xlfn.UNIQUE(_xlfn._xlws.FILTER(SrcDB[ID],SrcDB[Objednavatel_ICO]=$H1022)))</f>
        <v>1</v>
      </c>
      <c r="AJ1022" s="3" cm="1">
        <f t="array" ref="AJ1022">COUNT(_xlfn.UNIQUE(_xlfn._xlws.FILTER(SrcDB[ID],SrcDB[Dodavatel_ICO]=$K1022)))</f>
        <v>4</v>
      </c>
      <c r="AK1022" s="3">
        <f t="shared" si="1072"/>
        <v>0</v>
      </c>
      <c r="AL1022" s="3">
        <f t="shared" si="1073"/>
        <v>0</v>
      </c>
      <c r="AM1022" s="17" t="str">
        <f>IF(SrcDB[[#This Row],[Pocet zmluv objednavatela]]&gt;3,SrcDB[[#This Row],[Objednavatel]],"Ostatné")</f>
        <v>Ostatné</v>
      </c>
      <c r="AN1022" s="17" t="str">
        <f>IF(SrcDB[[#This Row],[Pocet zmluv dodavatela]]&gt;3,SrcDB[[#This Row],[Dodavatel]],"Ostatné")</f>
        <v>ICZ Slovakia a.s.</v>
      </c>
    </row>
    <row r="1023" spans="1:40" x14ac:dyDescent="0.3">
      <c r="A1023" s="2" t="s">
        <v>1224</v>
      </c>
      <c r="B1023" s="2">
        <v>7918893</v>
      </c>
      <c r="C1023" s="3" t="str">
        <f t="shared" si="1066"/>
        <v>Nejasné</v>
      </c>
      <c r="D1023" s="3" t="str">
        <f t="shared" si="1067"/>
        <v>Nejasné</v>
      </c>
      <c r="E1023" s="3" t="s">
        <v>48</v>
      </c>
      <c r="F1023" s="3" t="s">
        <v>49</v>
      </c>
      <c r="G1023" s="2" t="str">
        <f t="shared" si="1068"/>
        <v>Malé zmluvy</v>
      </c>
      <c r="H1023" s="5">
        <v>31364501</v>
      </c>
      <c r="I1023" s="2" t="s">
        <v>220</v>
      </c>
      <c r="J1023" s="2" t="s">
        <v>726</v>
      </c>
      <c r="K1023" s="5">
        <v>35728531</v>
      </c>
      <c r="L1023" s="2" t="s">
        <v>310</v>
      </c>
      <c r="M1023" s="2" t="s">
        <v>311</v>
      </c>
      <c r="N1023" s="6">
        <v>45076.496481481481</v>
      </c>
      <c r="O1023" s="4">
        <v>349261.8</v>
      </c>
      <c r="P1023" s="2">
        <v>114573</v>
      </c>
      <c r="Q1023" s="2" t="s">
        <v>1225</v>
      </c>
      <c r="R1023" s="2" t="s">
        <v>1226</v>
      </c>
      <c r="S1023" s="2" t="s">
        <v>183</v>
      </c>
      <c r="T1023" s="2" t="s">
        <v>1227</v>
      </c>
      <c r="W1023" s="4">
        <v>650</v>
      </c>
      <c r="X1023" s="4">
        <v>780</v>
      </c>
      <c r="Y1023" s="4">
        <f t="shared" ref="Y1023" si="1134">INDEX(InternalRates,MATCH($S1023,InternalRates01,FALSE),2)</f>
        <v>278.98333333333335</v>
      </c>
      <c r="Z1023" s="3" t="str">
        <f t="shared" si="1102"/>
        <v>Nie</v>
      </c>
      <c r="AA1023" s="3" t="str">
        <f t="shared" si="1103"/>
        <v>SLA</v>
      </c>
      <c r="AB1023" s="4">
        <v>51.47</v>
      </c>
      <c r="AC1023" s="4">
        <v>25.734999999999999</v>
      </c>
      <c r="AD1023" s="3" t="s">
        <v>48</v>
      </c>
      <c r="AE1023" s="6">
        <v>45545</v>
      </c>
      <c r="AF1023" s="3" t="s">
        <v>59</v>
      </c>
      <c r="AG1023" s="3" t="s">
        <v>48</v>
      </c>
      <c r="AH1023" s="3">
        <f>YEAR(SrcDB[[#This Row],[Datum_zverejnenia]])</f>
        <v>2023</v>
      </c>
      <c r="AI1023" s="3" cm="1">
        <f t="array" ref="AI1023">COUNT(_xlfn.UNIQUE(_xlfn._xlws.FILTER(SrcDB[ID],SrcDB[Objednavatel_ICO]=$H1023)))</f>
        <v>24</v>
      </c>
      <c r="AJ1023" s="3" cm="1">
        <f t="array" ref="AJ1023">COUNT(_xlfn.UNIQUE(_xlfn._xlws.FILTER(SrcDB[ID],SrcDB[Dodavatel_ICO]=$K1023)))</f>
        <v>8</v>
      </c>
      <c r="AK1023" s="3">
        <f t="shared" si="1072"/>
        <v>1</v>
      </c>
      <c r="AL1023" s="3">
        <f t="shared" si="1073"/>
        <v>1</v>
      </c>
      <c r="AM1023" s="17" t="str">
        <f>IF(SrcDB[[#This Row],[Pocet zmluv objednavatela]]&gt;3,SrcDB[[#This Row],[Objednavatel]],"Ostatné")</f>
        <v>Železnice Slovenskej republiky</v>
      </c>
      <c r="AN1023" s="17" t="str">
        <f>IF(SrcDB[[#This Row],[Pocet zmluv dodavatela]]&gt;3,SrcDB[[#This Row],[Dodavatel]],"Ostatné")</f>
        <v>InterWay, a.s.</v>
      </c>
    </row>
    <row r="1024" spans="1:40" x14ac:dyDescent="0.3">
      <c r="A1024" s="2" t="s">
        <v>1224</v>
      </c>
      <c r="B1024" s="2">
        <v>7918893</v>
      </c>
      <c r="C1024" s="3" t="str">
        <f t="shared" si="1066"/>
        <v>Nejasné</v>
      </c>
      <c r="D1024" s="3" t="str">
        <f t="shared" si="1067"/>
        <v>Nejasné</v>
      </c>
      <c r="E1024" s="3" t="s">
        <v>48</v>
      </c>
      <c r="F1024" s="3" t="s">
        <v>49</v>
      </c>
      <c r="G1024" s="2" t="str">
        <f t="shared" si="1068"/>
        <v>Malé zmluvy</v>
      </c>
      <c r="H1024" s="5">
        <v>31364501</v>
      </c>
      <c r="I1024" s="2" t="s">
        <v>220</v>
      </c>
      <c r="J1024" s="2" t="s">
        <v>726</v>
      </c>
      <c r="K1024" s="5">
        <v>35728531</v>
      </c>
      <c r="L1024" s="2" t="s">
        <v>310</v>
      </c>
      <c r="M1024" s="2" t="s">
        <v>311</v>
      </c>
      <c r="N1024" s="6">
        <v>45076.496481481481</v>
      </c>
      <c r="O1024" s="4">
        <v>349261.8</v>
      </c>
      <c r="P1024" s="2">
        <v>114573</v>
      </c>
      <c r="Q1024" s="2" t="s">
        <v>1225</v>
      </c>
      <c r="R1024" s="2" t="s">
        <v>1226</v>
      </c>
      <c r="S1024" s="2" t="s">
        <v>56</v>
      </c>
      <c r="T1024" s="2" t="s">
        <v>1228</v>
      </c>
      <c r="U1024" s="2" t="s">
        <v>76</v>
      </c>
      <c r="W1024" s="4">
        <v>650</v>
      </c>
      <c r="X1024" s="4">
        <v>780</v>
      </c>
      <c r="Y1024" s="4">
        <f t="shared" ref="Y1024" si="1135">INDEX(InternalRates,MATCH($S1024,InternalRates01,FALSE),2)</f>
        <v>278.98333333333335</v>
      </c>
      <c r="Z1024" s="3" t="str">
        <f t="shared" si="1102"/>
        <v>Nie</v>
      </c>
      <c r="AA1024" s="3" t="str">
        <f t="shared" si="1103"/>
        <v>SLA</v>
      </c>
      <c r="AB1024" s="4">
        <v>127.84</v>
      </c>
      <c r="AC1024" s="4">
        <v>63.92</v>
      </c>
      <c r="AD1024" s="3" t="s">
        <v>48</v>
      </c>
      <c r="AE1024" s="6">
        <v>45545</v>
      </c>
      <c r="AF1024" s="3" t="s">
        <v>59</v>
      </c>
      <c r="AG1024" s="3" t="s">
        <v>48</v>
      </c>
      <c r="AH1024" s="3">
        <f>YEAR(SrcDB[[#This Row],[Datum_zverejnenia]])</f>
        <v>2023</v>
      </c>
      <c r="AI1024" s="3" cm="1">
        <f t="array" ref="AI1024">COUNT(_xlfn.UNIQUE(_xlfn._xlws.FILTER(SrcDB[ID],SrcDB[Objednavatel_ICO]=$H1024)))</f>
        <v>24</v>
      </c>
      <c r="AJ1024" s="3" cm="1">
        <f t="array" ref="AJ1024">COUNT(_xlfn.UNIQUE(_xlfn._xlws.FILTER(SrcDB[ID],SrcDB[Dodavatel_ICO]=$K1024)))</f>
        <v>8</v>
      </c>
      <c r="AK1024" s="3">
        <f t="shared" si="1072"/>
        <v>0</v>
      </c>
      <c r="AL1024" s="3">
        <f t="shared" si="1073"/>
        <v>0</v>
      </c>
      <c r="AM1024" s="17" t="str">
        <f>IF(SrcDB[[#This Row],[Pocet zmluv objednavatela]]&gt;3,SrcDB[[#This Row],[Objednavatel]],"Ostatné")</f>
        <v>Železnice Slovenskej republiky</v>
      </c>
      <c r="AN1024" s="17" t="str">
        <f>IF(SrcDB[[#This Row],[Pocet zmluv dodavatela]]&gt;3,SrcDB[[#This Row],[Dodavatel]],"Ostatné")</f>
        <v>InterWay, a.s.</v>
      </c>
    </row>
    <row r="1025" spans="1:40" x14ac:dyDescent="0.3">
      <c r="A1025" s="2" t="s">
        <v>1229</v>
      </c>
      <c r="B1025" s="2">
        <v>7919938</v>
      </c>
      <c r="C1025" s="3" t="str">
        <f t="shared" si="1066"/>
        <v>Nie</v>
      </c>
      <c r="D1025" s="3" t="str">
        <f t="shared" si="1067"/>
        <v>Áno</v>
      </c>
      <c r="E1025" s="3" t="s">
        <v>48</v>
      </c>
      <c r="F1025" s="3" t="s">
        <v>49</v>
      </c>
      <c r="G1025" s="2" t="str">
        <f t="shared" si="1068"/>
        <v>Stredné zmluvy</v>
      </c>
      <c r="H1025" s="5">
        <v>42499500</v>
      </c>
      <c r="I1025" s="2" t="s">
        <v>464</v>
      </c>
      <c r="J1025" s="2" t="s">
        <v>465</v>
      </c>
      <c r="K1025" s="5">
        <v>35760419</v>
      </c>
      <c r="L1025" s="2" t="s">
        <v>85</v>
      </c>
      <c r="N1025" s="6">
        <v>45076.571875000001</v>
      </c>
      <c r="O1025" s="4">
        <v>3420000</v>
      </c>
      <c r="P1025" s="2">
        <v>114725</v>
      </c>
      <c r="Q1025" s="2" t="s">
        <v>1230</v>
      </c>
      <c r="R1025" s="2" t="s">
        <v>1231</v>
      </c>
      <c r="S1025" s="2" t="s">
        <v>183</v>
      </c>
      <c r="T1025" s="2" t="s">
        <v>183</v>
      </c>
      <c r="W1025" s="4">
        <v>847.72</v>
      </c>
      <c r="X1025" s="4">
        <v>1017.264</v>
      </c>
      <c r="Y1025" s="4">
        <f t="shared" ref="Y1025" si="1136">INDEX(InternalRates,MATCH($S1025,InternalRates01,FALSE),2)</f>
        <v>278.98333333333335</v>
      </c>
      <c r="Z1025" s="3" t="str">
        <f t="shared" si="1102"/>
        <v>Nie</v>
      </c>
      <c r="AA1025" s="3" t="str">
        <f t="shared" si="1103"/>
        <v>SLA</v>
      </c>
      <c r="AD1025" s="3" t="s">
        <v>48</v>
      </c>
      <c r="AE1025" s="6">
        <v>45545</v>
      </c>
      <c r="AF1025" s="3" t="s">
        <v>59</v>
      </c>
      <c r="AG1025" s="3" t="s">
        <v>60</v>
      </c>
      <c r="AH1025" s="3">
        <f>YEAR(SrcDB[[#This Row],[Datum_zverejnenia]])</f>
        <v>2023</v>
      </c>
      <c r="AI1025" s="3" cm="1">
        <f t="array" ref="AI1025">COUNT(_xlfn.UNIQUE(_xlfn._xlws.FILTER(SrcDB[ID],SrcDB[Objednavatel_ICO]=$H1025)))</f>
        <v>25</v>
      </c>
      <c r="AJ1025" s="3" cm="1">
        <f t="array" ref="AJ1025">COUNT(_xlfn.UNIQUE(_xlfn._xlws.FILTER(SrcDB[ID],SrcDB[Dodavatel_ICO]=$K1025)))</f>
        <v>34</v>
      </c>
      <c r="AK1025" s="3">
        <f t="shared" si="1072"/>
        <v>1</v>
      </c>
      <c r="AL1025" s="3">
        <f t="shared" si="1073"/>
        <v>1</v>
      </c>
      <c r="AM1025" s="17" t="str">
        <f>IF(SrcDB[[#This Row],[Pocet zmluv objednavatela]]&gt;3,SrcDB[[#This Row],[Objednavatel]],"Ostatné")</f>
        <v>Finančné riaditeľstvo SR</v>
      </c>
      <c r="AN1025" s="17" t="str">
        <f>IF(SrcDB[[#This Row],[Pocet zmluv dodavatela]]&gt;3,SrcDB[[#This Row],[Dodavatel]],"Ostatné")</f>
        <v>Asseco Central Europe, a.s.</v>
      </c>
    </row>
    <row r="1026" spans="1:40" x14ac:dyDescent="0.3">
      <c r="A1026" s="2" t="s">
        <v>1232</v>
      </c>
      <c r="B1026" s="2">
        <v>7920209</v>
      </c>
      <c r="C1026" s="3" t="str">
        <f t="shared" ref="C1026:C1089" si="1137">IF(OR(NOT(ISERROR(FIND("O DIEL",UPPER($A1026)))),NOT(ISERROR(FIND("O IMPLEM",UPPER($A1026)))))=TRUE,"Áno",IF(OR(NOT(ISERROR(FIND("PODPOR",UPPER($A1026)))),NOT(ISERROR(FIND("SLA",UPPER($A1026)))),NOT(ISERROR(FIND("SERVIS",UPPER($A1026)))))=TRUE,"Nie","Nejasné"))</f>
        <v>Nie</v>
      </c>
      <c r="D1026" s="3" t="str">
        <f t="shared" ref="D1026:D1089" si="1138">IF(OR(NOT(ISERROR(FIND("PODPOR",UPPER($A1026)))),NOT(ISERROR(FIND("SLA",UPPER($A1026)))),NOT(ISERROR(FIND("SERVIS",UPPER($A1026)))))=TRUE,"Áno",IF(OR(NOT(ISERROR(FIND("O DIEL",UPPER($A1026)))),NOT(ISERROR(FIND("O IMPLEM",UPPER($A1026)))))=TRUE,"Nie","Nejasné"))</f>
        <v>Áno</v>
      </c>
      <c r="E1026" s="3" t="s">
        <v>48</v>
      </c>
      <c r="F1026" s="3" t="s">
        <v>49</v>
      </c>
      <c r="G1026" s="2" t="str">
        <f t="shared" ref="G1026:G1089" si="1139">IF($O1026&gt;=8000000,"Veľké zmluvy",IF($O1026&gt;=1000000,"Stredné zmluvy","Malé zmluvy"))</f>
        <v>Stredné zmluvy</v>
      </c>
      <c r="H1026" s="5">
        <v>42499500</v>
      </c>
      <c r="I1026" s="2" t="s">
        <v>464</v>
      </c>
      <c r="J1026" s="2" t="s">
        <v>465</v>
      </c>
      <c r="K1026" s="5">
        <v>31385401</v>
      </c>
      <c r="L1026" s="2" t="s">
        <v>142</v>
      </c>
      <c r="N1026" s="6">
        <v>45076.591296296298</v>
      </c>
      <c r="O1026" s="4">
        <v>3847506.54</v>
      </c>
      <c r="P1026" s="2">
        <v>114725</v>
      </c>
      <c r="Q1026" s="2" t="s">
        <v>1233</v>
      </c>
      <c r="R1026" s="2" t="s">
        <v>1234</v>
      </c>
      <c r="S1026" s="2" t="s">
        <v>102</v>
      </c>
      <c r="T1026" s="2" t="s">
        <v>1235</v>
      </c>
      <c r="W1026" s="4">
        <v>410.8</v>
      </c>
      <c r="X1026" s="4">
        <v>492.96</v>
      </c>
      <c r="Y1026" s="4">
        <f t="shared" ref="Y1026" si="1140">INDEX(InternalRates,MATCH($S1026,InternalRates01,FALSE),2)</f>
        <v>278.98333333333335</v>
      </c>
      <c r="Z1026" s="3" t="str">
        <f t="shared" si="1102"/>
        <v>Nie</v>
      </c>
      <c r="AA1026" s="3" t="str">
        <f t="shared" si="1103"/>
        <v>SLA</v>
      </c>
      <c r="AD1026" s="3" t="s">
        <v>48</v>
      </c>
      <c r="AE1026" s="6">
        <v>45545</v>
      </c>
      <c r="AF1026" s="3" t="s">
        <v>59</v>
      </c>
      <c r="AG1026" s="3" t="s">
        <v>60</v>
      </c>
      <c r="AH1026" s="3">
        <f>YEAR(SrcDB[[#This Row],[Datum_zverejnenia]])</f>
        <v>2023</v>
      </c>
      <c r="AI1026" s="3" cm="1">
        <f t="array" ref="AI1026">COUNT(_xlfn.UNIQUE(_xlfn._xlws.FILTER(SrcDB[ID],SrcDB[Objednavatel_ICO]=$H1026)))</f>
        <v>25</v>
      </c>
      <c r="AJ1026" s="3" cm="1">
        <f t="array" ref="AJ1026">COUNT(_xlfn.UNIQUE(_xlfn._xlws.FILTER(SrcDB[ID],SrcDB[Dodavatel_ICO]=$K1026)))</f>
        <v>14</v>
      </c>
      <c r="AK1026" s="3">
        <f t="shared" si="1072"/>
        <v>1</v>
      </c>
      <c r="AL1026" s="3">
        <f t="shared" si="1073"/>
        <v>1</v>
      </c>
      <c r="AM1026" s="17" t="str">
        <f>IF(SrcDB[[#This Row],[Pocet zmluv objednavatela]]&gt;3,SrcDB[[#This Row],[Objednavatel]],"Ostatné")</f>
        <v>Finančné riaditeľstvo SR</v>
      </c>
      <c r="AN1026" s="17" t="str">
        <f>IF(SrcDB[[#This Row],[Pocet zmluv dodavatela]]&gt;3,SrcDB[[#This Row],[Dodavatel]],"Ostatné")</f>
        <v>DITEC, a.s.</v>
      </c>
    </row>
    <row r="1027" spans="1:40" x14ac:dyDescent="0.3">
      <c r="A1027" s="2" t="s">
        <v>1232</v>
      </c>
      <c r="B1027" s="2">
        <v>7920209</v>
      </c>
      <c r="C1027" s="3" t="str">
        <f t="shared" si="1137"/>
        <v>Nie</v>
      </c>
      <c r="D1027" s="3" t="str">
        <f t="shared" si="1138"/>
        <v>Áno</v>
      </c>
      <c r="E1027" s="3" t="s">
        <v>48</v>
      </c>
      <c r="F1027" s="3" t="s">
        <v>49</v>
      </c>
      <c r="G1027" s="2" t="str">
        <f t="shared" si="1139"/>
        <v>Stredné zmluvy</v>
      </c>
      <c r="H1027" s="5">
        <v>42499500</v>
      </c>
      <c r="I1027" s="2" t="s">
        <v>464</v>
      </c>
      <c r="J1027" s="2" t="s">
        <v>465</v>
      </c>
      <c r="K1027" s="5">
        <v>31385401</v>
      </c>
      <c r="L1027" s="2" t="s">
        <v>142</v>
      </c>
      <c r="N1027" s="6">
        <v>45076.591296296298</v>
      </c>
      <c r="O1027" s="4">
        <v>3847506.54</v>
      </c>
      <c r="P1027" s="2">
        <v>114725</v>
      </c>
      <c r="Q1027" s="2" t="s">
        <v>1233</v>
      </c>
      <c r="R1027" s="2" t="s">
        <v>1234</v>
      </c>
      <c r="S1027" s="2" t="s">
        <v>160</v>
      </c>
      <c r="T1027" s="2" t="s">
        <v>1236</v>
      </c>
      <c r="W1027" s="4">
        <v>463.2</v>
      </c>
      <c r="X1027" s="4">
        <v>555.83999999999992</v>
      </c>
      <c r="Y1027" s="4">
        <f t="shared" ref="Y1027" si="1141">INDEX(InternalRates,MATCH($S1027,InternalRates01,FALSE),2)</f>
        <v>231.85833333333335</v>
      </c>
      <c r="Z1027" s="3" t="str">
        <f t="shared" si="1102"/>
        <v>Nie</v>
      </c>
      <c r="AA1027" s="3" t="str">
        <f t="shared" si="1103"/>
        <v>SLA</v>
      </c>
      <c r="AD1027" s="3" t="s">
        <v>48</v>
      </c>
      <c r="AE1027" s="6">
        <v>45545</v>
      </c>
      <c r="AF1027" s="3" t="s">
        <v>59</v>
      </c>
      <c r="AG1027" s="3" t="s">
        <v>60</v>
      </c>
      <c r="AH1027" s="3">
        <f>YEAR(SrcDB[[#This Row],[Datum_zverejnenia]])</f>
        <v>2023</v>
      </c>
      <c r="AI1027" s="3" cm="1">
        <f t="array" ref="AI1027">COUNT(_xlfn.UNIQUE(_xlfn._xlws.FILTER(SrcDB[ID],SrcDB[Objednavatel_ICO]=$H1027)))</f>
        <v>25</v>
      </c>
      <c r="AJ1027" s="3" cm="1">
        <f t="array" ref="AJ1027">COUNT(_xlfn.UNIQUE(_xlfn._xlws.FILTER(SrcDB[ID],SrcDB[Dodavatel_ICO]=$K1027)))</f>
        <v>14</v>
      </c>
      <c r="AK1027" s="3">
        <f t="shared" si="1072"/>
        <v>0</v>
      </c>
      <c r="AL1027" s="3">
        <f t="shared" si="1073"/>
        <v>0</v>
      </c>
      <c r="AM1027" s="17" t="str">
        <f>IF(SrcDB[[#This Row],[Pocet zmluv objednavatela]]&gt;3,SrcDB[[#This Row],[Objednavatel]],"Ostatné")</f>
        <v>Finančné riaditeľstvo SR</v>
      </c>
      <c r="AN1027" s="17" t="str">
        <f>IF(SrcDB[[#This Row],[Pocet zmluv dodavatela]]&gt;3,SrcDB[[#This Row],[Dodavatel]],"Ostatné")</f>
        <v>DITEC, a.s.</v>
      </c>
    </row>
    <row r="1028" spans="1:40" x14ac:dyDescent="0.3">
      <c r="A1028" s="2" t="s">
        <v>1232</v>
      </c>
      <c r="B1028" s="2">
        <v>7920209</v>
      </c>
      <c r="C1028" s="3" t="str">
        <f t="shared" si="1137"/>
        <v>Nie</v>
      </c>
      <c r="D1028" s="3" t="str">
        <f t="shared" si="1138"/>
        <v>Áno</v>
      </c>
      <c r="E1028" s="3" t="s">
        <v>48</v>
      </c>
      <c r="F1028" s="3" t="s">
        <v>49</v>
      </c>
      <c r="G1028" s="2" t="str">
        <f t="shared" si="1139"/>
        <v>Stredné zmluvy</v>
      </c>
      <c r="H1028" s="5">
        <v>42499500</v>
      </c>
      <c r="I1028" s="2" t="s">
        <v>464</v>
      </c>
      <c r="J1028" s="2" t="s">
        <v>465</v>
      </c>
      <c r="K1028" s="5">
        <v>31385401</v>
      </c>
      <c r="L1028" s="2" t="s">
        <v>142</v>
      </c>
      <c r="N1028" s="6">
        <v>45076.591296296298</v>
      </c>
      <c r="O1028" s="4">
        <v>3847506.54</v>
      </c>
      <c r="P1028" s="2">
        <v>114725</v>
      </c>
      <c r="Q1028" s="2" t="s">
        <v>1233</v>
      </c>
      <c r="R1028" s="2" t="s">
        <v>1234</v>
      </c>
      <c r="S1028" s="2" t="s">
        <v>56</v>
      </c>
      <c r="T1028" s="2" t="s">
        <v>1237</v>
      </c>
      <c r="U1028" s="2" t="s">
        <v>129</v>
      </c>
      <c r="W1028" s="4">
        <v>546.79999999999995</v>
      </c>
      <c r="X1028" s="4">
        <v>656.16</v>
      </c>
      <c r="Y1028" s="4">
        <f t="shared" ref="Y1028" si="1142">INDEX(InternalRates,MATCH($S1028,InternalRates01,FALSE),2)</f>
        <v>278.98333333333335</v>
      </c>
      <c r="Z1028" s="3" t="str">
        <f t="shared" si="1102"/>
        <v>Nie</v>
      </c>
      <c r="AA1028" s="3" t="str">
        <f t="shared" si="1103"/>
        <v>SLA</v>
      </c>
      <c r="AD1028" s="3" t="s">
        <v>48</v>
      </c>
      <c r="AE1028" s="6">
        <v>45545</v>
      </c>
      <c r="AF1028" s="3" t="s">
        <v>59</v>
      </c>
      <c r="AG1028" s="3" t="s">
        <v>60</v>
      </c>
      <c r="AH1028" s="3">
        <f>YEAR(SrcDB[[#This Row],[Datum_zverejnenia]])</f>
        <v>2023</v>
      </c>
      <c r="AI1028" s="3" cm="1">
        <f t="array" ref="AI1028">COUNT(_xlfn.UNIQUE(_xlfn._xlws.FILTER(SrcDB[ID],SrcDB[Objednavatel_ICO]=$H1028)))</f>
        <v>25</v>
      </c>
      <c r="AJ1028" s="3" cm="1">
        <f t="array" ref="AJ1028">COUNT(_xlfn.UNIQUE(_xlfn._xlws.FILTER(SrcDB[ID],SrcDB[Dodavatel_ICO]=$K1028)))</f>
        <v>14</v>
      </c>
      <c r="AK1028" s="3">
        <f t="shared" ref="AK1028:AK1091" si="1143">IF($H1027&lt;&gt;$H1028,1,IF($B1027&lt;&gt;$B1028,1,0))</f>
        <v>0</v>
      </c>
      <c r="AL1028" s="3">
        <f t="shared" ref="AL1028:AL1091" si="1144">IF($K1027&lt;&gt;$K1028,1,IF($B1027&lt;&gt;$B1028,1,0))</f>
        <v>0</v>
      </c>
      <c r="AM1028" s="17" t="str">
        <f>IF(SrcDB[[#This Row],[Pocet zmluv objednavatela]]&gt;3,SrcDB[[#This Row],[Objednavatel]],"Ostatné")</f>
        <v>Finančné riaditeľstvo SR</v>
      </c>
      <c r="AN1028" s="17" t="str">
        <f>IF(SrcDB[[#This Row],[Pocet zmluv dodavatela]]&gt;3,SrcDB[[#This Row],[Dodavatel]],"Ostatné")</f>
        <v>DITEC, a.s.</v>
      </c>
    </row>
    <row r="1029" spans="1:40" x14ac:dyDescent="0.3">
      <c r="A1029" s="2" t="s">
        <v>1232</v>
      </c>
      <c r="B1029" s="2">
        <v>7920209</v>
      </c>
      <c r="C1029" s="3" t="str">
        <f t="shared" si="1137"/>
        <v>Nie</v>
      </c>
      <c r="D1029" s="3" t="str">
        <f t="shared" si="1138"/>
        <v>Áno</v>
      </c>
      <c r="E1029" s="3" t="s">
        <v>48</v>
      </c>
      <c r="F1029" s="3" t="s">
        <v>49</v>
      </c>
      <c r="G1029" s="2" t="str">
        <f t="shared" si="1139"/>
        <v>Stredné zmluvy</v>
      </c>
      <c r="H1029" s="5">
        <v>42499500</v>
      </c>
      <c r="I1029" s="2" t="s">
        <v>464</v>
      </c>
      <c r="J1029" s="2" t="s">
        <v>465</v>
      </c>
      <c r="K1029" s="5">
        <v>31385401</v>
      </c>
      <c r="L1029" s="2" t="s">
        <v>142</v>
      </c>
      <c r="N1029" s="6">
        <v>45076.591296296298</v>
      </c>
      <c r="O1029" s="4">
        <v>3847506.54</v>
      </c>
      <c r="P1029" s="2">
        <v>114725</v>
      </c>
      <c r="Q1029" s="2" t="s">
        <v>1233</v>
      </c>
      <c r="R1029" s="2" t="s">
        <v>1234</v>
      </c>
      <c r="S1029" s="2" t="s">
        <v>56</v>
      </c>
      <c r="T1029" s="2" t="s">
        <v>1238</v>
      </c>
      <c r="U1029" s="2" t="s">
        <v>129</v>
      </c>
      <c r="W1029" s="4">
        <v>607.6</v>
      </c>
      <c r="X1029" s="4">
        <v>729.12</v>
      </c>
      <c r="Y1029" s="4">
        <f t="shared" ref="Y1029" si="1145">INDEX(InternalRates,MATCH($S1029,InternalRates01,FALSE),2)</f>
        <v>278.98333333333335</v>
      </c>
      <c r="Z1029" s="3" t="str">
        <f t="shared" si="1102"/>
        <v>Nie</v>
      </c>
      <c r="AA1029" s="3" t="str">
        <f t="shared" si="1103"/>
        <v>SLA</v>
      </c>
      <c r="AD1029" s="3" t="s">
        <v>48</v>
      </c>
      <c r="AE1029" s="6">
        <v>45545</v>
      </c>
      <c r="AF1029" s="3" t="s">
        <v>59</v>
      </c>
      <c r="AG1029" s="3" t="s">
        <v>60</v>
      </c>
      <c r="AH1029" s="3">
        <f>YEAR(SrcDB[[#This Row],[Datum_zverejnenia]])</f>
        <v>2023</v>
      </c>
      <c r="AI1029" s="3" cm="1">
        <f t="array" ref="AI1029">COUNT(_xlfn.UNIQUE(_xlfn._xlws.FILTER(SrcDB[ID],SrcDB[Objednavatel_ICO]=$H1029)))</f>
        <v>25</v>
      </c>
      <c r="AJ1029" s="3" cm="1">
        <f t="array" ref="AJ1029">COUNT(_xlfn.UNIQUE(_xlfn._xlws.FILTER(SrcDB[ID],SrcDB[Dodavatel_ICO]=$K1029)))</f>
        <v>14</v>
      </c>
      <c r="AK1029" s="3">
        <f t="shared" si="1143"/>
        <v>0</v>
      </c>
      <c r="AL1029" s="3">
        <f t="shared" si="1144"/>
        <v>0</v>
      </c>
      <c r="AM1029" s="17" t="str">
        <f>IF(SrcDB[[#This Row],[Pocet zmluv objednavatela]]&gt;3,SrcDB[[#This Row],[Objednavatel]],"Ostatné")</f>
        <v>Finančné riaditeľstvo SR</v>
      </c>
      <c r="AN1029" s="17" t="str">
        <f>IF(SrcDB[[#This Row],[Pocet zmluv dodavatela]]&gt;3,SrcDB[[#This Row],[Dodavatel]],"Ostatné")</f>
        <v>DITEC, a.s.</v>
      </c>
    </row>
    <row r="1030" spans="1:40" x14ac:dyDescent="0.3">
      <c r="A1030" s="2" t="s">
        <v>1232</v>
      </c>
      <c r="B1030" s="2">
        <v>7920209</v>
      </c>
      <c r="C1030" s="3" t="str">
        <f t="shared" si="1137"/>
        <v>Nie</v>
      </c>
      <c r="D1030" s="3" t="str">
        <f t="shared" si="1138"/>
        <v>Áno</v>
      </c>
      <c r="E1030" s="3" t="s">
        <v>48</v>
      </c>
      <c r="F1030" s="3" t="s">
        <v>49</v>
      </c>
      <c r="G1030" s="2" t="str">
        <f t="shared" si="1139"/>
        <v>Stredné zmluvy</v>
      </c>
      <c r="H1030" s="5">
        <v>42499500</v>
      </c>
      <c r="I1030" s="2" t="s">
        <v>464</v>
      </c>
      <c r="J1030" s="2" t="s">
        <v>465</v>
      </c>
      <c r="K1030" s="5">
        <v>31385401</v>
      </c>
      <c r="L1030" s="2" t="s">
        <v>142</v>
      </c>
      <c r="N1030" s="6">
        <v>45076.591296296298</v>
      </c>
      <c r="O1030" s="4">
        <v>3847506.54</v>
      </c>
      <c r="P1030" s="2">
        <v>114725</v>
      </c>
      <c r="Q1030" s="2" t="s">
        <v>1233</v>
      </c>
      <c r="R1030" s="2" t="s">
        <v>1234</v>
      </c>
      <c r="S1030" s="2" t="s">
        <v>56</v>
      </c>
      <c r="T1030" s="2" t="s">
        <v>1239</v>
      </c>
      <c r="U1030" s="2" t="s">
        <v>129</v>
      </c>
      <c r="W1030" s="4">
        <v>630.29999999999995</v>
      </c>
      <c r="X1030" s="4">
        <v>756.3599999999999</v>
      </c>
      <c r="Y1030" s="4">
        <f t="shared" ref="Y1030" si="1146">INDEX(InternalRates,MATCH($S1030,InternalRates01,FALSE),2)</f>
        <v>278.98333333333335</v>
      </c>
      <c r="Z1030" s="3" t="str">
        <f t="shared" si="1102"/>
        <v>Nie</v>
      </c>
      <c r="AA1030" s="3" t="str">
        <f t="shared" si="1103"/>
        <v>SLA</v>
      </c>
      <c r="AD1030" s="3" t="s">
        <v>48</v>
      </c>
      <c r="AE1030" s="6">
        <v>45545</v>
      </c>
      <c r="AF1030" s="3" t="s">
        <v>59</v>
      </c>
      <c r="AG1030" s="3" t="s">
        <v>60</v>
      </c>
      <c r="AH1030" s="3">
        <f>YEAR(SrcDB[[#This Row],[Datum_zverejnenia]])</f>
        <v>2023</v>
      </c>
      <c r="AI1030" s="3" cm="1">
        <f t="array" ref="AI1030">COUNT(_xlfn.UNIQUE(_xlfn._xlws.FILTER(SrcDB[ID],SrcDB[Objednavatel_ICO]=$H1030)))</f>
        <v>25</v>
      </c>
      <c r="AJ1030" s="3" cm="1">
        <f t="array" ref="AJ1030">COUNT(_xlfn.UNIQUE(_xlfn._xlws.FILTER(SrcDB[ID],SrcDB[Dodavatel_ICO]=$K1030)))</f>
        <v>14</v>
      </c>
      <c r="AK1030" s="3">
        <f t="shared" si="1143"/>
        <v>0</v>
      </c>
      <c r="AL1030" s="3">
        <f t="shared" si="1144"/>
        <v>0</v>
      </c>
      <c r="AM1030" s="17" t="str">
        <f>IF(SrcDB[[#This Row],[Pocet zmluv objednavatela]]&gt;3,SrcDB[[#This Row],[Objednavatel]],"Ostatné")</f>
        <v>Finančné riaditeľstvo SR</v>
      </c>
      <c r="AN1030" s="17" t="str">
        <f>IF(SrcDB[[#This Row],[Pocet zmluv dodavatela]]&gt;3,SrcDB[[#This Row],[Dodavatel]],"Ostatné")</f>
        <v>DITEC, a.s.</v>
      </c>
    </row>
    <row r="1031" spans="1:40" x14ac:dyDescent="0.3">
      <c r="A1031" s="2" t="s">
        <v>1232</v>
      </c>
      <c r="B1031" s="2">
        <v>7920209</v>
      </c>
      <c r="C1031" s="3" t="str">
        <f t="shared" si="1137"/>
        <v>Nie</v>
      </c>
      <c r="D1031" s="3" t="str">
        <f t="shared" si="1138"/>
        <v>Áno</v>
      </c>
      <c r="E1031" s="3" t="s">
        <v>48</v>
      </c>
      <c r="F1031" s="3" t="s">
        <v>49</v>
      </c>
      <c r="G1031" s="2" t="str">
        <f t="shared" si="1139"/>
        <v>Stredné zmluvy</v>
      </c>
      <c r="H1031" s="5">
        <v>42499500</v>
      </c>
      <c r="I1031" s="2" t="s">
        <v>464</v>
      </c>
      <c r="J1031" s="2" t="s">
        <v>465</v>
      </c>
      <c r="K1031" s="5">
        <v>31385401</v>
      </c>
      <c r="L1031" s="2" t="s">
        <v>142</v>
      </c>
      <c r="N1031" s="6">
        <v>45076.591296296298</v>
      </c>
      <c r="O1031" s="4">
        <v>3847506.54</v>
      </c>
      <c r="P1031" s="2">
        <v>114725</v>
      </c>
      <c r="Q1031" s="2" t="s">
        <v>1233</v>
      </c>
      <c r="R1031" s="2" t="s">
        <v>1234</v>
      </c>
      <c r="S1031" s="2" t="s">
        <v>77</v>
      </c>
      <c r="T1031" s="2" t="s">
        <v>77</v>
      </c>
      <c r="W1031" s="4">
        <v>531.6</v>
      </c>
      <c r="X1031" s="4">
        <v>637.91999999999996</v>
      </c>
      <c r="Y1031" s="4">
        <f t="shared" ref="Y1031" si="1147">INDEX(InternalRates,MATCH($S1031,InternalRates01,FALSE),2)</f>
        <v>278.98333333333335</v>
      </c>
      <c r="Z1031" s="3" t="str">
        <f t="shared" si="1102"/>
        <v>Nie</v>
      </c>
      <c r="AA1031" s="3" t="str">
        <f t="shared" si="1103"/>
        <v>SLA</v>
      </c>
      <c r="AD1031" s="3" t="s">
        <v>48</v>
      </c>
      <c r="AE1031" s="6">
        <v>45545</v>
      </c>
      <c r="AF1031" s="3" t="s">
        <v>59</v>
      </c>
      <c r="AG1031" s="3" t="s">
        <v>60</v>
      </c>
      <c r="AH1031" s="3">
        <f>YEAR(SrcDB[[#This Row],[Datum_zverejnenia]])</f>
        <v>2023</v>
      </c>
      <c r="AI1031" s="3" cm="1">
        <f t="array" ref="AI1031">COUNT(_xlfn.UNIQUE(_xlfn._xlws.FILTER(SrcDB[ID],SrcDB[Objednavatel_ICO]=$H1031)))</f>
        <v>25</v>
      </c>
      <c r="AJ1031" s="3" cm="1">
        <f t="array" ref="AJ1031">COUNT(_xlfn.UNIQUE(_xlfn._xlws.FILTER(SrcDB[ID],SrcDB[Dodavatel_ICO]=$K1031)))</f>
        <v>14</v>
      </c>
      <c r="AK1031" s="3">
        <f t="shared" si="1143"/>
        <v>0</v>
      </c>
      <c r="AL1031" s="3">
        <f t="shared" si="1144"/>
        <v>0</v>
      </c>
      <c r="AM1031" s="17" t="str">
        <f>IF(SrcDB[[#This Row],[Pocet zmluv objednavatela]]&gt;3,SrcDB[[#This Row],[Objednavatel]],"Ostatné")</f>
        <v>Finančné riaditeľstvo SR</v>
      </c>
      <c r="AN1031" s="17" t="str">
        <f>IF(SrcDB[[#This Row],[Pocet zmluv dodavatela]]&gt;3,SrcDB[[#This Row],[Dodavatel]],"Ostatné")</f>
        <v>DITEC, a.s.</v>
      </c>
    </row>
    <row r="1032" spans="1:40" x14ac:dyDescent="0.3">
      <c r="A1032" s="2" t="s">
        <v>1232</v>
      </c>
      <c r="B1032" s="2">
        <v>7920209</v>
      </c>
      <c r="C1032" s="3" t="str">
        <f t="shared" si="1137"/>
        <v>Nie</v>
      </c>
      <c r="D1032" s="3" t="str">
        <f t="shared" si="1138"/>
        <v>Áno</v>
      </c>
      <c r="E1032" s="3" t="s">
        <v>48</v>
      </c>
      <c r="F1032" s="3" t="s">
        <v>49</v>
      </c>
      <c r="G1032" s="2" t="str">
        <f t="shared" si="1139"/>
        <v>Stredné zmluvy</v>
      </c>
      <c r="H1032" s="5">
        <v>42499500</v>
      </c>
      <c r="I1032" s="2" t="s">
        <v>464</v>
      </c>
      <c r="J1032" s="2" t="s">
        <v>465</v>
      </c>
      <c r="K1032" s="5">
        <v>31385401</v>
      </c>
      <c r="L1032" s="2" t="s">
        <v>142</v>
      </c>
      <c r="N1032" s="6">
        <v>45076.591296296298</v>
      </c>
      <c r="O1032" s="4">
        <v>3847506.54</v>
      </c>
      <c r="P1032" s="2">
        <v>114725</v>
      </c>
      <c r="Q1032" s="2" t="s">
        <v>1233</v>
      </c>
      <c r="R1032" s="2" t="s">
        <v>1234</v>
      </c>
      <c r="S1032" s="2" t="s">
        <v>102</v>
      </c>
      <c r="T1032" s="2" t="s">
        <v>333</v>
      </c>
      <c r="W1032" s="4">
        <v>501.2</v>
      </c>
      <c r="X1032" s="4">
        <v>601.43999999999994</v>
      </c>
      <c r="Y1032" s="4">
        <f t="shared" ref="Y1032" si="1148">INDEX(InternalRates,MATCH($S1032,InternalRates01,FALSE),2)</f>
        <v>278.98333333333335</v>
      </c>
      <c r="Z1032" s="3" t="str">
        <f t="shared" si="1102"/>
        <v>Nie</v>
      </c>
      <c r="AA1032" s="3" t="str">
        <f t="shared" si="1103"/>
        <v>SLA</v>
      </c>
      <c r="AD1032" s="3" t="s">
        <v>48</v>
      </c>
      <c r="AE1032" s="6">
        <v>45545</v>
      </c>
      <c r="AF1032" s="3" t="s">
        <v>59</v>
      </c>
      <c r="AG1032" s="3" t="s">
        <v>60</v>
      </c>
      <c r="AH1032" s="3">
        <f>YEAR(SrcDB[[#This Row],[Datum_zverejnenia]])</f>
        <v>2023</v>
      </c>
      <c r="AI1032" s="3" cm="1">
        <f t="array" ref="AI1032">COUNT(_xlfn.UNIQUE(_xlfn._xlws.FILTER(SrcDB[ID],SrcDB[Objednavatel_ICO]=$H1032)))</f>
        <v>25</v>
      </c>
      <c r="AJ1032" s="3" cm="1">
        <f t="array" ref="AJ1032">COUNT(_xlfn.UNIQUE(_xlfn._xlws.FILTER(SrcDB[ID],SrcDB[Dodavatel_ICO]=$K1032)))</f>
        <v>14</v>
      </c>
      <c r="AK1032" s="3">
        <f t="shared" si="1143"/>
        <v>0</v>
      </c>
      <c r="AL1032" s="3">
        <f t="shared" si="1144"/>
        <v>0</v>
      </c>
      <c r="AM1032" s="17" t="str">
        <f>IF(SrcDB[[#This Row],[Pocet zmluv objednavatela]]&gt;3,SrcDB[[#This Row],[Objednavatel]],"Ostatné")</f>
        <v>Finančné riaditeľstvo SR</v>
      </c>
      <c r="AN1032" s="17" t="str">
        <f>IF(SrcDB[[#This Row],[Pocet zmluv dodavatela]]&gt;3,SrcDB[[#This Row],[Dodavatel]],"Ostatné")</f>
        <v>DITEC, a.s.</v>
      </c>
    </row>
    <row r="1033" spans="1:40" x14ac:dyDescent="0.3">
      <c r="A1033" s="2" t="s">
        <v>1232</v>
      </c>
      <c r="B1033" s="2">
        <v>7920209</v>
      </c>
      <c r="C1033" s="3" t="str">
        <f t="shared" si="1137"/>
        <v>Nie</v>
      </c>
      <c r="D1033" s="3" t="str">
        <f t="shared" si="1138"/>
        <v>Áno</v>
      </c>
      <c r="E1033" s="3" t="s">
        <v>48</v>
      </c>
      <c r="F1033" s="3" t="s">
        <v>49</v>
      </c>
      <c r="G1033" s="2" t="str">
        <f t="shared" si="1139"/>
        <v>Stredné zmluvy</v>
      </c>
      <c r="H1033" s="5">
        <v>42499500</v>
      </c>
      <c r="I1033" s="2" t="s">
        <v>464</v>
      </c>
      <c r="J1033" s="2" t="s">
        <v>465</v>
      </c>
      <c r="K1033" s="5">
        <v>31385401</v>
      </c>
      <c r="L1033" s="2" t="s">
        <v>142</v>
      </c>
      <c r="N1033" s="6">
        <v>45076.591296296298</v>
      </c>
      <c r="O1033" s="4">
        <v>3847506.54</v>
      </c>
      <c r="P1033" s="2">
        <v>114725</v>
      </c>
      <c r="Q1033" s="2" t="s">
        <v>1233</v>
      </c>
      <c r="R1033" s="2" t="s">
        <v>1234</v>
      </c>
      <c r="S1033" s="2" t="s">
        <v>69</v>
      </c>
      <c r="T1033" s="2" t="s">
        <v>70</v>
      </c>
      <c r="W1033" s="4">
        <v>658.4</v>
      </c>
      <c r="X1033" s="4">
        <v>790.07999999999993</v>
      </c>
      <c r="Y1033" s="4">
        <f t="shared" ref="Y1033" si="1149">INDEX(InternalRates,MATCH($S1033,InternalRates01,FALSE),2)</f>
        <v>278.98333333333335</v>
      </c>
      <c r="Z1033" s="3" t="str">
        <f t="shared" si="1102"/>
        <v>Nie</v>
      </c>
      <c r="AA1033" s="3" t="str">
        <f t="shared" si="1103"/>
        <v>SLA</v>
      </c>
      <c r="AD1033" s="3" t="s">
        <v>48</v>
      </c>
      <c r="AE1033" s="6">
        <v>45545</v>
      </c>
      <c r="AF1033" s="3" t="s">
        <v>59</v>
      </c>
      <c r="AG1033" s="3" t="s">
        <v>60</v>
      </c>
      <c r="AH1033" s="3">
        <f>YEAR(SrcDB[[#This Row],[Datum_zverejnenia]])</f>
        <v>2023</v>
      </c>
      <c r="AI1033" s="3" cm="1">
        <f t="array" ref="AI1033">COUNT(_xlfn.UNIQUE(_xlfn._xlws.FILTER(SrcDB[ID],SrcDB[Objednavatel_ICO]=$H1033)))</f>
        <v>25</v>
      </c>
      <c r="AJ1033" s="3" cm="1">
        <f t="array" ref="AJ1033">COUNT(_xlfn.UNIQUE(_xlfn._xlws.FILTER(SrcDB[ID],SrcDB[Dodavatel_ICO]=$K1033)))</f>
        <v>14</v>
      </c>
      <c r="AK1033" s="3">
        <f t="shared" si="1143"/>
        <v>0</v>
      </c>
      <c r="AL1033" s="3">
        <f t="shared" si="1144"/>
        <v>0</v>
      </c>
      <c r="AM1033" s="17" t="str">
        <f>IF(SrcDB[[#This Row],[Pocet zmluv objednavatela]]&gt;3,SrcDB[[#This Row],[Objednavatel]],"Ostatné")</f>
        <v>Finančné riaditeľstvo SR</v>
      </c>
      <c r="AN1033" s="17" t="str">
        <f>IF(SrcDB[[#This Row],[Pocet zmluv dodavatela]]&gt;3,SrcDB[[#This Row],[Dodavatel]],"Ostatné")</f>
        <v>DITEC, a.s.</v>
      </c>
    </row>
    <row r="1034" spans="1:40" x14ac:dyDescent="0.3">
      <c r="A1034" s="2" t="s">
        <v>1240</v>
      </c>
      <c r="B1034" s="2">
        <v>7927278</v>
      </c>
      <c r="C1034" s="3" t="str">
        <f t="shared" si="1137"/>
        <v>Nie</v>
      </c>
      <c r="D1034" s="3" t="str">
        <f t="shared" si="1138"/>
        <v>Áno</v>
      </c>
      <c r="E1034" s="3" t="s">
        <v>48</v>
      </c>
      <c r="F1034" s="3" t="s">
        <v>49</v>
      </c>
      <c r="G1034" s="2" t="str">
        <f t="shared" si="1139"/>
        <v>Stredné zmluvy</v>
      </c>
      <c r="H1034" s="5">
        <v>30794536</v>
      </c>
      <c r="I1034" s="2" t="s">
        <v>308</v>
      </c>
      <c r="J1034" s="2" t="s">
        <v>1241</v>
      </c>
      <c r="K1034" s="5">
        <v>36785512</v>
      </c>
      <c r="L1034" s="2" t="s">
        <v>700</v>
      </c>
      <c r="M1034" s="2" t="s">
        <v>1242</v>
      </c>
      <c r="N1034" s="6">
        <v>45077.632962962962</v>
      </c>
      <c r="O1034" s="4">
        <v>4511644.8</v>
      </c>
      <c r="P1034" s="2">
        <v>114533</v>
      </c>
      <c r="Q1034" s="2" t="s">
        <v>1243</v>
      </c>
      <c r="R1034" s="2" t="s">
        <v>1244</v>
      </c>
      <c r="S1034" s="2" t="s">
        <v>183</v>
      </c>
      <c r="T1034" s="2" t="s">
        <v>183</v>
      </c>
      <c r="W1034" s="4">
        <v>776</v>
      </c>
      <c r="X1034" s="4">
        <v>931.19999999999993</v>
      </c>
      <c r="Y1034" s="4">
        <f t="shared" ref="Y1034" si="1150">INDEX(InternalRates,MATCH($S1034,InternalRates01,FALSE),2)</f>
        <v>278.98333333333335</v>
      </c>
      <c r="Z1034" s="3" t="str">
        <f t="shared" si="1102"/>
        <v>Nie</v>
      </c>
      <c r="AA1034" s="3" t="str">
        <f t="shared" si="1103"/>
        <v>SLA</v>
      </c>
      <c r="AB1034" s="4">
        <v>2304</v>
      </c>
      <c r="AC1034" s="4">
        <v>576</v>
      </c>
      <c r="AD1034" s="3" t="s">
        <v>48</v>
      </c>
      <c r="AE1034" s="6">
        <v>45545</v>
      </c>
      <c r="AF1034" s="3" t="s">
        <v>59</v>
      </c>
      <c r="AG1034" s="3" t="s">
        <v>48</v>
      </c>
      <c r="AH1034" s="3">
        <f>YEAR(SrcDB[[#This Row],[Datum_zverejnenia]])</f>
        <v>2023</v>
      </c>
      <c r="AI1034" s="3" cm="1">
        <f t="array" ref="AI1034">COUNT(_xlfn.UNIQUE(_xlfn._xlws.FILTER(SrcDB[ID],SrcDB[Objednavatel_ICO]=$H1034)))</f>
        <v>2</v>
      </c>
      <c r="AJ1034" s="3" cm="1">
        <f t="array" ref="AJ1034">COUNT(_xlfn.UNIQUE(_xlfn._xlws.FILTER(SrcDB[ID],SrcDB[Dodavatel_ICO]=$K1034)))</f>
        <v>7</v>
      </c>
      <c r="AK1034" s="3">
        <f t="shared" si="1143"/>
        <v>1</v>
      </c>
      <c r="AL1034" s="3">
        <f t="shared" si="1144"/>
        <v>1</v>
      </c>
      <c r="AM1034" s="17" t="str">
        <f>IF(SrcDB[[#This Row],[Pocet zmluv objednavatela]]&gt;3,SrcDB[[#This Row],[Objednavatel]],"Ostatné")</f>
        <v>Ostatné</v>
      </c>
      <c r="AN1034" s="17" t="str">
        <f>IF(SrcDB[[#This Row],[Pocet zmluv dodavatela]]&gt;3,SrcDB[[#This Row],[Dodavatel]],"Ostatné")</f>
        <v>SOFTIP, a. s.</v>
      </c>
    </row>
    <row r="1035" spans="1:40" x14ac:dyDescent="0.3">
      <c r="A1035" s="2" t="s">
        <v>1245</v>
      </c>
      <c r="B1035" s="2">
        <v>7944291</v>
      </c>
      <c r="C1035" s="3" t="str">
        <f t="shared" si="1137"/>
        <v>Nie</v>
      </c>
      <c r="D1035" s="3" t="str">
        <f t="shared" si="1138"/>
        <v>Áno</v>
      </c>
      <c r="E1035" s="3" t="s">
        <v>48</v>
      </c>
      <c r="F1035" s="3" t="s">
        <v>49</v>
      </c>
      <c r="G1035" s="2" t="str">
        <f t="shared" si="1139"/>
        <v>Malé zmluvy</v>
      </c>
      <c r="H1035" s="5">
        <v>42499500</v>
      </c>
      <c r="I1035" s="2" t="s">
        <v>464</v>
      </c>
      <c r="J1035" s="2" t="s">
        <v>465</v>
      </c>
      <c r="K1035" s="5">
        <v>35760419</v>
      </c>
      <c r="L1035" s="2" t="s">
        <v>85</v>
      </c>
      <c r="N1035" s="6">
        <v>45082.558541666665</v>
      </c>
      <c r="O1035" s="4">
        <v>993114.72</v>
      </c>
      <c r="P1035" s="2">
        <v>114725</v>
      </c>
      <c r="Q1035" s="2" t="s">
        <v>1246</v>
      </c>
      <c r="R1035" s="2" t="s">
        <v>1247</v>
      </c>
      <c r="S1035" s="2" t="s">
        <v>183</v>
      </c>
      <c r="T1035" s="2" t="s">
        <v>183</v>
      </c>
      <c r="W1035" s="4">
        <v>649.096</v>
      </c>
      <c r="X1035" s="4">
        <v>778.91520000000003</v>
      </c>
      <c r="Y1035" s="4">
        <f t="shared" ref="Y1035" si="1151">INDEX(InternalRates,MATCH($S1035,InternalRates01,FALSE),2)</f>
        <v>278.98333333333335</v>
      </c>
      <c r="Z1035" s="3" t="str">
        <f t="shared" si="1102"/>
        <v>Nie</v>
      </c>
      <c r="AA1035" s="3" t="str">
        <f t="shared" si="1103"/>
        <v>SLA</v>
      </c>
      <c r="AB1035" s="4">
        <v>1700</v>
      </c>
      <c r="AD1035" s="3" t="s">
        <v>48</v>
      </c>
      <c r="AE1035" s="6">
        <v>45545</v>
      </c>
      <c r="AF1035" s="3" t="s">
        <v>59</v>
      </c>
      <c r="AG1035" s="3" t="s">
        <v>60</v>
      </c>
      <c r="AH1035" s="3">
        <f>YEAR(SrcDB[[#This Row],[Datum_zverejnenia]])</f>
        <v>2023</v>
      </c>
      <c r="AI1035" s="3" cm="1">
        <f t="array" ref="AI1035">COUNT(_xlfn.UNIQUE(_xlfn._xlws.FILTER(SrcDB[ID],SrcDB[Objednavatel_ICO]=$H1035)))</f>
        <v>25</v>
      </c>
      <c r="AJ1035" s="3" cm="1">
        <f t="array" ref="AJ1035">COUNT(_xlfn.UNIQUE(_xlfn._xlws.FILTER(SrcDB[ID],SrcDB[Dodavatel_ICO]=$K1035)))</f>
        <v>34</v>
      </c>
      <c r="AK1035" s="3">
        <f t="shared" si="1143"/>
        <v>1</v>
      </c>
      <c r="AL1035" s="3">
        <f t="shared" si="1144"/>
        <v>1</v>
      </c>
      <c r="AM1035" s="17" t="str">
        <f>IF(SrcDB[[#This Row],[Pocet zmluv objednavatela]]&gt;3,SrcDB[[#This Row],[Objednavatel]],"Ostatné")</f>
        <v>Finančné riaditeľstvo SR</v>
      </c>
      <c r="AN1035" s="17" t="str">
        <f>IF(SrcDB[[#This Row],[Pocet zmluv dodavatela]]&gt;3,SrcDB[[#This Row],[Dodavatel]],"Ostatné")</f>
        <v>Asseco Central Europe, a.s.</v>
      </c>
    </row>
    <row r="1036" spans="1:40" x14ac:dyDescent="0.3">
      <c r="A1036" s="2" t="s">
        <v>1248</v>
      </c>
      <c r="B1036" s="2">
        <v>7960017</v>
      </c>
      <c r="C1036" s="3" t="str">
        <f t="shared" si="1137"/>
        <v>Nie</v>
      </c>
      <c r="D1036" s="3" t="str">
        <f t="shared" si="1138"/>
        <v>Áno</v>
      </c>
      <c r="E1036" s="3" t="s">
        <v>48</v>
      </c>
      <c r="F1036" s="3" t="s">
        <v>49</v>
      </c>
      <c r="G1036" s="2" t="str">
        <f t="shared" si="1139"/>
        <v>Malé zmluvy</v>
      </c>
      <c r="H1036" s="5">
        <v>36631124</v>
      </c>
      <c r="I1036" s="2" t="s">
        <v>104</v>
      </c>
      <c r="J1036" s="2" t="s">
        <v>105</v>
      </c>
      <c r="K1036" s="5">
        <v>31361552</v>
      </c>
      <c r="L1036" s="2" t="s">
        <v>65</v>
      </c>
      <c r="M1036" s="2" t="s">
        <v>1249</v>
      </c>
      <c r="N1036" s="6">
        <v>45085.570057870369</v>
      </c>
      <c r="O1036" s="4">
        <v>252000</v>
      </c>
      <c r="P1036" s="2">
        <v>114573</v>
      </c>
      <c r="Q1036" s="2" t="s">
        <v>1250</v>
      </c>
      <c r="R1036" s="2" t="s">
        <v>1251</v>
      </c>
      <c r="S1036" s="2" t="s">
        <v>71</v>
      </c>
      <c r="T1036" s="2" t="s">
        <v>320</v>
      </c>
      <c r="W1036" s="4">
        <v>720</v>
      </c>
      <c r="X1036" s="4">
        <v>864</v>
      </c>
      <c r="Y1036" s="4">
        <f t="shared" ref="Y1036" si="1152">INDEX(InternalRates,MATCH($S1036,InternalRates01,FALSE),2)</f>
        <v>354.0333333333333</v>
      </c>
      <c r="Z1036" s="3" t="str">
        <f t="shared" si="1102"/>
        <v>Nie</v>
      </c>
      <c r="AA1036" s="3" t="str">
        <f t="shared" si="1103"/>
        <v>SLA</v>
      </c>
      <c r="AD1036" s="3" t="s">
        <v>48</v>
      </c>
      <c r="AE1036" s="6">
        <v>45545</v>
      </c>
      <c r="AF1036" s="3" t="s">
        <v>59</v>
      </c>
      <c r="AG1036" s="3" t="s">
        <v>60</v>
      </c>
      <c r="AH1036" s="3">
        <f>YEAR(SrcDB[[#This Row],[Datum_zverejnenia]])</f>
        <v>2023</v>
      </c>
      <c r="AI1036" s="3" cm="1">
        <f t="array" ref="AI1036">COUNT(_xlfn.UNIQUE(_xlfn._xlws.FILTER(SrcDB[ID],SrcDB[Objednavatel_ICO]=$H1036)))</f>
        <v>17</v>
      </c>
      <c r="AJ1036" s="3" cm="1">
        <f t="array" ref="AJ1036">COUNT(_xlfn.UNIQUE(_xlfn._xlws.FILTER(SrcDB[ID],SrcDB[Dodavatel_ICO]=$K1036)))</f>
        <v>4</v>
      </c>
      <c r="AK1036" s="3">
        <f t="shared" si="1143"/>
        <v>1</v>
      </c>
      <c r="AL1036" s="3">
        <f t="shared" si="1144"/>
        <v>1</v>
      </c>
      <c r="AM1036" s="17" t="str">
        <f>IF(SrcDB[[#This Row],[Pocet zmluv objednavatela]]&gt;3,SrcDB[[#This Row],[Objednavatel]],"Ostatné")</f>
        <v>Slovenská pošta, a. s.</v>
      </c>
      <c r="AN1036" s="17" t="str">
        <f>IF(SrcDB[[#This Row],[Pocet zmluv dodavatela]]&gt;3,SrcDB[[#This Row],[Dodavatel]],"Ostatné")</f>
        <v>ANASOFT APR, spol. s r.o.</v>
      </c>
    </row>
    <row r="1037" spans="1:40" x14ac:dyDescent="0.3">
      <c r="A1037" s="2" t="s">
        <v>1248</v>
      </c>
      <c r="B1037" s="2">
        <v>7960017</v>
      </c>
      <c r="C1037" s="3" t="str">
        <f t="shared" si="1137"/>
        <v>Nie</v>
      </c>
      <c r="D1037" s="3" t="str">
        <f t="shared" si="1138"/>
        <v>Áno</v>
      </c>
      <c r="E1037" s="3" t="s">
        <v>48</v>
      </c>
      <c r="F1037" s="3" t="s">
        <v>49</v>
      </c>
      <c r="G1037" s="2" t="str">
        <f t="shared" si="1139"/>
        <v>Malé zmluvy</v>
      </c>
      <c r="H1037" s="5">
        <v>36631124</v>
      </c>
      <c r="I1037" s="2" t="s">
        <v>104</v>
      </c>
      <c r="J1037" s="2" t="s">
        <v>105</v>
      </c>
      <c r="K1037" s="5">
        <v>31361552</v>
      </c>
      <c r="L1037" s="2" t="s">
        <v>65</v>
      </c>
      <c r="M1037" s="2" t="s">
        <v>1249</v>
      </c>
      <c r="N1037" s="6">
        <v>45085.570057870369</v>
      </c>
      <c r="O1037" s="4">
        <v>252000</v>
      </c>
      <c r="P1037" s="2">
        <v>114573</v>
      </c>
      <c r="Q1037" s="2" t="s">
        <v>1250</v>
      </c>
      <c r="R1037" s="2" t="s">
        <v>1251</v>
      </c>
      <c r="S1037" s="2" t="s">
        <v>69</v>
      </c>
      <c r="T1037" s="2" t="s">
        <v>69</v>
      </c>
      <c r="W1037" s="4">
        <v>720</v>
      </c>
      <c r="X1037" s="4">
        <v>864</v>
      </c>
      <c r="Y1037" s="4">
        <f t="shared" ref="Y1037" si="1153">INDEX(InternalRates,MATCH($S1037,InternalRates01,FALSE),2)</f>
        <v>278.98333333333335</v>
      </c>
      <c r="Z1037" s="3" t="str">
        <f t="shared" si="1102"/>
        <v>Nie</v>
      </c>
      <c r="AA1037" s="3" t="str">
        <f t="shared" si="1103"/>
        <v>SLA</v>
      </c>
      <c r="AD1037" s="3" t="s">
        <v>48</v>
      </c>
      <c r="AE1037" s="6">
        <v>45545</v>
      </c>
      <c r="AF1037" s="3" t="s">
        <v>59</v>
      </c>
      <c r="AG1037" s="3" t="s">
        <v>60</v>
      </c>
      <c r="AH1037" s="3">
        <f>YEAR(SrcDB[[#This Row],[Datum_zverejnenia]])</f>
        <v>2023</v>
      </c>
      <c r="AI1037" s="3" cm="1">
        <f t="array" ref="AI1037">COUNT(_xlfn.UNIQUE(_xlfn._xlws.FILTER(SrcDB[ID],SrcDB[Objednavatel_ICO]=$H1037)))</f>
        <v>17</v>
      </c>
      <c r="AJ1037" s="3" cm="1">
        <f t="array" ref="AJ1037">COUNT(_xlfn.UNIQUE(_xlfn._xlws.FILTER(SrcDB[ID],SrcDB[Dodavatel_ICO]=$K1037)))</f>
        <v>4</v>
      </c>
      <c r="AK1037" s="3">
        <f t="shared" si="1143"/>
        <v>0</v>
      </c>
      <c r="AL1037" s="3">
        <f t="shared" si="1144"/>
        <v>0</v>
      </c>
      <c r="AM1037" s="17" t="str">
        <f>IF(SrcDB[[#This Row],[Pocet zmluv objednavatela]]&gt;3,SrcDB[[#This Row],[Objednavatel]],"Ostatné")</f>
        <v>Slovenská pošta, a. s.</v>
      </c>
      <c r="AN1037" s="17" t="str">
        <f>IF(SrcDB[[#This Row],[Pocet zmluv dodavatela]]&gt;3,SrcDB[[#This Row],[Dodavatel]],"Ostatné")</f>
        <v>ANASOFT APR, spol. s r.o.</v>
      </c>
    </row>
    <row r="1038" spans="1:40" x14ac:dyDescent="0.3">
      <c r="A1038" s="2" t="s">
        <v>1248</v>
      </c>
      <c r="B1038" s="2">
        <v>7960017</v>
      </c>
      <c r="C1038" s="3" t="str">
        <f t="shared" si="1137"/>
        <v>Nie</v>
      </c>
      <c r="D1038" s="3" t="str">
        <f t="shared" si="1138"/>
        <v>Áno</v>
      </c>
      <c r="E1038" s="3" t="s">
        <v>48</v>
      </c>
      <c r="F1038" s="3" t="s">
        <v>49</v>
      </c>
      <c r="G1038" s="2" t="str">
        <f t="shared" si="1139"/>
        <v>Malé zmluvy</v>
      </c>
      <c r="H1038" s="5">
        <v>36631124</v>
      </c>
      <c r="I1038" s="2" t="s">
        <v>104</v>
      </c>
      <c r="J1038" s="2" t="s">
        <v>105</v>
      </c>
      <c r="K1038" s="5">
        <v>31361552</v>
      </c>
      <c r="L1038" s="2" t="s">
        <v>65</v>
      </c>
      <c r="M1038" s="2" t="s">
        <v>1249</v>
      </c>
      <c r="N1038" s="6">
        <v>45085.570057870369</v>
      </c>
      <c r="O1038" s="4">
        <v>252000</v>
      </c>
      <c r="P1038" s="2">
        <v>114573</v>
      </c>
      <c r="Q1038" s="2" t="s">
        <v>1250</v>
      </c>
      <c r="R1038" s="2" t="s">
        <v>1251</v>
      </c>
      <c r="S1038" s="2" t="s">
        <v>56</v>
      </c>
      <c r="T1038" s="2" t="s">
        <v>110</v>
      </c>
      <c r="U1038" s="2" t="s">
        <v>449</v>
      </c>
      <c r="W1038" s="4">
        <v>640</v>
      </c>
      <c r="X1038" s="4">
        <v>768</v>
      </c>
      <c r="Y1038" s="4">
        <f t="shared" ref="Y1038" si="1154">INDEX(InternalRates,MATCH($S1038,InternalRates01,FALSE),2)</f>
        <v>278.98333333333335</v>
      </c>
      <c r="Z1038" s="3" t="str">
        <f t="shared" si="1102"/>
        <v>Nie</v>
      </c>
      <c r="AA1038" s="3" t="str">
        <f t="shared" si="1103"/>
        <v>SLA</v>
      </c>
      <c r="AD1038" s="3" t="s">
        <v>48</v>
      </c>
      <c r="AE1038" s="6">
        <v>45545</v>
      </c>
      <c r="AF1038" s="3" t="s">
        <v>59</v>
      </c>
      <c r="AG1038" s="3" t="s">
        <v>60</v>
      </c>
      <c r="AH1038" s="3">
        <f>YEAR(SrcDB[[#This Row],[Datum_zverejnenia]])</f>
        <v>2023</v>
      </c>
      <c r="AI1038" s="3" cm="1">
        <f t="array" ref="AI1038">COUNT(_xlfn.UNIQUE(_xlfn._xlws.FILTER(SrcDB[ID],SrcDB[Objednavatel_ICO]=$H1038)))</f>
        <v>17</v>
      </c>
      <c r="AJ1038" s="3" cm="1">
        <f t="array" ref="AJ1038">COUNT(_xlfn.UNIQUE(_xlfn._xlws.FILTER(SrcDB[ID],SrcDB[Dodavatel_ICO]=$K1038)))</f>
        <v>4</v>
      </c>
      <c r="AK1038" s="3">
        <f t="shared" si="1143"/>
        <v>0</v>
      </c>
      <c r="AL1038" s="3">
        <f t="shared" si="1144"/>
        <v>0</v>
      </c>
      <c r="AM1038" s="17" t="str">
        <f>IF(SrcDB[[#This Row],[Pocet zmluv objednavatela]]&gt;3,SrcDB[[#This Row],[Objednavatel]],"Ostatné")</f>
        <v>Slovenská pošta, a. s.</v>
      </c>
      <c r="AN1038" s="17" t="str">
        <f>IF(SrcDB[[#This Row],[Pocet zmluv dodavatela]]&gt;3,SrcDB[[#This Row],[Dodavatel]],"Ostatné")</f>
        <v>ANASOFT APR, spol. s r.o.</v>
      </c>
    </row>
    <row r="1039" spans="1:40" x14ac:dyDescent="0.3">
      <c r="A1039" s="2" t="s">
        <v>1248</v>
      </c>
      <c r="B1039" s="2">
        <v>7960017</v>
      </c>
      <c r="C1039" s="3" t="str">
        <f t="shared" si="1137"/>
        <v>Nie</v>
      </c>
      <c r="D1039" s="3" t="str">
        <f t="shared" si="1138"/>
        <v>Áno</v>
      </c>
      <c r="E1039" s="3" t="s">
        <v>48</v>
      </c>
      <c r="F1039" s="3" t="s">
        <v>49</v>
      </c>
      <c r="G1039" s="2" t="str">
        <f t="shared" si="1139"/>
        <v>Malé zmluvy</v>
      </c>
      <c r="H1039" s="5">
        <v>36631124</v>
      </c>
      <c r="I1039" s="2" t="s">
        <v>104</v>
      </c>
      <c r="J1039" s="2" t="s">
        <v>105</v>
      </c>
      <c r="K1039" s="5">
        <v>31361552</v>
      </c>
      <c r="L1039" s="2" t="s">
        <v>65</v>
      </c>
      <c r="M1039" s="2" t="s">
        <v>1249</v>
      </c>
      <c r="N1039" s="6">
        <v>45085.570057870369</v>
      </c>
      <c r="O1039" s="4">
        <v>252000</v>
      </c>
      <c r="P1039" s="2">
        <v>114573</v>
      </c>
      <c r="Q1039" s="2" t="s">
        <v>1250</v>
      </c>
      <c r="R1039" s="2" t="s">
        <v>1251</v>
      </c>
      <c r="S1039" s="2" t="s">
        <v>102</v>
      </c>
      <c r="T1039" s="2" t="s">
        <v>1252</v>
      </c>
      <c r="W1039" s="4">
        <v>640</v>
      </c>
      <c r="X1039" s="4">
        <v>768</v>
      </c>
      <c r="Y1039" s="4">
        <f t="shared" ref="Y1039" si="1155">INDEX(InternalRates,MATCH($S1039,InternalRates01,FALSE),2)</f>
        <v>278.98333333333335</v>
      </c>
      <c r="Z1039" s="3" t="str">
        <f t="shared" si="1102"/>
        <v>Nie</v>
      </c>
      <c r="AA1039" s="3" t="str">
        <f t="shared" si="1103"/>
        <v>SLA</v>
      </c>
      <c r="AD1039" s="3" t="s">
        <v>48</v>
      </c>
      <c r="AE1039" s="6">
        <v>45545</v>
      </c>
      <c r="AF1039" s="3" t="s">
        <v>59</v>
      </c>
      <c r="AG1039" s="3" t="s">
        <v>60</v>
      </c>
      <c r="AH1039" s="3">
        <f>YEAR(SrcDB[[#This Row],[Datum_zverejnenia]])</f>
        <v>2023</v>
      </c>
      <c r="AI1039" s="3" cm="1">
        <f t="array" ref="AI1039">COUNT(_xlfn.UNIQUE(_xlfn._xlws.FILTER(SrcDB[ID],SrcDB[Objednavatel_ICO]=$H1039)))</f>
        <v>17</v>
      </c>
      <c r="AJ1039" s="3" cm="1">
        <f t="array" ref="AJ1039">COUNT(_xlfn.UNIQUE(_xlfn._xlws.FILTER(SrcDB[ID],SrcDB[Dodavatel_ICO]=$K1039)))</f>
        <v>4</v>
      </c>
      <c r="AK1039" s="3">
        <f t="shared" si="1143"/>
        <v>0</v>
      </c>
      <c r="AL1039" s="3">
        <f t="shared" si="1144"/>
        <v>0</v>
      </c>
      <c r="AM1039" s="17" t="str">
        <f>IF(SrcDB[[#This Row],[Pocet zmluv objednavatela]]&gt;3,SrcDB[[#This Row],[Objednavatel]],"Ostatné")</f>
        <v>Slovenská pošta, a. s.</v>
      </c>
      <c r="AN1039" s="17" t="str">
        <f>IF(SrcDB[[#This Row],[Pocet zmluv dodavatela]]&gt;3,SrcDB[[#This Row],[Dodavatel]],"Ostatné")</f>
        <v>ANASOFT APR, spol. s r.o.</v>
      </c>
    </row>
    <row r="1040" spans="1:40" x14ac:dyDescent="0.3">
      <c r="A1040" s="2" t="s">
        <v>1248</v>
      </c>
      <c r="B1040" s="2">
        <v>7960017</v>
      </c>
      <c r="C1040" s="3" t="str">
        <f t="shared" si="1137"/>
        <v>Nie</v>
      </c>
      <c r="D1040" s="3" t="str">
        <f t="shared" si="1138"/>
        <v>Áno</v>
      </c>
      <c r="E1040" s="3" t="s">
        <v>48</v>
      </c>
      <c r="F1040" s="3" t="s">
        <v>49</v>
      </c>
      <c r="G1040" s="2" t="str">
        <f t="shared" si="1139"/>
        <v>Malé zmluvy</v>
      </c>
      <c r="H1040" s="5">
        <v>36631124</v>
      </c>
      <c r="I1040" s="2" t="s">
        <v>104</v>
      </c>
      <c r="J1040" s="2" t="s">
        <v>105</v>
      </c>
      <c r="K1040" s="5">
        <v>31361552</v>
      </c>
      <c r="L1040" s="2" t="s">
        <v>65</v>
      </c>
      <c r="M1040" s="2" t="s">
        <v>1249</v>
      </c>
      <c r="N1040" s="6">
        <v>45085.570057870369</v>
      </c>
      <c r="O1040" s="4">
        <v>252000</v>
      </c>
      <c r="P1040" s="2">
        <v>114573</v>
      </c>
      <c r="Q1040" s="2" t="s">
        <v>1250</v>
      </c>
      <c r="R1040" s="2" t="s">
        <v>1251</v>
      </c>
      <c r="S1040" s="2" t="s">
        <v>73</v>
      </c>
      <c r="T1040" s="2" t="s">
        <v>73</v>
      </c>
      <c r="W1040" s="4">
        <v>720</v>
      </c>
      <c r="X1040" s="4">
        <v>864</v>
      </c>
      <c r="Y1040" s="4">
        <f t="shared" ref="Y1040" si="1156">INDEX(InternalRates,MATCH($S1040,InternalRates01,FALSE),2)</f>
        <v>278.98333333333335</v>
      </c>
      <c r="Z1040" s="3" t="str">
        <f t="shared" si="1102"/>
        <v>Nie</v>
      </c>
      <c r="AA1040" s="3" t="str">
        <f t="shared" si="1103"/>
        <v>SLA</v>
      </c>
      <c r="AD1040" s="3" t="s">
        <v>48</v>
      </c>
      <c r="AE1040" s="6">
        <v>45545</v>
      </c>
      <c r="AF1040" s="3" t="s">
        <v>59</v>
      </c>
      <c r="AG1040" s="3" t="s">
        <v>60</v>
      </c>
      <c r="AH1040" s="3">
        <f>YEAR(SrcDB[[#This Row],[Datum_zverejnenia]])</f>
        <v>2023</v>
      </c>
      <c r="AI1040" s="3" cm="1">
        <f t="array" ref="AI1040">COUNT(_xlfn.UNIQUE(_xlfn._xlws.FILTER(SrcDB[ID],SrcDB[Objednavatel_ICO]=$H1040)))</f>
        <v>17</v>
      </c>
      <c r="AJ1040" s="3" cm="1">
        <f t="array" ref="AJ1040">COUNT(_xlfn.UNIQUE(_xlfn._xlws.FILTER(SrcDB[ID],SrcDB[Dodavatel_ICO]=$K1040)))</f>
        <v>4</v>
      </c>
      <c r="AK1040" s="3">
        <f t="shared" si="1143"/>
        <v>0</v>
      </c>
      <c r="AL1040" s="3">
        <f t="shared" si="1144"/>
        <v>0</v>
      </c>
      <c r="AM1040" s="17" t="str">
        <f>IF(SrcDB[[#This Row],[Pocet zmluv objednavatela]]&gt;3,SrcDB[[#This Row],[Objednavatel]],"Ostatné")</f>
        <v>Slovenská pošta, a. s.</v>
      </c>
      <c r="AN1040" s="17" t="str">
        <f>IF(SrcDB[[#This Row],[Pocet zmluv dodavatela]]&gt;3,SrcDB[[#This Row],[Dodavatel]],"Ostatné")</f>
        <v>ANASOFT APR, spol. s r.o.</v>
      </c>
    </row>
    <row r="1041" spans="1:40" x14ac:dyDescent="0.3">
      <c r="A1041" s="2" t="s">
        <v>1248</v>
      </c>
      <c r="B1041" s="2">
        <v>7960017</v>
      </c>
      <c r="C1041" s="3" t="str">
        <f t="shared" si="1137"/>
        <v>Nie</v>
      </c>
      <c r="D1041" s="3" t="str">
        <f t="shared" si="1138"/>
        <v>Áno</v>
      </c>
      <c r="E1041" s="3" t="s">
        <v>48</v>
      </c>
      <c r="F1041" s="3" t="s">
        <v>49</v>
      </c>
      <c r="G1041" s="2" t="str">
        <f t="shared" si="1139"/>
        <v>Malé zmluvy</v>
      </c>
      <c r="H1041" s="5">
        <v>36631124</v>
      </c>
      <c r="I1041" s="2" t="s">
        <v>104</v>
      </c>
      <c r="J1041" s="2" t="s">
        <v>105</v>
      </c>
      <c r="K1041" s="5">
        <v>31361552</v>
      </c>
      <c r="L1041" s="2" t="s">
        <v>65</v>
      </c>
      <c r="M1041" s="2" t="s">
        <v>1249</v>
      </c>
      <c r="N1041" s="6">
        <v>45085.570057870369</v>
      </c>
      <c r="O1041" s="4">
        <v>252000</v>
      </c>
      <c r="P1041" s="2">
        <v>114573</v>
      </c>
      <c r="Q1041" s="2" t="s">
        <v>1250</v>
      </c>
      <c r="R1041" s="2" t="s">
        <v>1251</v>
      </c>
      <c r="S1041" s="2" t="s">
        <v>56</v>
      </c>
      <c r="T1041" s="2" t="s">
        <v>328</v>
      </c>
      <c r="U1041" s="2" t="s">
        <v>113</v>
      </c>
      <c r="W1041" s="4">
        <v>640</v>
      </c>
      <c r="X1041" s="4">
        <v>768</v>
      </c>
      <c r="Y1041" s="4">
        <f t="shared" ref="Y1041" si="1157">INDEX(InternalRates,MATCH($S1041,InternalRates01,FALSE),2)</f>
        <v>278.98333333333335</v>
      </c>
      <c r="Z1041" s="3" t="str">
        <f t="shared" si="1102"/>
        <v>Nie</v>
      </c>
      <c r="AA1041" s="3" t="str">
        <f t="shared" si="1103"/>
        <v>SLA</v>
      </c>
      <c r="AD1041" s="3" t="s">
        <v>48</v>
      </c>
      <c r="AE1041" s="6">
        <v>45545</v>
      </c>
      <c r="AF1041" s="3" t="s">
        <v>59</v>
      </c>
      <c r="AG1041" s="3" t="s">
        <v>60</v>
      </c>
      <c r="AH1041" s="3">
        <f>YEAR(SrcDB[[#This Row],[Datum_zverejnenia]])</f>
        <v>2023</v>
      </c>
      <c r="AI1041" s="3" cm="1">
        <f t="array" ref="AI1041">COUNT(_xlfn.UNIQUE(_xlfn._xlws.FILTER(SrcDB[ID],SrcDB[Objednavatel_ICO]=$H1041)))</f>
        <v>17</v>
      </c>
      <c r="AJ1041" s="3" cm="1">
        <f t="array" ref="AJ1041">COUNT(_xlfn.UNIQUE(_xlfn._xlws.FILTER(SrcDB[ID],SrcDB[Dodavatel_ICO]=$K1041)))</f>
        <v>4</v>
      </c>
      <c r="AK1041" s="3">
        <f t="shared" si="1143"/>
        <v>0</v>
      </c>
      <c r="AL1041" s="3">
        <f t="shared" si="1144"/>
        <v>0</v>
      </c>
      <c r="AM1041" s="17" t="str">
        <f>IF(SrcDB[[#This Row],[Pocet zmluv objednavatela]]&gt;3,SrcDB[[#This Row],[Objednavatel]],"Ostatné")</f>
        <v>Slovenská pošta, a. s.</v>
      </c>
      <c r="AN1041" s="17" t="str">
        <f>IF(SrcDB[[#This Row],[Pocet zmluv dodavatela]]&gt;3,SrcDB[[#This Row],[Dodavatel]],"Ostatné")</f>
        <v>ANASOFT APR, spol. s r.o.</v>
      </c>
    </row>
    <row r="1042" spans="1:40" x14ac:dyDescent="0.3">
      <c r="A1042" s="2" t="s">
        <v>1248</v>
      </c>
      <c r="B1042" s="2">
        <v>7960017</v>
      </c>
      <c r="C1042" s="3" t="str">
        <f t="shared" si="1137"/>
        <v>Nie</v>
      </c>
      <c r="D1042" s="3" t="str">
        <f t="shared" si="1138"/>
        <v>Áno</v>
      </c>
      <c r="E1042" s="3" t="s">
        <v>48</v>
      </c>
      <c r="F1042" s="3" t="s">
        <v>49</v>
      </c>
      <c r="G1042" s="2" t="str">
        <f t="shared" si="1139"/>
        <v>Malé zmluvy</v>
      </c>
      <c r="H1042" s="5">
        <v>36631124</v>
      </c>
      <c r="I1042" s="2" t="s">
        <v>104</v>
      </c>
      <c r="J1042" s="2" t="s">
        <v>105</v>
      </c>
      <c r="K1042" s="5">
        <v>31361552</v>
      </c>
      <c r="L1042" s="2" t="s">
        <v>65</v>
      </c>
      <c r="M1042" s="2" t="s">
        <v>1249</v>
      </c>
      <c r="N1042" s="6">
        <v>45085.570057870369</v>
      </c>
      <c r="O1042" s="4">
        <v>252000</v>
      </c>
      <c r="P1042" s="2">
        <v>114573</v>
      </c>
      <c r="Q1042" s="2" t="s">
        <v>1250</v>
      </c>
      <c r="R1042" s="2" t="s">
        <v>1251</v>
      </c>
      <c r="S1042" s="2" t="s">
        <v>77</v>
      </c>
      <c r="W1042" s="4">
        <v>640</v>
      </c>
      <c r="X1042" s="4">
        <v>768</v>
      </c>
      <c r="Y1042" s="4">
        <f t="shared" ref="Y1042" si="1158">INDEX(InternalRates,MATCH($S1042,InternalRates01,FALSE),2)</f>
        <v>278.98333333333335</v>
      </c>
      <c r="Z1042" s="3" t="str">
        <f t="shared" si="1102"/>
        <v>Nie</v>
      </c>
      <c r="AA1042" s="3" t="str">
        <f t="shared" si="1103"/>
        <v>SLA</v>
      </c>
      <c r="AD1042" s="3" t="s">
        <v>48</v>
      </c>
      <c r="AE1042" s="6">
        <v>45545</v>
      </c>
      <c r="AF1042" s="3" t="s">
        <v>59</v>
      </c>
      <c r="AG1042" s="3" t="s">
        <v>60</v>
      </c>
      <c r="AH1042" s="3">
        <f>YEAR(SrcDB[[#This Row],[Datum_zverejnenia]])</f>
        <v>2023</v>
      </c>
      <c r="AI1042" s="3" cm="1">
        <f t="array" ref="AI1042">COUNT(_xlfn.UNIQUE(_xlfn._xlws.FILTER(SrcDB[ID],SrcDB[Objednavatel_ICO]=$H1042)))</f>
        <v>17</v>
      </c>
      <c r="AJ1042" s="3" cm="1">
        <f t="array" ref="AJ1042">COUNT(_xlfn.UNIQUE(_xlfn._xlws.FILTER(SrcDB[ID],SrcDB[Dodavatel_ICO]=$K1042)))</f>
        <v>4</v>
      </c>
      <c r="AK1042" s="3">
        <f t="shared" si="1143"/>
        <v>0</v>
      </c>
      <c r="AL1042" s="3">
        <f t="shared" si="1144"/>
        <v>0</v>
      </c>
      <c r="AM1042" s="17" t="str">
        <f>IF(SrcDB[[#This Row],[Pocet zmluv objednavatela]]&gt;3,SrcDB[[#This Row],[Objednavatel]],"Ostatné")</f>
        <v>Slovenská pošta, a. s.</v>
      </c>
      <c r="AN1042" s="17" t="str">
        <f>IF(SrcDB[[#This Row],[Pocet zmluv dodavatela]]&gt;3,SrcDB[[#This Row],[Dodavatel]],"Ostatné")</f>
        <v>ANASOFT APR, spol. s r.o.</v>
      </c>
    </row>
    <row r="1043" spans="1:40" x14ac:dyDescent="0.3">
      <c r="A1043" s="2" t="s">
        <v>1248</v>
      </c>
      <c r="B1043" s="2">
        <v>7960017</v>
      </c>
      <c r="C1043" s="3" t="str">
        <f t="shared" si="1137"/>
        <v>Nie</v>
      </c>
      <c r="D1043" s="3" t="str">
        <f t="shared" si="1138"/>
        <v>Áno</v>
      </c>
      <c r="E1043" s="3" t="s">
        <v>48</v>
      </c>
      <c r="F1043" s="3" t="s">
        <v>49</v>
      </c>
      <c r="G1043" s="2" t="str">
        <f t="shared" si="1139"/>
        <v>Malé zmluvy</v>
      </c>
      <c r="H1043" s="5">
        <v>36631124</v>
      </c>
      <c r="I1043" s="2" t="s">
        <v>104</v>
      </c>
      <c r="J1043" s="2" t="s">
        <v>105</v>
      </c>
      <c r="K1043" s="5">
        <v>31361552</v>
      </c>
      <c r="L1043" s="2" t="s">
        <v>65</v>
      </c>
      <c r="M1043" s="2" t="s">
        <v>1249</v>
      </c>
      <c r="N1043" s="6">
        <v>45085.570057870369</v>
      </c>
      <c r="O1043" s="4">
        <v>252000</v>
      </c>
      <c r="P1043" s="2">
        <v>114573</v>
      </c>
      <c r="Q1043" s="2" t="s">
        <v>1250</v>
      </c>
      <c r="R1043" s="2" t="s">
        <v>1251</v>
      </c>
      <c r="S1043" s="2" t="s">
        <v>79</v>
      </c>
      <c r="W1043" s="4">
        <v>560</v>
      </c>
      <c r="X1043" s="4">
        <v>672</v>
      </c>
      <c r="Y1043" s="4">
        <f t="shared" ref="Y1043" si="1159">INDEX(InternalRates,MATCH($S1043,InternalRates01,FALSE),2)</f>
        <v>278.98333333333335</v>
      </c>
      <c r="Z1043" s="3" t="str">
        <f t="shared" si="1102"/>
        <v>Nie</v>
      </c>
      <c r="AA1043" s="3" t="str">
        <f t="shared" si="1103"/>
        <v>SLA</v>
      </c>
      <c r="AD1043" s="3" t="s">
        <v>48</v>
      </c>
      <c r="AE1043" s="6">
        <v>45545</v>
      </c>
      <c r="AF1043" s="3" t="s">
        <v>59</v>
      </c>
      <c r="AG1043" s="3" t="s">
        <v>60</v>
      </c>
      <c r="AH1043" s="3">
        <f>YEAR(SrcDB[[#This Row],[Datum_zverejnenia]])</f>
        <v>2023</v>
      </c>
      <c r="AI1043" s="3" cm="1">
        <f t="array" ref="AI1043">COUNT(_xlfn.UNIQUE(_xlfn._xlws.FILTER(SrcDB[ID],SrcDB[Objednavatel_ICO]=$H1043)))</f>
        <v>17</v>
      </c>
      <c r="AJ1043" s="3" cm="1">
        <f t="array" ref="AJ1043">COUNT(_xlfn.UNIQUE(_xlfn._xlws.FILTER(SrcDB[ID],SrcDB[Dodavatel_ICO]=$K1043)))</f>
        <v>4</v>
      </c>
      <c r="AK1043" s="3">
        <f t="shared" si="1143"/>
        <v>0</v>
      </c>
      <c r="AL1043" s="3">
        <f t="shared" si="1144"/>
        <v>0</v>
      </c>
      <c r="AM1043" s="17" t="str">
        <f>IF(SrcDB[[#This Row],[Pocet zmluv objednavatela]]&gt;3,SrcDB[[#This Row],[Objednavatel]],"Ostatné")</f>
        <v>Slovenská pošta, a. s.</v>
      </c>
      <c r="AN1043" s="17" t="str">
        <f>IF(SrcDB[[#This Row],[Pocet zmluv dodavatela]]&gt;3,SrcDB[[#This Row],[Dodavatel]],"Ostatné")</f>
        <v>ANASOFT APR, spol. s r.o.</v>
      </c>
    </row>
    <row r="1044" spans="1:40" x14ac:dyDescent="0.3">
      <c r="A1044" s="2" t="s">
        <v>1248</v>
      </c>
      <c r="B1044" s="2">
        <v>7960017</v>
      </c>
      <c r="C1044" s="3" t="str">
        <f t="shared" si="1137"/>
        <v>Nie</v>
      </c>
      <c r="D1044" s="3" t="str">
        <f t="shared" si="1138"/>
        <v>Áno</v>
      </c>
      <c r="E1044" s="3" t="s">
        <v>48</v>
      </c>
      <c r="F1044" s="3" t="s">
        <v>49</v>
      </c>
      <c r="G1044" s="2" t="str">
        <f t="shared" si="1139"/>
        <v>Malé zmluvy</v>
      </c>
      <c r="H1044" s="5">
        <v>36631124</v>
      </c>
      <c r="I1044" s="2" t="s">
        <v>104</v>
      </c>
      <c r="J1044" s="2" t="s">
        <v>105</v>
      </c>
      <c r="K1044" s="5">
        <v>31361552</v>
      </c>
      <c r="L1044" s="2" t="s">
        <v>65</v>
      </c>
      <c r="M1044" s="2" t="s">
        <v>1249</v>
      </c>
      <c r="N1044" s="6">
        <v>45085.570057870369</v>
      </c>
      <c r="O1044" s="4">
        <v>252000</v>
      </c>
      <c r="P1044" s="2">
        <v>114573</v>
      </c>
      <c r="Q1044" s="2" t="s">
        <v>1250</v>
      </c>
      <c r="R1044" s="2" t="s">
        <v>1251</v>
      </c>
      <c r="S1044" s="2" t="s">
        <v>102</v>
      </c>
      <c r="T1044" s="2" t="s">
        <v>333</v>
      </c>
      <c r="W1044" s="4">
        <v>560</v>
      </c>
      <c r="X1044" s="4">
        <v>672</v>
      </c>
      <c r="Y1044" s="4">
        <f t="shared" ref="Y1044" si="1160">INDEX(InternalRates,MATCH($S1044,InternalRates01,FALSE),2)</f>
        <v>278.98333333333335</v>
      </c>
      <c r="Z1044" s="3" t="str">
        <f t="shared" si="1102"/>
        <v>Nie</v>
      </c>
      <c r="AA1044" s="3" t="str">
        <f t="shared" si="1103"/>
        <v>SLA</v>
      </c>
      <c r="AD1044" s="3" t="s">
        <v>48</v>
      </c>
      <c r="AE1044" s="6">
        <v>45545</v>
      </c>
      <c r="AF1044" s="3" t="s">
        <v>59</v>
      </c>
      <c r="AG1044" s="3" t="s">
        <v>60</v>
      </c>
      <c r="AH1044" s="3">
        <f>YEAR(SrcDB[[#This Row],[Datum_zverejnenia]])</f>
        <v>2023</v>
      </c>
      <c r="AI1044" s="3" cm="1">
        <f t="array" ref="AI1044">COUNT(_xlfn.UNIQUE(_xlfn._xlws.FILTER(SrcDB[ID],SrcDB[Objednavatel_ICO]=$H1044)))</f>
        <v>17</v>
      </c>
      <c r="AJ1044" s="3" cm="1">
        <f t="array" ref="AJ1044">COUNT(_xlfn.UNIQUE(_xlfn._xlws.FILTER(SrcDB[ID],SrcDB[Dodavatel_ICO]=$K1044)))</f>
        <v>4</v>
      </c>
      <c r="AK1044" s="3">
        <f t="shared" si="1143"/>
        <v>0</v>
      </c>
      <c r="AL1044" s="3">
        <f t="shared" si="1144"/>
        <v>0</v>
      </c>
      <c r="AM1044" s="17" t="str">
        <f>IF(SrcDB[[#This Row],[Pocet zmluv objednavatela]]&gt;3,SrcDB[[#This Row],[Objednavatel]],"Ostatné")</f>
        <v>Slovenská pošta, a. s.</v>
      </c>
      <c r="AN1044" s="17" t="str">
        <f>IF(SrcDB[[#This Row],[Pocet zmluv dodavatela]]&gt;3,SrcDB[[#This Row],[Dodavatel]],"Ostatné")</f>
        <v>ANASOFT APR, spol. s r.o.</v>
      </c>
    </row>
    <row r="1045" spans="1:40" x14ac:dyDescent="0.3">
      <c r="A1045" s="2" t="s">
        <v>614</v>
      </c>
      <c r="B1045" s="2">
        <v>7970231</v>
      </c>
      <c r="C1045" s="3" t="str">
        <f t="shared" si="1137"/>
        <v>Nie</v>
      </c>
      <c r="D1045" s="3" t="str">
        <f t="shared" si="1138"/>
        <v>Áno</v>
      </c>
      <c r="E1045" s="3" t="s">
        <v>48</v>
      </c>
      <c r="F1045" s="3" t="s">
        <v>49</v>
      </c>
      <c r="G1045" s="2" t="str">
        <f t="shared" si="1139"/>
        <v>Malé zmluvy</v>
      </c>
      <c r="H1045" s="5">
        <v>36631124</v>
      </c>
      <c r="I1045" s="2" t="s">
        <v>104</v>
      </c>
      <c r="J1045" s="2" t="s">
        <v>105</v>
      </c>
      <c r="K1045" s="5">
        <v>31361552</v>
      </c>
      <c r="L1045" s="2" t="s">
        <v>65</v>
      </c>
      <c r="M1045" s="2" t="s">
        <v>1249</v>
      </c>
      <c r="N1045" s="6">
        <v>45089.584664351853</v>
      </c>
      <c r="O1045" s="4">
        <v>404000</v>
      </c>
      <c r="P1045" s="2">
        <v>114573</v>
      </c>
      <c r="Q1045" s="2" t="s">
        <v>1253</v>
      </c>
      <c r="R1045" s="2" t="s">
        <v>1254</v>
      </c>
      <c r="S1045" s="2" t="s">
        <v>71</v>
      </c>
      <c r="T1045" s="2" t="s">
        <v>320</v>
      </c>
      <c r="W1045" s="4">
        <v>640</v>
      </c>
      <c r="X1045" s="4">
        <v>768</v>
      </c>
      <c r="Y1045" s="4">
        <f t="shared" ref="Y1045" si="1161">INDEX(InternalRates,MATCH($S1045,InternalRates01,FALSE),2)</f>
        <v>354.0333333333333</v>
      </c>
      <c r="Z1045" s="3" t="str">
        <f t="shared" si="1102"/>
        <v>Nie</v>
      </c>
      <c r="AA1045" s="3" t="str">
        <f t="shared" si="1103"/>
        <v>SLA</v>
      </c>
      <c r="AD1045" s="3" t="s">
        <v>48</v>
      </c>
      <c r="AE1045" s="6">
        <v>45545</v>
      </c>
      <c r="AF1045" s="3" t="s">
        <v>59</v>
      </c>
      <c r="AG1045" s="3" t="s">
        <v>60</v>
      </c>
      <c r="AH1045" s="3">
        <f>YEAR(SrcDB[[#This Row],[Datum_zverejnenia]])</f>
        <v>2023</v>
      </c>
      <c r="AI1045" s="3" cm="1">
        <f t="array" ref="AI1045">COUNT(_xlfn.UNIQUE(_xlfn._xlws.FILTER(SrcDB[ID],SrcDB[Objednavatel_ICO]=$H1045)))</f>
        <v>17</v>
      </c>
      <c r="AJ1045" s="3" cm="1">
        <f t="array" ref="AJ1045">COUNT(_xlfn.UNIQUE(_xlfn._xlws.FILTER(SrcDB[ID],SrcDB[Dodavatel_ICO]=$K1045)))</f>
        <v>4</v>
      </c>
      <c r="AK1045" s="3">
        <f t="shared" si="1143"/>
        <v>1</v>
      </c>
      <c r="AL1045" s="3">
        <f t="shared" si="1144"/>
        <v>1</v>
      </c>
      <c r="AM1045" s="17" t="str">
        <f>IF(SrcDB[[#This Row],[Pocet zmluv objednavatela]]&gt;3,SrcDB[[#This Row],[Objednavatel]],"Ostatné")</f>
        <v>Slovenská pošta, a. s.</v>
      </c>
      <c r="AN1045" s="17" t="str">
        <f>IF(SrcDB[[#This Row],[Pocet zmluv dodavatela]]&gt;3,SrcDB[[#This Row],[Dodavatel]],"Ostatné")</f>
        <v>ANASOFT APR, spol. s r.o.</v>
      </c>
    </row>
    <row r="1046" spans="1:40" x14ac:dyDescent="0.3">
      <c r="A1046" s="2" t="s">
        <v>614</v>
      </c>
      <c r="B1046" s="2">
        <v>7970231</v>
      </c>
      <c r="C1046" s="3" t="str">
        <f t="shared" si="1137"/>
        <v>Nie</v>
      </c>
      <c r="D1046" s="3" t="str">
        <f t="shared" si="1138"/>
        <v>Áno</v>
      </c>
      <c r="E1046" s="3" t="s">
        <v>48</v>
      </c>
      <c r="F1046" s="3" t="s">
        <v>49</v>
      </c>
      <c r="G1046" s="2" t="str">
        <f t="shared" si="1139"/>
        <v>Malé zmluvy</v>
      </c>
      <c r="H1046" s="5">
        <v>36631124</v>
      </c>
      <c r="I1046" s="2" t="s">
        <v>104</v>
      </c>
      <c r="J1046" s="2" t="s">
        <v>105</v>
      </c>
      <c r="K1046" s="5">
        <v>31361552</v>
      </c>
      <c r="L1046" s="2" t="s">
        <v>65</v>
      </c>
      <c r="M1046" s="2" t="s">
        <v>1249</v>
      </c>
      <c r="N1046" s="6">
        <v>45089.584664351853</v>
      </c>
      <c r="O1046" s="4">
        <v>404000</v>
      </c>
      <c r="P1046" s="2">
        <v>114573</v>
      </c>
      <c r="Q1046" s="2" t="s">
        <v>1253</v>
      </c>
      <c r="R1046" s="2" t="s">
        <v>1254</v>
      </c>
      <c r="S1046" s="2" t="s">
        <v>69</v>
      </c>
      <c r="T1046" s="2" t="s">
        <v>69</v>
      </c>
      <c r="W1046" s="4">
        <v>640</v>
      </c>
      <c r="X1046" s="4">
        <v>768</v>
      </c>
      <c r="Y1046" s="4">
        <f t="shared" ref="Y1046" si="1162">INDEX(InternalRates,MATCH($S1046,InternalRates01,FALSE),2)</f>
        <v>278.98333333333335</v>
      </c>
      <c r="Z1046" s="3" t="str">
        <f t="shared" si="1102"/>
        <v>Nie</v>
      </c>
      <c r="AA1046" s="3" t="str">
        <f t="shared" si="1103"/>
        <v>SLA</v>
      </c>
      <c r="AD1046" s="3" t="s">
        <v>48</v>
      </c>
      <c r="AE1046" s="6">
        <v>45545</v>
      </c>
      <c r="AF1046" s="3" t="s">
        <v>59</v>
      </c>
      <c r="AG1046" s="3" t="s">
        <v>60</v>
      </c>
      <c r="AH1046" s="3">
        <f>YEAR(SrcDB[[#This Row],[Datum_zverejnenia]])</f>
        <v>2023</v>
      </c>
      <c r="AI1046" s="3" cm="1">
        <f t="array" ref="AI1046">COUNT(_xlfn.UNIQUE(_xlfn._xlws.FILTER(SrcDB[ID],SrcDB[Objednavatel_ICO]=$H1046)))</f>
        <v>17</v>
      </c>
      <c r="AJ1046" s="3" cm="1">
        <f t="array" ref="AJ1046">COUNT(_xlfn.UNIQUE(_xlfn._xlws.FILTER(SrcDB[ID],SrcDB[Dodavatel_ICO]=$K1046)))</f>
        <v>4</v>
      </c>
      <c r="AK1046" s="3">
        <f t="shared" si="1143"/>
        <v>0</v>
      </c>
      <c r="AL1046" s="3">
        <f t="shared" si="1144"/>
        <v>0</v>
      </c>
      <c r="AM1046" s="17" t="str">
        <f>IF(SrcDB[[#This Row],[Pocet zmluv objednavatela]]&gt;3,SrcDB[[#This Row],[Objednavatel]],"Ostatné")</f>
        <v>Slovenská pošta, a. s.</v>
      </c>
      <c r="AN1046" s="17" t="str">
        <f>IF(SrcDB[[#This Row],[Pocet zmluv dodavatela]]&gt;3,SrcDB[[#This Row],[Dodavatel]],"Ostatné")</f>
        <v>ANASOFT APR, spol. s r.o.</v>
      </c>
    </row>
    <row r="1047" spans="1:40" x14ac:dyDescent="0.3">
      <c r="A1047" s="2" t="s">
        <v>614</v>
      </c>
      <c r="B1047" s="2">
        <v>7970231</v>
      </c>
      <c r="C1047" s="3" t="str">
        <f t="shared" si="1137"/>
        <v>Nie</v>
      </c>
      <c r="D1047" s="3" t="str">
        <f t="shared" si="1138"/>
        <v>Áno</v>
      </c>
      <c r="E1047" s="3" t="s">
        <v>48</v>
      </c>
      <c r="F1047" s="3" t="s">
        <v>49</v>
      </c>
      <c r="G1047" s="2" t="str">
        <f t="shared" si="1139"/>
        <v>Malé zmluvy</v>
      </c>
      <c r="H1047" s="5">
        <v>36631124</v>
      </c>
      <c r="I1047" s="2" t="s">
        <v>104</v>
      </c>
      <c r="J1047" s="2" t="s">
        <v>105</v>
      </c>
      <c r="K1047" s="5">
        <v>31361552</v>
      </c>
      <c r="L1047" s="2" t="s">
        <v>65</v>
      </c>
      <c r="M1047" s="2" t="s">
        <v>1249</v>
      </c>
      <c r="N1047" s="6">
        <v>45089.584664351853</v>
      </c>
      <c r="O1047" s="4">
        <v>404000</v>
      </c>
      <c r="P1047" s="2">
        <v>114573</v>
      </c>
      <c r="Q1047" s="2" t="s">
        <v>1253</v>
      </c>
      <c r="R1047" s="2" t="s">
        <v>1254</v>
      </c>
      <c r="S1047" s="2" t="s">
        <v>56</v>
      </c>
      <c r="T1047" s="2" t="s">
        <v>110</v>
      </c>
      <c r="U1047" s="2" t="s">
        <v>449</v>
      </c>
      <c r="W1047" s="4">
        <v>560</v>
      </c>
      <c r="X1047" s="4">
        <v>672</v>
      </c>
      <c r="Y1047" s="4">
        <f t="shared" ref="Y1047" si="1163">INDEX(InternalRates,MATCH($S1047,InternalRates01,FALSE),2)</f>
        <v>278.98333333333335</v>
      </c>
      <c r="Z1047" s="3" t="str">
        <f t="shared" si="1102"/>
        <v>Nie</v>
      </c>
      <c r="AA1047" s="3" t="str">
        <f t="shared" si="1103"/>
        <v>SLA</v>
      </c>
      <c r="AD1047" s="3" t="s">
        <v>48</v>
      </c>
      <c r="AE1047" s="6">
        <v>45545</v>
      </c>
      <c r="AF1047" s="3" t="s">
        <v>59</v>
      </c>
      <c r="AG1047" s="3" t="s">
        <v>60</v>
      </c>
      <c r="AH1047" s="3">
        <f>YEAR(SrcDB[[#This Row],[Datum_zverejnenia]])</f>
        <v>2023</v>
      </c>
      <c r="AI1047" s="3" cm="1">
        <f t="array" ref="AI1047">COUNT(_xlfn.UNIQUE(_xlfn._xlws.FILTER(SrcDB[ID],SrcDB[Objednavatel_ICO]=$H1047)))</f>
        <v>17</v>
      </c>
      <c r="AJ1047" s="3" cm="1">
        <f t="array" ref="AJ1047">COUNT(_xlfn.UNIQUE(_xlfn._xlws.FILTER(SrcDB[ID],SrcDB[Dodavatel_ICO]=$K1047)))</f>
        <v>4</v>
      </c>
      <c r="AK1047" s="3">
        <f t="shared" si="1143"/>
        <v>0</v>
      </c>
      <c r="AL1047" s="3">
        <f t="shared" si="1144"/>
        <v>0</v>
      </c>
      <c r="AM1047" s="17" t="str">
        <f>IF(SrcDB[[#This Row],[Pocet zmluv objednavatela]]&gt;3,SrcDB[[#This Row],[Objednavatel]],"Ostatné")</f>
        <v>Slovenská pošta, a. s.</v>
      </c>
      <c r="AN1047" s="17" t="str">
        <f>IF(SrcDB[[#This Row],[Pocet zmluv dodavatela]]&gt;3,SrcDB[[#This Row],[Dodavatel]],"Ostatné")</f>
        <v>ANASOFT APR, spol. s r.o.</v>
      </c>
    </row>
    <row r="1048" spans="1:40" x14ac:dyDescent="0.3">
      <c r="A1048" s="2" t="s">
        <v>614</v>
      </c>
      <c r="B1048" s="2">
        <v>7970231</v>
      </c>
      <c r="C1048" s="3" t="str">
        <f t="shared" si="1137"/>
        <v>Nie</v>
      </c>
      <c r="D1048" s="3" t="str">
        <f t="shared" si="1138"/>
        <v>Áno</v>
      </c>
      <c r="E1048" s="3" t="s">
        <v>48</v>
      </c>
      <c r="F1048" s="3" t="s">
        <v>49</v>
      </c>
      <c r="G1048" s="2" t="str">
        <f t="shared" si="1139"/>
        <v>Malé zmluvy</v>
      </c>
      <c r="H1048" s="5">
        <v>36631124</v>
      </c>
      <c r="I1048" s="2" t="s">
        <v>104</v>
      </c>
      <c r="J1048" s="2" t="s">
        <v>105</v>
      </c>
      <c r="K1048" s="5">
        <v>31361552</v>
      </c>
      <c r="L1048" s="2" t="s">
        <v>65</v>
      </c>
      <c r="M1048" s="2" t="s">
        <v>1249</v>
      </c>
      <c r="N1048" s="6">
        <v>45089.584664351853</v>
      </c>
      <c r="O1048" s="4">
        <v>404000</v>
      </c>
      <c r="P1048" s="2">
        <v>114573</v>
      </c>
      <c r="Q1048" s="2" t="s">
        <v>1253</v>
      </c>
      <c r="R1048" s="2" t="s">
        <v>1254</v>
      </c>
      <c r="S1048" s="2" t="s">
        <v>102</v>
      </c>
      <c r="T1048" s="2" t="s">
        <v>1252</v>
      </c>
      <c r="W1048" s="4">
        <v>560</v>
      </c>
      <c r="X1048" s="4">
        <v>672</v>
      </c>
      <c r="Y1048" s="4">
        <f t="shared" ref="Y1048" si="1164">INDEX(InternalRates,MATCH($S1048,InternalRates01,FALSE),2)</f>
        <v>278.98333333333335</v>
      </c>
      <c r="Z1048" s="3" t="str">
        <f t="shared" si="1102"/>
        <v>Nie</v>
      </c>
      <c r="AA1048" s="3" t="str">
        <f t="shared" si="1103"/>
        <v>SLA</v>
      </c>
      <c r="AD1048" s="3" t="s">
        <v>48</v>
      </c>
      <c r="AE1048" s="6">
        <v>45545</v>
      </c>
      <c r="AF1048" s="3" t="s">
        <v>59</v>
      </c>
      <c r="AG1048" s="3" t="s">
        <v>60</v>
      </c>
      <c r="AH1048" s="3">
        <f>YEAR(SrcDB[[#This Row],[Datum_zverejnenia]])</f>
        <v>2023</v>
      </c>
      <c r="AI1048" s="3" cm="1">
        <f t="array" ref="AI1048">COUNT(_xlfn.UNIQUE(_xlfn._xlws.FILTER(SrcDB[ID],SrcDB[Objednavatel_ICO]=$H1048)))</f>
        <v>17</v>
      </c>
      <c r="AJ1048" s="3" cm="1">
        <f t="array" ref="AJ1048">COUNT(_xlfn.UNIQUE(_xlfn._xlws.FILTER(SrcDB[ID],SrcDB[Dodavatel_ICO]=$K1048)))</f>
        <v>4</v>
      </c>
      <c r="AK1048" s="3">
        <f t="shared" si="1143"/>
        <v>0</v>
      </c>
      <c r="AL1048" s="3">
        <f t="shared" si="1144"/>
        <v>0</v>
      </c>
      <c r="AM1048" s="17" t="str">
        <f>IF(SrcDB[[#This Row],[Pocet zmluv objednavatela]]&gt;3,SrcDB[[#This Row],[Objednavatel]],"Ostatné")</f>
        <v>Slovenská pošta, a. s.</v>
      </c>
      <c r="AN1048" s="17" t="str">
        <f>IF(SrcDB[[#This Row],[Pocet zmluv dodavatela]]&gt;3,SrcDB[[#This Row],[Dodavatel]],"Ostatné")</f>
        <v>ANASOFT APR, spol. s r.o.</v>
      </c>
    </row>
    <row r="1049" spans="1:40" x14ac:dyDescent="0.3">
      <c r="A1049" s="2" t="s">
        <v>614</v>
      </c>
      <c r="B1049" s="2">
        <v>7970231</v>
      </c>
      <c r="C1049" s="3" t="str">
        <f t="shared" si="1137"/>
        <v>Nie</v>
      </c>
      <c r="D1049" s="3" t="str">
        <f t="shared" si="1138"/>
        <v>Áno</v>
      </c>
      <c r="E1049" s="3" t="s">
        <v>48</v>
      </c>
      <c r="F1049" s="3" t="s">
        <v>49</v>
      </c>
      <c r="G1049" s="2" t="str">
        <f t="shared" si="1139"/>
        <v>Malé zmluvy</v>
      </c>
      <c r="H1049" s="5">
        <v>36631124</v>
      </c>
      <c r="I1049" s="2" t="s">
        <v>104</v>
      </c>
      <c r="J1049" s="2" t="s">
        <v>105</v>
      </c>
      <c r="K1049" s="5">
        <v>31361552</v>
      </c>
      <c r="L1049" s="2" t="s">
        <v>65</v>
      </c>
      <c r="M1049" s="2" t="s">
        <v>1249</v>
      </c>
      <c r="N1049" s="6">
        <v>45089.584664351853</v>
      </c>
      <c r="O1049" s="4">
        <v>404000</v>
      </c>
      <c r="P1049" s="2">
        <v>114573</v>
      </c>
      <c r="Q1049" s="2" t="s">
        <v>1253</v>
      </c>
      <c r="R1049" s="2" t="s">
        <v>1254</v>
      </c>
      <c r="S1049" s="2" t="s">
        <v>73</v>
      </c>
      <c r="T1049" s="2" t="s">
        <v>73</v>
      </c>
      <c r="W1049" s="4">
        <v>640</v>
      </c>
      <c r="X1049" s="4">
        <v>768</v>
      </c>
      <c r="Y1049" s="4">
        <f t="shared" ref="Y1049" si="1165">INDEX(InternalRates,MATCH($S1049,InternalRates01,FALSE),2)</f>
        <v>278.98333333333335</v>
      </c>
      <c r="Z1049" s="3" t="str">
        <f t="shared" si="1102"/>
        <v>Nie</v>
      </c>
      <c r="AA1049" s="3" t="str">
        <f t="shared" si="1103"/>
        <v>SLA</v>
      </c>
      <c r="AD1049" s="3" t="s">
        <v>48</v>
      </c>
      <c r="AE1049" s="6">
        <v>45545</v>
      </c>
      <c r="AF1049" s="3" t="s">
        <v>59</v>
      </c>
      <c r="AG1049" s="3" t="s">
        <v>60</v>
      </c>
      <c r="AH1049" s="3">
        <f>YEAR(SrcDB[[#This Row],[Datum_zverejnenia]])</f>
        <v>2023</v>
      </c>
      <c r="AI1049" s="3" cm="1">
        <f t="array" ref="AI1049">COUNT(_xlfn.UNIQUE(_xlfn._xlws.FILTER(SrcDB[ID],SrcDB[Objednavatel_ICO]=$H1049)))</f>
        <v>17</v>
      </c>
      <c r="AJ1049" s="3" cm="1">
        <f t="array" ref="AJ1049">COUNT(_xlfn.UNIQUE(_xlfn._xlws.FILTER(SrcDB[ID],SrcDB[Dodavatel_ICO]=$K1049)))</f>
        <v>4</v>
      </c>
      <c r="AK1049" s="3">
        <f t="shared" si="1143"/>
        <v>0</v>
      </c>
      <c r="AL1049" s="3">
        <f t="shared" si="1144"/>
        <v>0</v>
      </c>
      <c r="AM1049" s="17" t="str">
        <f>IF(SrcDB[[#This Row],[Pocet zmluv objednavatela]]&gt;3,SrcDB[[#This Row],[Objednavatel]],"Ostatné")</f>
        <v>Slovenská pošta, a. s.</v>
      </c>
      <c r="AN1049" s="17" t="str">
        <f>IF(SrcDB[[#This Row],[Pocet zmluv dodavatela]]&gt;3,SrcDB[[#This Row],[Dodavatel]],"Ostatné")</f>
        <v>ANASOFT APR, spol. s r.o.</v>
      </c>
    </row>
    <row r="1050" spans="1:40" x14ac:dyDescent="0.3">
      <c r="A1050" s="2" t="s">
        <v>614</v>
      </c>
      <c r="B1050" s="2">
        <v>7970231</v>
      </c>
      <c r="C1050" s="3" t="str">
        <f t="shared" si="1137"/>
        <v>Nie</v>
      </c>
      <c r="D1050" s="3" t="str">
        <f t="shared" si="1138"/>
        <v>Áno</v>
      </c>
      <c r="E1050" s="3" t="s">
        <v>48</v>
      </c>
      <c r="F1050" s="3" t="s">
        <v>49</v>
      </c>
      <c r="G1050" s="2" t="str">
        <f t="shared" si="1139"/>
        <v>Malé zmluvy</v>
      </c>
      <c r="H1050" s="5">
        <v>36631124</v>
      </c>
      <c r="I1050" s="2" t="s">
        <v>104</v>
      </c>
      <c r="J1050" s="2" t="s">
        <v>105</v>
      </c>
      <c r="K1050" s="5">
        <v>31361552</v>
      </c>
      <c r="L1050" s="2" t="s">
        <v>65</v>
      </c>
      <c r="M1050" s="2" t="s">
        <v>1249</v>
      </c>
      <c r="N1050" s="6">
        <v>45089.584664351853</v>
      </c>
      <c r="O1050" s="4">
        <v>404000</v>
      </c>
      <c r="P1050" s="2">
        <v>114573</v>
      </c>
      <c r="Q1050" s="2" t="s">
        <v>1253</v>
      </c>
      <c r="R1050" s="2" t="s">
        <v>1254</v>
      </c>
      <c r="S1050" s="2" t="s">
        <v>56</v>
      </c>
      <c r="T1050" s="2" t="s">
        <v>328</v>
      </c>
      <c r="U1050" s="2" t="s">
        <v>113</v>
      </c>
      <c r="W1050" s="4">
        <v>560</v>
      </c>
      <c r="X1050" s="4">
        <v>672</v>
      </c>
      <c r="Y1050" s="4">
        <f t="shared" ref="Y1050" si="1166">INDEX(InternalRates,MATCH($S1050,InternalRates01,FALSE),2)</f>
        <v>278.98333333333335</v>
      </c>
      <c r="Z1050" s="3" t="str">
        <f t="shared" si="1102"/>
        <v>Nie</v>
      </c>
      <c r="AA1050" s="3" t="str">
        <f t="shared" si="1103"/>
        <v>SLA</v>
      </c>
      <c r="AD1050" s="3" t="s">
        <v>48</v>
      </c>
      <c r="AE1050" s="6">
        <v>45545</v>
      </c>
      <c r="AF1050" s="3" t="s">
        <v>59</v>
      </c>
      <c r="AG1050" s="3" t="s">
        <v>60</v>
      </c>
      <c r="AH1050" s="3">
        <f>YEAR(SrcDB[[#This Row],[Datum_zverejnenia]])</f>
        <v>2023</v>
      </c>
      <c r="AI1050" s="3" cm="1">
        <f t="array" ref="AI1050">COUNT(_xlfn.UNIQUE(_xlfn._xlws.FILTER(SrcDB[ID],SrcDB[Objednavatel_ICO]=$H1050)))</f>
        <v>17</v>
      </c>
      <c r="AJ1050" s="3" cm="1">
        <f t="array" ref="AJ1050">COUNT(_xlfn.UNIQUE(_xlfn._xlws.FILTER(SrcDB[ID],SrcDB[Dodavatel_ICO]=$K1050)))</f>
        <v>4</v>
      </c>
      <c r="AK1050" s="3">
        <f t="shared" si="1143"/>
        <v>0</v>
      </c>
      <c r="AL1050" s="3">
        <f t="shared" si="1144"/>
        <v>0</v>
      </c>
      <c r="AM1050" s="17" t="str">
        <f>IF(SrcDB[[#This Row],[Pocet zmluv objednavatela]]&gt;3,SrcDB[[#This Row],[Objednavatel]],"Ostatné")</f>
        <v>Slovenská pošta, a. s.</v>
      </c>
      <c r="AN1050" s="17" t="str">
        <f>IF(SrcDB[[#This Row],[Pocet zmluv dodavatela]]&gt;3,SrcDB[[#This Row],[Dodavatel]],"Ostatné")</f>
        <v>ANASOFT APR, spol. s r.o.</v>
      </c>
    </row>
    <row r="1051" spans="1:40" x14ac:dyDescent="0.3">
      <c r="A1051" s="2" t="s">
        <v>614</v>
      </c>
      <c r="B1051" s="2">
        <v>7970231</v>
      </c>
      <c r="C1051" s="3" t="str">
        <f t="shared" si="1137"/>
        <v>Nie</v>
      </c>
      <c r="D1051" s="3" t="str">
        <f t="shared" si="1138"/>
        <v>Áno</v>
      </c>
      <c r="E1051" s="3" t="s">
        <v>48</v>
      </c>
      <c r="F1051" s="3" t="s">
        <v>49</v>
      </c>
      <c r="G1051" s="2" t="str">
        <f t="shared" si="1139"/>
        <v>Malé zmluvy</v>
      </c>
      <c r="H1051" s="5">
        <v>36631124</v>
      </c>
      <c r="I1051" s="2" t="s">
        <v>104</v>
      </c>
      <c r="J1051" s="2" t="s">
        <v>105</v>
      </c>
      <c r="K1051" s="5">
        <v>31361552</v>
      </c>
      <c r="L1051" s="2" t="s">
        <v>65</v>
      </c>
      <c r="M1051" s="2" t="s">
        <v>1249</v>
      </c>
      <c r="N1051" s="6">
        <v>45089.584664351853</v>
      </c>
      <c r="O1051" s="4">
        <v>404000</v>
      </c>
      <c r="P1051" s="2">
        <v>114573</v>
      </c>
      <c r="Q1051" s="2" t="s">
        <v>1253</v>
      </c>
      <c r="R1051" s="2" t="s">
        <v>1254</v>
      </c>
      <c r="S1051" s="2" t="s">
        <v>77</v>
      </c>
      <c r="W1051" s="4">
        <v>560</v>
      </c>
      <c r="X1051" s="4">
        <v>672</v>
      </c>
      <c r="Y1051" s="4">
        <f t="shared" ref="Y1051" si="1167">INDEX(InternalRates,MATCH($S1051,InternalRates01,FALSE),2)</f>
        <v>278.98333333333335</v>
      </c>
      <c r="Z1051" s="3" t="str">
        <f t="shared" si="1102"/>
        <v>Nie</v>
      </c>
      <c r="AA1051" s="3" t="str">
        <f t="shared" si="1103"/>
        <v>SLA</v>
      </c>
      <c r="AD1051" s="3" t="s">
        <v>48</v>
      </c>
      <c r="AE1051" s="6">
        <v>45545</v>
      </c>
      <c r="AF1051" s="3" t="s">
        <v>59</v>
      </c>
      <c r="AG1051" s="3" t="s">
        <v>60</v>
      </c>
      <c r="AH1051" s="3">
        <f>YEAR(SrcDB[[#This Row],[Datum_zverejnenia]])</f>
        <v>2023</v>
      </c>
      <c r="AI1051" s="3" cm="1">
        <f t="array" ref="AI1051">COUNT(_xlfn.UNIQUE(_xlfn._xlws.FILTER(SrcDB[ID],SrcDB[Objednavatel_ICO]=$H1051)))</f>
        <v>17</v>
      </c>
      <c r="AJ1051" s="3" cm="1">
        <f t="array" ref="AJ1051">COUNT(_xlfn.UNIQUE(_xlfn._xlws.FILTER(SrcDB[ID],SrcDB[Dodavatel_ICO]=$K1051)))</f>
        <v>4</v>
      </c>
      <c r="AK1051" s="3">
        <f t="shared" si="1143"/>
        <v>0</v>
      </c>
      <c r="AL1051" s="3">
        <f t="shared" si="1144"/>
        <v>0</v>
      </c>
      <c r="AM1051" s="17" t="str">
        <f>IF(SrcDB[[#This Row],[Pocet zmluv objednavatela]]&gt;3,SrcDB[[#This Row],[Objednavatel]],"Ostatné")</f>
        <v>Slovenská pošta, a. s.</v>
      </c>
      <c r="AN1051" s="17" t="str">
        <f>IF(SrcDB[[#This Row],[Pocet zmluv dodavatela]]&gt;3,SrcDB[[#This Row],[Dodavatel]],"Ostatné")</f>
        <v>ANASOFT APR, spol. s r.o.</v>
      </c>
    </row>
    <row r="1052" spans="1:40" x14ac:dyDescent="0.3">
      <c r="A1052" s="2" t="s">
        <v>614</v>
      </c>
      <c r="B1052" s="2">
        <v>7970231</v>
      </c>
      <c r="C1052" s="3" t="str">
        <f t="shared" si="1137"/>
        <v>Nie</v>
      </c>
      <c r="D1052" s="3" t="str">
        <f t="shared" si="1138"/>
        <v>Áno</v>
      </c>
      <c r="E1052" s="3" t="s">
        <v>48</v>
      </c>
      <c r="F1052" s="3" t="s">
        <v>49</v>
      </c>
      <c r="G1052" s="2" t="str">
        <f t="shared" si="1139"/>
        <v>Malé zmluvy</v>
      </c>
      <c r="H1052" s="5">
        <v>36631124</v>
      </c>
      <c r="I1052" s="2" t="s">
        <v>104</v>
      </c>
      <c r="J1052" s="2" t="s">
        <v>105</v>
      </c>
      <c r="K1052" s="5">
        <v>31361552</v>
      </c>
      <c r="L1052" s="2" t="s">
        <v>65</v>
      </c>
      <c r="M1052" s="2" t="s">
        <v>1249</v>
      </c>
      <c r="N1052" s="6">
        <v>45089.584664351853</v>
      </c>
      <c r="O1052" s="4">
        <v>404000</v>
      </c>
      <c r="P1052" s="2">
        <v>114573</v>
      </c>
      <c r="Q1052" s="2" t="s">
        <v>1253</v>
      </c>
      <c r="R1052" s="2" t="s">
        <v>1254</v>
      </c>
      <c r="S1052" s="2" t="s">
        <v>79</v>
      </c>
      <c r="W1052" s="4">
        <v>480</v>
      </c>
      <c r="X1052" s="4">
        <v>576</v>
      </c>
      <c r="Y1052" s="4">
        <f t="shared" ref="Y1052" si="1168">INDEX(InternalRates,MATCH($S1052,InternalRates01,FALSE),2)</f>
        <v>278.98333333333335</v>
      </c>
      <c r="Z1052" s="3" t="str">
        <f t="shared" si="1102"/>
        <v>Nie</v>
      </c>
      <c r="AA1052" s="3" t="str">
        <f t="shared" si="1103"/>
        <v>SLA</v>
      </c>
      <c r="AD1052" s="3" t="s">
        <v>48</v>
      </c>
      <c r="AE1052" s="6">
        <v>45545</v>
      </c>
      <c r="AF1052" s="3" t="s">
        <v>59</v>
      </c>
      <c r="AG1052" s="3" t="s">
        <v>60</v>
      </c>
      <c r="AH1052" s="3">
        <f>YEAR(SrcDB[[#This Row],[Datum_zverejnenia]])</f>
        <v>2023</v>
      </c>
      <c r="AI1052" s="3" cm="1">
        <f t="array" ref="AI1052">COUNT(_xlfn.UNIQUE(_xlfn._xlws.FILTER(SrcDB[ID],SrcDB[Objednavatel_ICO]=$H1052)))</f>
        <v>17</v>
      </c>
      <c r="AJ1052" s="3" cm="1">
        <f t="array" ref="AJ1052">COUNT(_xlfn.UNIQUE(_xlfn._xlws.FILTER(SrcDB[ID],SrcDB[Dodavatel_ICO]=$K1052)))</f>
        <v>4</v>
      </c>
      <c r="AK1052" s="3">
        <f t="shared" si="1143"/>
        <v>0</v>
      </c>
      <c r="AL1052" s="3">
        <f t="shared" si="1144"/>
        <v>0</v>
      </c>
      <c r="AM1052" s="17" t="str">
        <f>IF(SrcDB[[#This Row],[Pocet zmluv objednavatela]]&gt;3,SrcDB[[#This Row],[Objednavatel]],"Ostatné")</f>
        <v>Slovenská pošta, a. s.</v>
      </c>
      <c r="AN1052" s="17" t="str">
        <f>IF(SrcDB[[#This Row],[Pocet zmluv dodavatela]]&gt;3,SrcDB[[#This Row],[Dodavatel]],"Ostatné")</f>
        <v>ANASOFT APR, spol. s r.o.</v>
      </c>
    </row>
    <row r="1053" spans="1:40" x14ac:dyDescent="0.3">
      <c r="A1053" s="2" t="s">
        <v>614</v>
      </c>
      <c r="B1053" s="2">
        <v>7970231</v>
      </c>
      <c r="C1053" s="3" t="str">
        <f t="shared" si="1137"/>
        <v>Nie</v>
      </c>
      <c r="D1053" s="3" t="str">
        <f t="shared" si="1138"/>
        <v>Áno</v>
      </c>
      <c r="E1053" s="3" t="s">
        <v>48</v>
      </c>
      <c r="F1053" s="3" t="s">
        <v>49</v>
      </c>
      <c r="G1053" s="2" t="str">
        <f t="shared" si="1139"/>
        <v>Malé zmluvy</v>
      </c>
      <c r="H1053" s="5">
        <v>36631124</v>
      </c>
      <c r="I1053" s="2" t="s">
        <v>104</v>
      </c>
      <c r="J1053" s="2" t="s">
        <v>105</v>
      </c>
      <c r="K1053" s="5">
        <v>31361552</v>
      </c>
      <c r="L1053" s="2" t="s">
        <v>65</v>
      </c>
      <c r="M1053" s="2" t="s">
        <v>1249</v>
      </c>
      <c r="N1053" s="6">
        <v>45089.584664351853</v>
      </c>
      <c r="O1053" s="4">
        <v>404000</v>
      </c>
      <c r="P1053" s="2">
        <v>114573</v>
      </c>
      <c r="Q1053" s="2" t="s">
        <v>1253</v>
      </c>
      <c r="R1053" s="2" t="s">
        <v>1254</v>
      </c>
      <c r="S1053" s="2" t="s">
        <v>102</v>
      </c>
      <c r="T1053" s="2" t="s">
        <v>333</v>
      </c>
      <c r="W1053" s="4">
        <v>480</v>
      </c>
      <c r="X1053" s="4">
        <v>576</v>
      </c>
      <c r="Y1053" s="4">
        <f t="shared" ref="Y1053" si="1169">INDEX(InternalRates,MATCH($S1053,InternalRates01,FALSE),2)</f>
        <v>278.98333333333335</v>
      </c>
      <c r="Z1053" s="3" t="str">
        <f t="shared" si="1102"/>
        <v>Nie</v>
      </c>
      <c r="AA1053" s="3" t="str">
        <f t="shared" si="1103"/>
        <v>SLA</v>
      </c>
      <c r="AD1053" s="3" t="s">
        <v>48</v>
      </c>
      <c r="AE1053" s="6">
        <v>45545</v>
      </c>
      <c r="AF1053" s="3" t="s">
        <v>59</v>
      </c>
      <c r="AG1053" s="3" t="s">
        <v>60</v>
      </c>
      <c r="AH1053" s="3">
        <f>YEAR(SrcDB[[#This Row],[Datum_zverejnenia]])</f>
        <v>2023</v>
      </c>
      <c r="AI1053" s="3" cm="1">
        <f t="array" ref="AI1053">COUNT(_xlfn.UNIQUE(_xlfn._xlws.FILTER(SrcDB[ID],SrcDB[Objednavatel_ICO]=$H1053)))</f>
        <v>17</v>
      </c>
      <c r="AJ1053" s="3" cm="1">
        <f t="array" ref="AJ1053">COUNT(_xlfn.UNIQUE(_xlfn._xlws.FILTER(SrcDB[ID],SrcDB[Dodavatel_ICO]=$K1053)))</f>
        <v>4</v>
      </c>
      <c r="AK1053" s="3">
        <f t="shared" si="1143"/>
        <v>0</v>
      </c>
      <c r="AL1053" s="3">
        <f t="shared" si="1144"/>
        <v>0</v>
      </c>
      <c r="AM1053" s="17" t="str">
        <f>IF(SrcDB[[#This Row],[Pocet zmluv objednavatela]]&gt;3,SrcDB[[#This Row],[Objednavatel]],"Ostatné")</f>
        <v>Slovenská pošta, a. s.</v>
      </c>
      <c r="AN1053" s="17" t="str">
        <f>IF(SrcDB[[#This Row],[Pocet zmluv dodavatela]]&gt;3,SrcDB[[#This Row],[Dodavatel]],"Ostatné")</f>
        <v>ANASOFT APR, spol. s r.o.</v>
      </c>
    </row>
    <row r="1054" spans="1:40" x14ac:dyDescent="0.3">
      <c r="A1054" s="2" t="s">
        <v>564</v>
      </c>
      <c r="B1054" s="2">
        <v>7975075</v>
      </c>
      <c r="C1054" s="3" t="str">
        <f t="shared" si="1137"/>
        <v>Nejasné</v>
      </c>
      <c r="D1054" s="3" t="str">
        <f t="shared" si="1138"/>
        <v>Nejasné</v>
      </c>
      <c r="E1054" s="3" t="s">
        <v>48</v>
      </c>
      <c r="F1054" s="3" t="s">
        <v>49</v>
      </c>
      <c r="G1054" s="2" t="str">
        <f t="shared" si="1139"/>
        <v>Malé zmluvy</v>
      </c>
      <c r="H1054" s="5">
        <v>31364501</v>
      </c>
      <c r="I1054" s="2" t="s">
        <v>220</v>
      </c>
      <c r="J1054" s="2" t="s">
        <v>726</v>
      </c>
      <c r="K1054" s="5">
        <v>31385401</v>
      </c>
      <c r="L1054" s="2" t="s">
        <v>142</v>
      </c>
      <c r="M1054" s="2" t="s">
        <v>496</v>
      </c>
      <c r="N1054" s="6">
        <v>45090.574224537035</v>
      </c>
      <c r="O1054" s="4">
        <v>449630.4</v>
      </c>
      <c r="P1054" s="2">
        <v>114573</v>
      </c>
      <c r="Q1054" s="2" t="s">
        <v>1255</v>
      </c>
      <c r="R1054" s="2" t="s">
        <v>1256</v>
      </c>
      <c r="S1054" s="2" t="s">
        <v>183</v>
      </c>
      <c r="T1054" s="2" t="s">
        <v>183</v>
      </c>
      <c r="W1054" s="4">
        <v>566</v>
      </c>
      <c r="X1054" s="4">
        <v>679.19999999999993</v>
      </c>
      <c r="Y1054" s="4">
        <f t="shared" ref="Y1054" si="1170">INDEX(InternalRates,MATCH($S1054,InternalRates01,FALSE),2)</f>
        <v>278.98333333333335</v>
      </c>
      <c r="Z1054" s="3" t="str">
        <f t="shared" si="1102"/>
        <v>Nie</v>
      </c>
      <c r="AA1054" s="3" t="str">
        <f t="shared" si="1103"/>
        <v>SLA</v>
      </c>
      <c r="AB1054" s="4">
        <v>662</v>
      </c>
      <c r="AC1054" s="4">
        <v>662</v>
      </c>
      <c r="AD1054" s="3" t="s">
        <v>48</v>
      </c>
      <c r="AE1054" s="6">
        <v>45545</v>
      </c>
      <c r="AF1054" s="3" t="s">
        <v>59</v>
      </c>
      <c r="AG1054" s="3" t="s">
        <v>48</v>
      </c>
      <c r="AH1054" s="3">
        <f>YEAR(SrcDB[[#This Row],[Datum_zverejnenia]])</f>
        <v>2023</v>
      </c>
      <c r="AI1054" s="3" cm="1">
        <f t="array" ref="AI1054">COUNT(_xlfn.UNIQUE(_xlfn._xlws.FILTER(SrcDB[ID],SrcDB[Objednavatel_ICO]=$H1054)))</f>
        <v>24</v>
      </c>
      <c r="AJ1054" s="3" cm="1">
        <f t="array" ref="AJ1054">COUNT(_xlfn.UNIQUE(_xlfn._xlws.FILTER(SrcDB[ID],SrcDB[Dodavatel_ICO]=$K1054)))</f>
        <v>14</v>
      </c>
      <c r="AK1054" s="3">
        <f t="shared" si="1143"/>
        <v>1</v>
      </c>
      <c r="AL1054" s="3">
        <f t="shared" si="1144"/>
        <v>1</v>
      </c>
      <c r="AM1054" s="17" t="str">
        <f>IF(SrcDB[[#This Row],[Pocet zmluv objednavatela]]&gt;3,SrcDB[[#This Row],[Objednavatel]],"Ostatné")</f>
        <v>Železnice Slovenskej republiky</v>
      </c>
      <c r="AN1054" s="17" t="str">
        <f>IF(SrcDB[[#This Row],[Pocet zmluv dodavatela]]&gt;3,SrcDB[[#This Row],[Dodavatel]],"Ostatné")</f>
        <v>DITEC, a.s.</v>
      </c>
    </row>
    <row r="1055" spans="1:40" x14ac:dyDescent="0.3">
      <c r="A1055" s="2" t="s">
        <v>478</v>
      </c>
      <c r="B1055" s="2">
        <v>7985235</v>
      </c>
      <c r="C1055" s="3" t="str">
        <f t="shared" si="1137"/>
        <v>Nejasné</v>
      </c>
      <c r="D1055" s="3" t="str">
        <f t="shared" si="1138"/>
        <v>Nejasné</v>
      </c>
      <c r="E1055" s="3" t="s">
        <v>48</v>
      </c>
      <c r="F1055" s="3" t="s">
        <v>49</v>
      </c>
      <c r="G1055" s="2" t="str">
        <f t="shared" si="1139"/>
        <v>Stredné zmluvy</v>
      </c>
      <c r="H1055" s="5" t="s">
        <v>391</v>
      </c>
      <c r="I1055" s="2" t="s">
        <v>392</v>
      </c>
      <c r="J1055" s="2" t="s">
        <v>393</v>
      </c>
      <c r="K1055" s="5">
        <v>44367465</v>
      </c>
      <c r="L1055" s="2" t="s">
        <v>932</v>
      </c>
      <c r="M1055" s="2" t="s">
        <v>1209</v>
      </c>
      <c r="N1055" s="6">
        <v>45092.559664351851</v>
      </c>
      <c r="O1055" s="4">
        <v>1859600</v>
      </c>
      <c r="P1055" s="2">
        <v>114533</v>
      </c>
      <c r="Q1055" s="2" t="s">
        <v>1257</v>
      </c>
      <c r="R1055" s="2" t="s">
        <v>1258</v>
      </c>
      <c r="S1055" s="2" t="s">
        <v>183</v>
      </c>
      <c r="T1055" s="2" t="s">
        <v>183</v>
      </c>
      <c r="W1055" s="4">
        <v>400</v>
      </c>
      <c r="X1055" s="4">
        <v>480</v>
      </c>
      <c r="Y1055" s="4">
        <f t="shared" ref="Y1055" si="1171">INDEX(InternalRates,MATCH($S1055,InternalRates01,FALSE),2)</f>
        <v>278.98333333333335</v>
      </c>
      <c r="Z1055" s="3" t="str">
        <f t="shared" si="1102"/>
        <v>Nie</v>
      </c>
      <c r="AA1055" s="3" t="str">
        <f t="shared" si="1103"/>
        <v>SLA</v>
      </c>
      <c r="AB1055" s="4">
        <v>875</v>
      </c>
      <c r="AC1055" s="4">
        <v>875</v>
      </c>
      <c r="AD1055" s="3" t="s">
        <v>48</v>
      </c>
      <c r="AE1055" s="6">
        <v>45539</v>
      </c>
      <c r="AF1055" s="3" t="s">
        <v>59</v>
      </c>
      <c r="AG1055" s="3" t="s">
        <v>49</v>
      </c>
      <c r="AH1055" s="3">
        <f>YEAR(SrcDB[[#This Row],[Datum_zverejnenia]])</f>
        <v>2023</v>
      </c>
      <c r="AI1055" s="3" cm="1">
        <f t="array" ref="AI1055">COUNT(_xlfn.UNIQUE(_xlfn._xlws.FILTER(SrcDB[ID],SrcDB[Objednavatel_ICO]=$H1055)))</f>
        <v>7</v>
      </c>
      <c r="AJ1055" s="3" cm="1">
        <f t="array" ref="AJ1055">COUNT(_xlfn.UNIQUE(_xlfn._xlws.FILTER(SrcDB[ID],SrcDB[Dodavatel_ICO]=$K1055)))</f>
        <v>4</v>
      </c>
      <c r="AK1055" s="3">
        <f t="shared" si="1143"/>
        <v>1</v>
      </c>
      <c r="AL1055" s="3">
        <f t="shared" si="1144"/>
        <v>1</v>
      </c>
      <c r="AM1055" s="17" t="str">
        <f>IF(SrcDB[[#This Row],[Pocet zmluv objednavatela]]&gt;3,SrcDB[[#This Row],[Objednavatel]],"Ostatné")</f>
        <v>Ministerstvo práce, sociálnych vecí a rodiny SR</v>
      </c>
      <c r="AN1055" s="17" t="str">
        <f>IF(SrcDB[[#This Row],[Pocet zmluv dodavatela]]&gt;3,SrcDB[[#This Row],[Dodavatel]],"Ostatné")</f>
        <v>Soimco a. s.</v>
      </c>
    </row>
    <row r="1056" spans="1:40" x14ac:dyDescent="0.3">
      <c r="A1056" s="2" t="s">
        <v>176</v>
      </c>
      <c r="B1056" s="2">
        <v>8045301</v>
      </c>
      <c r="C1056" s="3" t="str">
        <f t="shared" si="1137"/>
        <v>Áno</v>
      </c>
      <c r="D1056" s="3" t="str">
        <f t="shared" si="1138"/>
        <v>Nie</v>
      </c>
      <c r="E1056" s="3" t="s">
        <v>49</v>
      </c>
      <c r="F1056" s="3" t="s">
        <v>48</v>
      </c>
      <c r="G1056" s="2" t="str">
        <f t="shared" si="1139"/>
        <v>Malé zmluvy</v>
      </c>
      <c r="H1056" s="5" t="s">
        <v>1259</v>
      </c>
      <c r="I1056" s="2" t="s">
        <v>1260</v>
      </c>
      <c r="J1056" s="2" t="s">
        <v>1261</v>
      </c>
      <c r="K1056" s="5">
        <v>46928073</v>
      </c>
      <c r="L1056" s="2" t="s">
        <v>900</v>
      </c>
      <c r="M1056" s="2" t="s">
        <v>1078</v>
      </c>
      <c r="N1056" s="6">
        <v>45106.400775462964</v>
      </c>
      <c r="O1056" s="4">
        <v>215167.2</v>
      </c>
      <c r="P1056" s="2">
        <v>6215909</v>
      </c>
      <c r="Q1056" s="2" t="s">
        <v>1262</v>
      </c>
      <c r="R1056" s="2" t="s">
        <v>1263</v>
      </c>
      <c r="S1056" s="2" t="s">
        <v>71</v>
      </c>
      <c r="T1056" s="2" t="s">
        <v>196</v>
      </c>
      <c r="W1056" s="4">
        <v>420</v>
      </c>
      <c r="X1056" s="4">
        <v>504</v>
      </c>
      <c r="Y1056" s="4">
        <f t="shared" ref="Y1056" si="1172">INDEX(InternalRates,MATCH($S1056,InternalRates01,FALSE),2)</f>
        <v>354.0333333333333</v>
      </c>
      <c r="Z1056" s="3" t="str">
        <f t="shared" ref="Z1056:Z1119" si="1173">IF(W1056&gt;0,IF(Y1056&gt;W1056,"Áno","Nie"),"Nie")</f>
        <v>Nie</v>
      </c>
      <c r="AA1056" s="3" t="str">
        <f t="shared" ref="AA1056:AA1119" si="1174">IF(E1056="Nie","SLA",IF(F1056="Nie","ZoD","SLA+ZoD"))</f>
        <v>ZoD</v>
      </c>
      <c r="AB1056" s="4">
        <v>6</v>
      </c>
      <c r="AC1056" s="4">
        <v>14.399999999999999</v>
      </c>
      <c r="AD1056" s="3" t="s">
        <v>49</v>
      </c>
      <c r="AE1056" s="6">
        <v>45546</v>
      </c>
      <c r="AF1056" s="3" t="s">
        <v>59</v>
      </c>
      <c r="AG1056" s="3" t="s">
        <v>49</v>
      </c>
      <c r="AH1056" s="3">
        <f>YEAR(SrcDB[[#This Row],[Datum_zverejnenia]])</f>
        <v>2023</v>
      </c>
      <c r="AI1056" s="3" cm="1">
        <f t="array" ref="AI1056">COUNT(_xlfn.UNIQUE(_xlfn._xlws.FILTER(SrcDB[ID],SrcDB[Objednavatel_ICO]=$H1056)))</f>
        <v>1</v>
      </c>
      <c r="AJ1056" s="3" cm="1">
        <f t="array" ref="AJ1056">COUNT(_xlfn.UNIQUE(_xlfn._xlws.FILTER(SrcDB[ID],SrcDB[Dodavatel_ICO]=$K1056)))</f>
        <v>4</v>
      </c>
      <c r="AK1056" s="3">
        <f t="shared" si="1143"/>
        <v>1</v>
      </c>
      <c r="AL1056" s="3">
        <f t="shared" si="1144"/>
        <v>1</v>
      </c>
      <c r="AM1056" s="17" t="str">
        <f>IF(SrcDB[[#This Row],[Pocet zmluv objednavatela]]&gt;3,SrcDB[[#This Row],[Objednavatel]],"Ostatné")</f>
        <v>Ostatné</v>
      </c>
      <c r="AN1056" s="17" t="str">
        <f>IF(SrcDB[[#This Row],[Pocet zmluv dodavatela]]&gt;3,SrcDB[[#This Row],[Dodavatel]],"Ostatné")</f>
        <v>Synergon a.s.</v>
      </c>
    </row>
    <row r="1057" spans="1:40" x14ac:dyDescent="0.3">
      <c r="A1057" s="2" t="s">
        <v>176</v>
      </c>
      <c r="B1057" s="2">
        <v>8045301</v>
      </c>
      <c r="C1057" s="3" t="str">
        <f t="shared" si="1137"/>
        <v>Áno</v>
      </c>
      <c r="D1057" s="3" t="str">
        <f t="shared" si="1138"/>
        <v>Nie</v>
      </c>
      <c r="E1057" s="3" t="s">
        <v>49</v>
      </c>
      <c r="F1057" s="3" t="s">
        <v>48</v>
      </c>
      <c r="G1057" s="2" t="str">
        <f t="shared" si="1139"/>
        <v>Malé zmluvy</v>
      </c>
      <c r="H1057" s="5" t="s">
        <v>1259</v>
      </c>
      <c r="I1057" s="2" t="s">
        <v>1260</v>
      </c>
      <c r="J1057" s="2" t="s">
        <v>1261</v>
      </c>
      <c r="K1057" s="5">
        <v>46928073</v>
      </c>
      <c r="L1057" s="2" t="s">
        <v>900</v>
      </c>
      <c r="M1057" s="2" t="s">
        <v>1078</v>
      </c>
      <c r="N1057" s="6">
        <v>45106.400775462964</v>
      </c>
      <c r="O1057" s="4">
        <v>215167.2</v>
      </c>
      <c r="P1057" s="2">
        <v>6215909</v>
      </c>
      <c r="Q1057" s="2" t="s">
        <v>1262</v>
      </c>
      <c r="R1057" s="2" t="s">
        <v>1263</v>
      </c>
      <c r="S1057" s="2" t="s">
        <v>69</v>
      </c>
      <c r="T1057" s="2" t="s">
        <v>285</v>
      </c>
      <c r="W1057" s="4">
        <v>420</v>
      </c>
      <c r="X1057" s="4">
        <v>504</v>
      </c>
      <c r="Y1057" s="4">
        <f t="shared" ref="Y1057" si="1175">INDEX(InternalRates,MATCH($S1057,InternalRates01,FALSE),2)</f>
        <v>278.98333333333335</v>
      </c>
      <c r="Z1057" s="3" t="str">
        <f t="shared" si="1173"/>
        <v>Nie</v>
      </c>
      <c r="AA1057" s="3" t="str">
        <f t="shared" si="1174"/>
        <v>ZoD</v>
      </c>
      <c r="AB1057" s="4">
        <v>7</v>
      </c>
      <c r="AC1057" s="4">
        <v>16.8</v>
      </c>
      <c r="AD1057" s="3" t="s">
        <v>49</v>
      </c>
      <c r="AE1057" s="6">
        <v>45546</v>
      </c>
      <c r="AF1057" s="3" t="s">
        <v>59</v>
      </c>
      <c r="AG1057" s="3" t="s">
        <v>49</v>
      </c>
      <c r="AH1057" s="3">
        <f>YEAR(SrcDB[[#This Row],[Datum_zverejnenia]])</f>
        <v>2023</v>
      </c>
      <c r="AI1057" s="3" cm="1">
        <f t="array" ref="AI1057">COUNT(_xlfn.UNIQUE(_xlfn._xlws.FILTER(SrcDB[ID],SrcDB[Objednavatel_ICO]=$H1057)))</f>
        <v>1</v>
      </c>
      <c r="AJ1057" s="3" cm="1">
        <f t="array" ref="AJ1057">COUNT(_xlfn.UNIQUE(_xlfn._xlws.FILTER(SrcDB[ID],SrcDB[Dodavatel_ICO]=$K1057)))</f>
        <v>4</v>
      </c>
      <c r="AK1057" s="3">
        <f t="shared" si="1143"/>
        <v>0</v>
      </c>
      <c r="AL1057" s="3">
        <f t="shared" si="1144"/>
        <v>0</v>
      </c>
      <c r="AM1057" s="17" t="str">
        <f>IF(SrcDB[[#This Row],[Pocet zmluv objednavatela]]&gt;3,SrcDB[[#This Row],[Objednavatel]],"Ostatné")</f>
        <v>Ostatné</v>
      </c>
      <c r="AN1057" s="17" t="str">
        <f>IF(SrcDB[[#This Row],[Pocet zmluv dodavatela]]&gt;3,SrcDB[[#This Row],[Dodavatel]],"Ostatné")</f>
        <v>Synergon a.s.</v>
      </c>
    </row>
    <row r="1058" spans="1:40" x14ac:dyDescent="0.3">
      <c r="A1058" s="2" t="s">
        <v>176</v>
      </c>
      <c r="B1058" s="2">
        <v>8045301</v>
      </c>
      <c r="C1058" s="3" t="str">
        <f t="shared" si="1137"/>
        <v>Áno</v>
      </c>
      <c r="D1058" s="3" t="str">
        <f t="shared" si="1138"/>
        <v>Nie</v>
      </c>
      <c r="E1058" s="3" t="s">
        <v>49</v>
      </c>
      <c r="F1058" s="3" t="s">
        <v>48</v>
      </c>
      <c r="G1058" s="2" t="str">
        <f t="shared" si="1139"/>
        <v>Malé zmluvy</v>
      </c>
      <c r="H1058" s="5" t="s">
        <v>1259</v>
      </c>
      <c r="I1058" s="2" t="s">
        <v>1260</v>
      </c>
      <c r="J1058" s="2" t="s">
        <v>1261</v>
      </c>
      <c r="K1058" s="5">
        <v>46928073</v>
      </c>
      <c r="L1058" s="2" t="s">
        <v>900</v>
      </c>
      <c r="M1058" s="2" t="s">
        <v>1078</v>
      </c>
      <c r="N1058" s="6">
        <v>45106.400775462964</v>
      </c>
      <c r="O1058" s="4">
        <v>215167.2</v>
      </c>
      <c r="P1058" s="2">
        <v>6215909</v>
      </c>
      <c r="Q1058" s="2" t="s">
        <v>1262</v>
      </c>
      <c r="R1058" s="2" t="s">
        <v>1263</v>
      </c>
      <c r="S1058" s="2" t="s">
        <v>73</v>
      </c>
      <c r="T1058" s="2" t="s">
        <v>90</v>
      </c>
      <c r="W1058" s="4">
        <v>420</v>
      </c>
      <c r="X1058" s="4">
        <v>504</v>
      </c>
      <c r="Y1058" s="4">
        <f t="shared" ref="Y1058" si="1176">INDEX(InternalRates,MATCH($S1058,InternalRates01,FALSE),2)</f>
        <v>278.98333333333335</v>
      </c>
      <c r="Z1058" s="3" t="str">
        <f t="shared" si="1173"/>
        <v>Nie</v>
      </c>
      <c r="AA1058" s="3" t="str">
        <f t="shared" si="1174"/>
        <v>ZoD</v>
      </c>
      <c r="AB1058" s="4">
        <v>58</v>
      </c>
      <c r="AC1058" s="4">
        <v>139.19999999999999</v>
      </c>
      <c r="AD1058" s="3" t="s">
        <v>49</v>
      </c>
      <c r="AE1058" s="6">
        <v>45546</v>
      </c>
      <c r="AF1058" s="3" t="s">
        <v>59</v>
      </c>
      <c r="AG1058" s="3" t="s">
        <v>49</v>
      </c>
      <c r="AH1058" s="3">
        <f>YEAR(SrcDB[[#This Row],[Datum_zverejnenia]])</f>
        <v>2023</v>
      </c>
      <c r="AI1058" s="3" cm="1">
        <f t="array" ref="AI1058">COUNT(_xlfn.UNIQUE(_xlfn._xlws.FILTER(SrcDB[ID],SrcDB[Objednavatel_ICO]=$H1058)))</f>
        <v>1</v>
      </c>
      <c r="AJ1058" s="3" cm="1">
        <f t="array" ref="AJ1058">COUNT(_xlfn.UNIQUE(_xlfn._xlws.FILTER(SrcDB[ID],SrcDB[Dodavatel_ICO]=$K1058)))</f>
        <v>4</v>
      </c>
      <c r="AK1058" s="3">
        <f t="shared" si="1143"/>
        <v>0</v>
      </c>
      <c r="AL1058" s="3">
        <f t="shared" si="1144"/>
        <v>0</v>
      </c>
      <c r="AM1058" s="17" t="str">
        <f>IF(SrcDB[[#This Row],[Pocet zmluv objednavatela]]&gt;3,SrcDB[[#This Row],[Objednavatel]],"Ostatné")</f>
        <v>Ostatné</v>
      </c>
      <c r="AN1058" s="17" t="str">
        <f>IF(SrcDB[[#This Row],[Pocet zmluv dodavatela]]&gt;3,SrcDB[[#This Row],[Dodavatel]],"Ostatné")</f>
        <v>Synergon a.s.</v>
      </c>
    </row>
    <row r="1059" spans="1:40" x14ac:dyDescent="0.3">
      <c r="A1059" s="2" t="s">
        <v>176</v>
      </c>
      <c r="B1059" s="2">
        <v>8045301</v>
      </c>
      <c r="C1059" s="3" t="str">
        <f t="shared" si="1137"/>
        <v>Áno</v>
      </c>
      <c r="D1059" s="3" t="str">
        <f t="shared" si="1138"/>
        <v>Nie</v>
      </c>
      <c r="E1059" s="3" t="s">
        <v>49</v>
      </c>
      <c r="F1059" s="3" t="s">
        <v>48</v>
      </c>
      <c r="G1059" s="2" t="str">
        <f t="shared" si="1139"/>
        <v>Malé zmluvy</v>
      </c>
      <c r="H1059" s="5" t="s">
        <v>1259</v>
      </c>
      <c r="I1059" s="2" t="s">
        <v>1260</v>
      </c>
      <c r="J1059" s="2" t="s">
        <v>1261</v>
      </c>
      <c r="K1059" s="5">
        <v>46928073</v>
      </c>
      <c r="L1059" s="2" t="s">
        <v>900</v>
      </c>
      <c r="M1059" s="2" t="s">
        <v>1078</v>
      </c>
      <c r="N1059" s="6">
        <v>45106.400775462964</v>
      </c>
      <c r="O1059" s="4">
        <v>215167.2</v>
      </c>
      <c r="P1059" s="2">
        <v>6215909</v>
      </c>
      <c r="Q1059" s="2" t="s">
        <v>1262</v>
      </c>
      <c r="R1059" s="2" t="s">
        <v>1263</v>
      </c>
      <c r="S1059" s="2" t="s">
        <v>56</v>
      </c>
      <c r="T1059" s="2" t="s">
        <v>94</v>
      </c>
      <c r="U1059" s="2" t="s">
        <v>95</v>
      </c>
      <c r="W1059" s="4">
        <v>650</v>
      </c>
      <c r="X1059" s="4">
        <v>780</v>
      </c>
      <c r="Y1059" s="4">
        <f t="shared" ref="Y1059" si="1177">INDEX(InternalRates,MATCH($S1059,InternalRates01,FALSE),2)</f>
        <v>278.98333333333335</v>
      </c>
      <c r="Z1059" s="3" t="str">
        <f t="shared" si="1173"/>
        <v>Nie</v>
      </c>
      <c r="AA1059" s="3" t="str">
        <f t="shared" si="1174"/>
        <v>ZoD</v>
      </c>
      <c r="AB1059" s="4">
        <v>25</v>
      </c>
      <c r="AC1059" s="4">
        <v>60</v>
      </c>
      <c r="AD1059" s="3" t="s">
        <v>49</v>
      </c>
      <c r="AE1059" s="6">
        <v>45546</v>
      </c>
      <c r="AF1059" s="3" t="s">
        <v>59</v>
      </c>
      <c r="AG1059" s="3" t="s">
        <v>49</v>
      </c>
      <c r="AH1059" s="3">
        <f>YEAR(SrcDB[[#This Row],[Datum_zverejnenia]])</f>
        <v>2023</v>
      </c>
      <c r="AI1059" s="3" cm="1">
        <f t="array" ref="AI1059">COUNT(_xlfn.UNIQUE(_xlfn._xlws.FILTER(SrcDB[ID],SrcDB[Objednavatel_ICO]=$H1059)))</f>
        <v>1</v>
      </c>
      <c r="AJ1059" s="3" cm="1">
        <f t="array" ref="AJ1059">COUNT(_xlfn.UNIQUE(_xlfn._xlws.FILTER(SrcDB[ID],SrcDB[Dodavatel_ICO]=$K1059)))</f>
        <v>4</v>
      </c>
      <c r="AK1059" s="3">
        <f t="shared" si="1143"/>
        <v>0</v>
      </c>
      <c r="AL1059" s="3">
        <f t="shared" si="1144"/>
        <v>0</v>
      </c>
      <c r="AM1059" s="17" t="str">
        <f>IF(SrcDB[[#This Row],[Pocet zmluv objednavatela]]&gt;3,SrcDB[[#This Row],[Objednavatel]],"Ostatné")</f>
        <v>Ostatné</v>
      </c>
      <c r="AN1059" s="17" t="str">
        <f>IF(SrcDB[[#This Row],[Pocet zmluv dodavatela]]&gt;3,SrcDB[[#This Row],[Dodavatel]],"Ostatné")</f>
        <v>Synergon a.s.</v>
      </c>
    </row>
    <row r="1060" spans="1:40" x14ac:dyDescent="0.3">
      <c r="A1060" s="2" t="s">
        <v>176</v>
      </c>
      <c r="B1060" s="2">
        <v>8045301</v>
      </c>
      <c r="C1060" s="3" t="str">
        <f t="shared" si="1137"/>
        <v>Áno</v>
      </c>
      <c r="D1060" s="3" t="str">
        <f t="shared" si="1138"/>
        <v>Nie</v>
      </c>
      <c r="E1060" s="3" t="s">
        <v>49</v>
      </c>
      <c r="F1060" s="3" t="s">
        <v>48</v>
      </c>
      <c r="G1060" s="2" t="str">
        <f t="shared" si="1139"/>
        <v>Malé zmluvy</v>
      </c>
      <c r="H1060" s="5" t="s">
        <v>1259</v>
      </c>
      <c r="I1060" s="2" t="s">
        <v>1260</v>
      </c>
      <c r="J1060" s="2" t="s">
        <v>1261</v>
      </c>
      <c r="K1060" s="5">
        <v>46928073</v>
      </c>
      <c r="L1060" s="2" t="s">
        <v>900</v>
      </c>
      <c r="M1060" s="2" t="s">
        <v>1078</v>
      </c>
      <c r="N1060" s="6">
        <v>45106.400775462964</v>
      </c>
      <c r="O1060" s="4">
        <v>215167.2</v>
      </c>
      <c r="P1060" s="2">
        <v>6215909</v>
      </c>
      <c r="Q1060" s="2" t="s">
        <v>1262</v>
      </c>
      <c r="R1060" s="2" t="s">
        <v>1263</v>
      </c>
      <c r="S1060" s="2" t="s">
        <v>56</v>
      </c>
      <c r="T1060" s="2" t="s">
        <v>1264</v>
      </c>
      <c r="U1060" s="2" t="s">
        <v>97</v>
      </c>
      <c r="W1060" s="4">
        <v>420</v>
      </c>
      <c r="X1060" s="4">
        <v>504</v>
      </c>
      <c r="Y1060" s="4">
        <f t="shared" ref="Y1060" si="1178">INDEX(InternalRates,MATCH($S1060,InternalRates01,FALSE),2)</f>
        <v>278.98333333333335</v>
      </c>
      <c r="Z1060" s="3" t="str">
        <f t="shared" si="1173"/>
        <v>Nie</v>
      </c>
      <c r="AA1060" s="3" t="str">
        <f t="shared" si="1174"/>
        <v>ZoD</v>
      </c>
      <c r="AB1060" s="4">
        <v>39</v>
      </c>
      <c r="AC1060" s="4">
        <v>93.6</v>
      </c>
      <c r="AD1060" s="3" t="s">
        <v>49</v>
      </c>
      <c r="AE1060" s="6">
        <v>45546</v>
      </c>
      <c r="AF1060" s="3" t="s">
        <v>59</v>
      </c>
      <c r="AG1060" s="3" t="s">
        <v>49</v>
      </c>
      <c r="AH1060" s="3">
        <f>YEAR(SrcDB[[#This Row],[Datum_zverejnenia]])</f>
        <v>2023</v>
      </c>
      <c r="AI1060" s="3" cm="1">
        <f t="array" ref="AI1060">COUNT(_xlfn.UNIQUE(_xlfn._xlws.FILTER(SrcDB[ID],SrcDB[Objednavatel_ICO]=$H1060)))</f>
        <v>1</v>
      </c>
      <c r="AJ1060" s="3" cm="1">
        <f t="array" ref="AJ1060">COUNT(_xlfn.UNIQUE(_xlfn._xlws.FILTER(SrcDB[ID],SrcDB[Dodavatel_ICO]=$K1060)))</f>
        <v>4</v>
      </c>
      <c r="AK1060" s="3">
        <f t="shared" si="1143"/>
        <v>0</v>
      </c>
      <c r="AL1060" s="3">
        <f t="shared" si="1144"/>
        <v>0</v>
      </c>
      <c r="AM1060" s="17" t="str">
        <f>IF(SrcDB[[#This Row],[Pocet zmluv objednavatela]]&gt;3,SrcDB[[#This Row],[Objednavatel]],"Ostatné")</f>
        <v>Ostatné</v>
      </c>
      <c r="AN1060" s="17" t="str">
        <f>IF(SrcDB[[#This Row],[Pocet zmluv dodavatela]]&gt;3,SrcDB[[#This Row],[Dodavatel]],"Ostatné")</f>
        <v>Synergon a.s.</v>
      </c>
    </row>
    <row r="1061" spans="1:40" x14ac:dyDescent="0.3">
      <c r="A1061" s="2" t="s">
        <v>176</v>
      </c>
      <c r="B1061" s="2">
        <v>8045301</v>
      </c>
      <c r="C1061" s="3" t="str">
        <f t="shared" si="1137"/>
        <v>Áno</v>
      </c>
      <c r="D1061" s="3" t="str">
        <f t="shared" si="1138"/>
        <v>Nie</v>
      </c>
      <c r="E1061" s="3" t="s">
        <v>49</v>
      </c>
      <c r="F1061" s="3" t="s">
        <v>48</v>
      </c>
      <c r="G1061" s="2" t="str">
        <f t="shared" si="1139"/>
        <v>Malé zmluvy</v>
      </c>
      <c r="H1061" s="5" t="s">
        <v>1259</v>
      </c>
      <c r="I1061" s="2" t="s">
        <v>1260</v>
      </c>
      <c r="J1061" s="2" t="s">
        <v>1261</v>
      </c>
      <c r="K1061" s="5">
        <v>46928073</v>
      </c>
      <c r="L1061" s="2" t="s">
        <v>900</v>
      </c>
      <c r="M1061" s="2" t="s">
        <v>1078</v>
      </c>
      <c r="N1061" s="6">
        <v>45106.400775462964</v>
      </c>
      <c r="O1061" s="4">
        <v>215167.2</v>
      </c>
      <c r="P1061" s="2">
        <v>6215909</v>
      </c>
      <c r="Q1061" s="2" t="s">
        <v>1262</v>
      </c>
      <c r="R1061" s="2" t="s">
        <v>1263</v>
      </c>
      <c r="S1061" s="2" t="s">
        <v>56</v>
      </c>
      <c r="T1061" s="2" t="s">
        <v>288</v>
      </c>
      <c r="U1061" s="2" t="s">
        <v>289</v>
      </c>
      <c r="W1061" s="4">
        <v>373</v>
      </c>
      <c r="X1061" s="4">
        <v>447.59999999999997</v>
      </c>
      <c r="Y1061" s="4">
        <f t="shared" ref="Y1061" si="1179">INDEX(InternalRates,MATCH($S1061,InternalRates01,FALSE),2)</f>
        <v>278.98333333333335</v>
      </c>
      <c r="Z1061" s="3" t="str">
        <f t="shared" si="1173"/>
        <v>Nie</v>
      </c>
      <c r="AA1061" s="3" t="str">
        <f t="shared" si="1174"/>
        <v>ZoD</v>
      </c>
      <c r="AB1061" s="4">
        <v>7</v>
      </c>
      <c r="AC1061" s="4">
        <v>16.8</v>
      </c>
      <c r="AD1061" s="3" t="s">
        <v>49</v>
      </c>
      <c r="AE1061" s="6">
        <v>45546</v>
      </c>
      <c r="AF1061" s="3" t="s">
        <v>59</v>
      </c>
      <c r="AG1061" s="3" t="s">
        <v>49</v>
      </c>
      <c r="AH1061" s="3">
        <f>YEAR(SrcDB[[#This Row],[Datum_zverejnenia]])</f>
        <v>2023</v>
      </c>
      <c r="AI1061" s="3" cm="1">
        <f t="array" ref="AI1061">COUNT(_xlfn.UNIQUE(_xlfn._xlws.FILTER(SrcDB[ID],SrcDB[Objednavatel_ICO]=$H1061)))</f>
        <v>1</v>
      </c>
      <c r="AJ1061" s="3" cm="1">
        <f t="array" ref="AJ1061">COUNT(_xlfn.UNIQUE(_xlfn._xlws.FILTER(SrcDB[ID],SrcDB[Dodavatel_ICO]=$K1061)))</f>
        <v>4</v>
      </c>
      <c r="AK1061" s="3">
        <f t="shared" si="1143"/>
        <v>0</v>
      </c>
      <c r="AL1061" s="3">
        <f t="shared" si="1144"/>
        <v>0</v>
      </c>
      <c r="AM1061" s="17" t="str">
        <f>IF(SrcDB[[#This Row],[Pocet zmluv objednavatela]]&gt;3,SrcDB[[#This Row],[Objednavatel]],"Ostatné")</f>
        <v>Ostatné</v>
      </c>
      <c r="AN1061" s="17" t="str">
        <f>IF(SrcDB[[#This Row],[Pocet zmluv dodavatela]]&gt;3,SrcDB[[#This Row],[Dodavatel]],"Ostatné")</f>
        <v>Synergon a.s.</v>
      </c>
    </row>
    <row r="1062" spans="1:40" x14ac:dyDescent="0.3">
      <c r="A1062" s="2" t="s">
        <v>176</v>
      </c>
      <c r="B1062" s="2">
        <v>8045301</v>
      </c>
      <c r="C1062" s="3" t="str">
        <f t="shared" si="1137"/>
        <v>Áno</v>
      </c>
      <c r="D1062" s="3" t="str">
        <f t="shared" si="1138"/>
        <v>Nie</v>
      </c>
      <c r="E1062" s="3" t="s">
        <v>49</v>
      </c>
      <c r="F1062" s="3" t="s">
        <v>48</v>
      </c>
      <c r="G1062" s="2" t="str">
        <f t="shared" si="1139"/>
        <v>Malé zmluvy</v>
      </c>
      <c r="H1062" s="5" t="s">
        <v>1259</v>
      </c>
      <c r="I1062" s="2" t="s">
        <v>1260</v>
      </c>
      <c r="J1062" s="2" t="s">
        <v>1261</v>
      </c>
      <c r="K1062" s="5">
        <v>46928073</v>
      </c>
      <c r="L1062" s="2" t="s">
        <v>900</v>
      </c>
      <c r="M1062" s="2" t="s">
        <v>1078</v>
      </c>
      <c r="N1062" s="6">
        <v>45106.400775462964</v>
      </c>
      <c r="O1062" s="4">
        <v>215167.2</v>
      </c>
      <c r="P1062" s="2">
        <v>6215909</v>
      </c>
      <c r="Q1062" s="2" t="s">
        <v>1262</v>
      </c>
      <c r="R1062" s="2" t="s">
        <v>1263</v>
      </c>
      <c r="S1062" s="2" t="s">
        <v>56</v>
      </c>
      <c r="T1062" s="2" t="s">
        <v>286</v>
      </c>
      <c r="U1062" s="2" t="s">
        <v>129</v>
      </c>
      <c r="W1062" s="4">
        <v>420</v>
      </c>
      <c r="X1062" s="4">
        <v>504</v>
      </c>
      <c r="Y1062" s="4">
        <f t="shared" ref="Y1062" si="1180">INDEX(InternalRates,MATCH($S1062,InternalRates01,FALSE),2)</f>
        <v>278.98333333333335</v>
      </c>
      <c r="Z1062" s="3" t="str">
        <f t="shared" si="1173"/>
        <v>Nie</v>
      </c>
      <c r="AA1062" s="3" t="str">
        <f t="shared" si="1174"/>
        <v>ZoD</v>
      </c>
      <c r="AB1062" s="4">
        <v>68</v>
      </c>
      <c r="AC1062" s="4">
        <v>163.19999999999999</v>
      </c>
      <c r="AD1062" s="3" t="s">
        <v>49</v>
      </c>
      <c r="AE1062" s="6">
        <v>45546</v>
      </c>
      <c r="AF1062" s="3" t="s">
        <v>59</v>
      </c>
      <c r="AG1062" s="3" t="s">
        <v>49</v>
      </c>
      <c r="AH1062" s="3">
        <f>YEAR(SrcDB[[#This Row],[Datum_zverejnenia]])</f>
        <v>2023</v>
      </c>
      <c r="AI1062" s="3" cm="1">
        <f t="array" ref="AI1062">COUNT(_xlfn.UNIQUE(_xlfn._xlws.FILTER(SrcDB[ID],SrcDB[Objednavatel_ICO]=$H1062)))</f>
        <v>1</v>
      </c>
      <c r="AJ1062" s="3" cm="1">
        <f t="array" ref="AJ1062">COUNT(_xlfn.UNIQUE(_xlfn._xlws.FILTER(SrcDB[ID],SrcDB[Dodavatel_ICO]=$K1062)))</f>
        <v>4</v>
      </c>
      <c r="AK1062" s="3">
        <f t="shared" si="1143"/>
        <v>0</v>
      </c>
      <c r="AL1062" s="3">
        <f t="shared" si="1144"/>
        <v>0</v>
      </c>
      <c r="AM1062" s="17" t="str">
        <f>IF(SrcDB[[#This Row],[Pocet zmluv objednavatela]]&gt;3,SrcDB[[#This Row],[Objednavatel]],"Ostatné")</f>
        <v>Ostatné</v>
      </c>
      <c r="AN1062" s="17" t="str">
        <f>IF(SrcDB[[#This Row],[Pocet zmluv dodavatela]]&gt;3,SrcDB[[#This Row],[Dodavatel]],"Ostatné")</f>
        <v>Synergon a.s.</v>
      </c>
    </row>
    <row r="1063" spans="1:40" x14ac:dyDescent="0.3">
      <c r="A1063" s="2" t="s">
        <v>176</v>
      </c>
      <c r="B1063" s="2">
        <v>8045301</v>
      </c>
      <c r="C1063" s="3" t="str">
        <f t="shared" si="1137"/>
        <v>Áno</v>
      </c>
      <c r="D1063" s="3" t="str">
        <f t="shared" si="1138"/>
        <v>Nie</v>
      </c>
      <c r="E1063" s="3" t="s">
        <v>49</v>
      </c>
      <c r="F1063" s="3" t="s">
        <v>48</v>
      </c>
      <c r="G1063" s="2" t="str">
        <f t="shared" si="1139"/>
        <v>Malé zmluvy</v>
      </c>
      <c r="H1063" s="5" t="s">
        <v>1259</v>
      </c>
      <c r="I1063" s="2" t="s">
        <v>1260</v>
      </c>
      <c r="J1063" s="2" t="s">
        <v>1261</v>
      </c>
      <c r="K1063" s="5">
        <v>46928073</v>
      </c>
      <c r="L1063" s="2" t="s">
        <v>900</v>
      </c>
      <c r="M1063" s="2" t="s">
        <v>1078</v>
      </c>
      <c r="N1063" s="6">
        <v>45106.400775462964</v>
      </c>
      <c r="O1063" s="4">
        <v>215167.2</v>
      </c>
      <c r="P1063" s="2">
        <v>6215909</v>
      </c>
      <c r="Q1063" s="2" t="s">
        <v>1262</v>
      </c>
      <c r="R1063" s="2" t="s">
        <v>1263</v>
      </c>
      <c r="S1063" s="2" t="s">
        <v>79</v>
      </c>
      <c r="T1063" s="2" t="s">
        <v>1265</v>
      </c>
      <c r="W1063" s="4">
        <v>400</v>
      </c>
      <c r="X1063" s="4">
        <v>480</v>
      </c>
      <c r="Y1063" s="4">
        <f t="shared" ref="Y1063" si="1181">INDEX(InternalRates,MATCH($S1063,InternalRates01,FALSE),2)</f>
        <v>278.98333333333335</v>
      </c>
      <c r="Z1063" s="3" t="str">
        <f t="shared" si="1173"/>
        <v>Nie</v>
      </c>
      <c r="AA1063" s="3" t="str">
        <f t="shared" si="1174"/>
        <v>ZoD</v>
      </c>
      <c r="AB1063" s="4">
        <v>7</v>
      </c>
      <c r="AC1063" s="4">
        <v>16.8</v>
      </c>
      <c r="AD1063" s="3" t="s">
        <v>49</v>
      </c>
      <c r="AE1063" s="6">
        <v>45546</v>
      </c>
      <c r="AF1063" s="3" t="s">
        <v>59</v>
      </c>
      <c r="AG1063" s="3" t="s">
        <v>49</v>
      </c>
      <c r="AH1063" s="3">
        <f>YEAR(SrcDB[[#This Row],[Datum_zverejnenia]])</f>
        <v>2023</v>
      </c>
      <c r="AI1063" s="3" cm="1">
        <f t="array" ref="AI1063">COUNT(_xlfn.UNIQUE(_xlfn._xlws.FILTER(SrcDB[ID],SrcDB[Objednavatel_ICO]=$H1063)))</f>
        <v>1</v>
      </c>
      <c r="AJ1063" s="3" cm="1">
        <f t="array" ref="AJ1063">COUNT(_xlfn.UNIQUE(_xlfn._xlws.FILTER(SrcDB[ID],SrcDB[Dodavatel_ICO]=$K1063)))</f>
        <v>4</v>
      </c>
      <c r="AK1063" s="3">
        <f t="shared" si="1143"/>
        <v>0</v>
      </c>
      <c r="AL1063" s="3">
        <f t="shared" si="1144"/>
        <v>0</v>
      </c>
      <c r="AM1063" s="17" t="str">
        <f>IF(SrcDB[[#This Row],[Pocet zmluv objednavatela]]&gt;3,SrcDB[[#This Row],[Objednavatel]],"Ostatné")</f>
        <v>Ostatné</v>
      </c>
      <c r="AN1063" s="17" t="str">
        <f>IF(SrcDB[[#This Row],[Pocet zmluv dodavatela]]&gt;3,SrcDB[[#This Row],[Dodavatel]],"Ostatné")</f>
        <v>Synergon a.s.</v>
      </c>
    </row>
    <row r="1064" spans="1:40" x14ac:dyDescent="0.3">
      <c r="A1064" s="2" t="s">
        <v>176</v>
      </c>
      <c r="B1064" s="2">
        <v>8045301</v>
      </c>
      <c r="C1064" s="3" t="str">
        <f t="shared" si="1137"/>
        <v>Áno</v>
      </c>
      <c r="D1064" s="3" t="str">
        <f t="shared" si="1138"/>
        <v>Nie</v>
      </c>
      <c r="E1064" s="3" t="s">
        <v>49</v>
      </c>
      <c r="F1064" s="3" t="s">
        <v>48</v>
      </c>
      <c r="G1064" s="2" t="str">
        <f t="shared" si="1139"/>
        <v>Malé zmluvy</v>
      </c>
      <c r="H1064" s="5" t="s">
        <v>1259</v>
      </c>
      <c r="I1064" s="2" t="s">
        <v>1260</v>
      </c>
      <c r="J1064" s="2" t="s">
        <v>1261</v>
      </c>
      <c r="K1064" s="5">
        <v>46928073</v>
      </c>
      <c r="L1064" s="2" t="s">
        <v>900</v>
      </c>
      <c r="M1064" s="2" t="s">
        <v>1078</v>
      </c>
      <c r="N1064" s="6">
        <v>45106.400775462964</v>
      </c>
      <c r="O1064" s="4">
        <v>215167.2</v>
      </c>
      <c r="P1064" s="2">
        <v>6215909</v>
      </c>
      <c r="Q1064" s="2" t="s">
        <v>1262</v>
      </c>
      <c r="R1064" s="2" t="s">
        <v>1263</v>
      </c>
      <c r="S1064" s="2" t="s">
        <v>56</v>
      </c>
      <c r="T1064" s="2" t="s">
        <v>591</v>
      </c>
      <c r="U1064" s="2" t="s">
        <v>449</v>
      </c>
      <c r="W1064" s="4">
        <v>420</v>
      </c>
      <c r="X1064" s="4">
        <v>504</v>
      </c>
      <c r="Y1064" s="4">
        <f t="shared" ref="Y1064" si="1182">INDEX(InternalRates,MATCH($S1064,InternalRates01,FALSE),2)</f>
        <v>278.98333333333335</v>
      </c>
      <c r="Z1064" s="3" t="str">
        <f t="shared" si="1173"/>
        <v>Nie</v>
      </c>
      <c r="AA1064" s="3" t="str">
        <f t="shared" si="1174"/>
        <v>ZoD</v>
      </c>
      <c r="AB1064" s="4">
        <v>17</v>
      </c>
      <c r="AC1064" s="4">
        <v>40.799999999999997</v>
      </c>
      <c r="AD1064" s="3" t="s">
        <v>49</v>
      </c>
      <c r="AE1064" s="6">
        <v>45546</v>
      </c>
      <c r="AF1064" s="3" t="s">
        <v>59</v>
      </c>
      <c r="AG1064" s="3" t="s">
        <v>49</v>
      </c>
      <c r="AH1064" s="3">
        <f>YEAR(SrcDB[[#This Row],[Datum_zverejnenia]])</f>
        <v>2023</v>
      </c>
      <c r="AI1064" s="3" cm="1">
        <f t="array" ref="AI1064">COUNT(_xlfn.UNIQUE(_xlfn._xlws.FILTER(SrcDB[ID],SrcDB[Objednavatel_ICO]=$H1064)))</f>
        <v>1</v>
      </c>
      <c r="AJ1064" s="3" cm="1">
        <f t="array" ref="AJ1064">COUNT(_xlfn.UNIQUE(_xlfn._xlws.FILTER(SrcDB[ID],SrcDB[Dodavatel_ICO]=$K1064)))</f>
        <v>4</v>
      </c>
      <c r="AK1064" s="3">
        <f t="shared" si="1143"/>
        <v>0</v>
      </c>
      <c r="AL1064" s="3">
        <f t="shared" si="1144"/>
        <v>0</v>
      </c>
      <c r="AM1064" s="17" t="str">
        <f>IF(SrcDB[[#This Row],[Pocet zmluv objednavatela]]&gt;3,SrcDB[[#This Row],[Objednavatel]],"Ostatné")</f>
        <v>Ostatné</v>
      </c>
      <c r="AN1064" s="17" t="str">
        <f>IF(SrcDB[[#This Row],[Pocet zmluv dodavatela]]&gt;3,SrcDB[[#This Row],[Dodavatel]],"Ostatné")</f>
        <v>Synergon a.s.</v>
      </c>
    </row>
    <row r="1065" spans="1:40" x14ac:dyDescent="0.3">
      <c r="A1065" s="2" t="s">
        <v>176</v>
      </c>
      <c r="B1065" s="2">
        <v>8045301</v>
      </c>
      <c r="C1065" s="3" t="str">
        <f t="shared" si="1137"/>
        <v>Áno</v>
      </c>
      <c r="D1065" s="3" t="str">
        <f t="shared" si="1138"/>
        <v>Nie</v>
      </c>
      <c r="E1065" s="3" t="s">
        <v>49</v>
      </c>
      <c r="F1065" s="3" t="s">
        <v>48</v>
      </c>
      <c r="G1065" s="2" t="str">
        <f t="shared" si="1139"/>
        <v>Malé zmluvy</v>
      </c>
      <c r="H1065" s="5" t="s">
        <v>1259</v>
      </c>
      <c r="I1065" s="2" t="s">
        <v>1260</v>
      </c>
      <c r="J1065" s="2" t="s">
        <v>1261</v>
      </c>
      <c r="K1065" s="5">
        <v>46928073</v>
      </c>
      <c r="L1065" s="2" t="s">
        <v>900</v>
      </c>
      <c r="M1065" s="2" t="s">
        <v>1078</v>
      </c>
      <c r="N1065" s="6">
        <v>45106.400775462964</v>
      </c>
      <c r="O1065" s="4">
        <v>215167.2</v>
      </c>
      <c r="P1065" s="2">
        <v>6215909</v>
      </c>
      <c r="Q1065" s="2" t="s">
        <v>1262</v>
      </c>
      <c r="R1065" s="2" t="s">
        <v>1263</v>
      </c>
      <c r="S1065" s="2" t="s">
        <v>98</v>
      </c>
      <c r="T1065" s="2" t="s">
        <v>287</v>
      </c>
      <c r="W1065" s="4">
        <v>420</v>
      </c>
      <c r="X1065" s="4">
        <v>504</v>
      </c>
      <c r="Y1065" s="4">
        <f t="shared" ref="Y1065" si="1183">INDEX(InternalRates,MATCH($S1065,InternalRates01,FALSE),2)</f>
        <v>278.98333333333335</v>
      </c>
      <c r="Z1065" s="3" t="str">
        <f t="shared" si="1173"/>
        <v>Nie</v>
      </c>
      <c r="AA1065" s="3" t="str">
        <f t="shared" si="1174"/>
        <v>ZoD</v>
      </c>
      <c r="AB1065" s="4">
        <v>5</v>
      </c>
      <c r="AC1065" s="4">
        <v>12</v>
      </c>
      <c r="AD1065" s="3" t="s">
        <v>49</v>
      </c>
      <c r="AE1065" s="6">
        <v>45546</v>
      </c>
      <c r="AF1065" s="3" t="s">
        <v>59</v>
      </c>
      <c r="AG1065" s="3" t="s">
        <v>49</v>
      </c>
      <c r="AH1065" s="3">
        <f>YEAR(SrcDB[[#This Row],[Datum_zverejnenia]])</f>
        <v>2023</v>
      </c>
      <c r="AI1065" s="3" cm="1">
        <f t="array" ref="AI1065">COUNT(_xlfn.UNIQUE(_xlfn._xlws.FILTER(SrcDB[ID],SrcDB[Objednavatel_ICO]=$H1065)))</f>
        <v>1</v>
      </c>
      <c r="AJ1065" s="3" cm="1">
        <f t="array" ref="AJ1065">COUNT(_xlfn.UNIQUE(_xlfn._xlws.FILTER(SrcDB[ID],SrcDB[Dodavatel_ICO]=$K1065)))</f>
        <v>4</v>
      </c>
      <c r="AK1065" s="3">
        <f t="shared" si="1143"/>
        <v>0</v>
      </c>
      <c r="AL1065" s="3">
        <f t="shared" si="1144"/>
        <v>0</v>
      </c>
      <c r="AM1065" s="17" t="str">
        <f>IF(SrcDB[[#This Row],[Pocet zmluv objednavatela]]&gt;3,SrcDB[[#This Row],[Objednavatel]],"Ostatné")</f>
        <v>Ostatné</v>
      </c>
      <c r="AN1065" s="17" t="str">
        <f>IF(SrcDB[[#This Row],[Pocet zmluv dodavatela]]&gt;3,SrcDB[[#This Row],[Dodavatel]],"Ostatné")</f>
        <v>Synergon a.s.</v>
      </c>
    </row>
    <row r="1066" spans="1:40" x14ac:dyDescent="0.3">
      <c r="A1066" s="2" t="s">
        <v>863</v>
      </c>
      <c r="B1066" s="2">
        <v>8053809</v>
      </c>
      <c r="C1066" s="3" t="str">
        <f t="shared" si="1137"/>
        <v>Nie</v>
      </c>
      <c r="D1066" s="3" t="str">
        <f t="shared" si="1138"/>
        <v>Áno</v>
      </c>
      <c r="E1066" s="3" t="s">
        <v>48</v>
      </c>
      <c r="F1066" s="3" t="s">
        <v>49</v>
      </c>
      <c r="G1066" s="2" t="str">
        <f t="shared" si="1139"/>
        <v>Malé zmluvy</v>
      </c>
      <c r="H1066" s="5">
        <v>37870475</v>
      </c>
      <c r="I1066" s="2" t="s">
        <v>1266</v>
      </c>
      <c r="J1066" s="2" t="s">
        <v>1267</v>
      </c>
      <c r="K1066" s="5">
        <v>36396222</v>
      </c>
      <c r="L1066" s="2" t="s">
        <v>52</v>
      </c>
      <c r="M1066" s="2" t="s">
        <v>53</v>
      </c>
      <c r="N1066" s="6">
        <v>45107.547291666669</v>
      </c>
      <c r="O1066" s="4">
        <v>417684</v>
      </c>
      <c r="P1066" s="2">
        <v>6215909</v>
      </c>
      <c r="Q1066" s="2" t="s">
        <v>1268</v>
      </c>
      <c r="R1066" s="2" t="s">
        <v>1269</v>
      </c>
      <c r="S1066" s="2" t="s">
        <v>123</v>
      </c>
      <c r="T1066" s="2" t="s">
        <v>1270</v>
      </c>
      <c r="V1066" s="2" t="s">
        <v>583</v>
      </c>
      <c r="W1066" s="4">
        <v>509.6</v>
      </c>
      <c r="X1066" s="4">
        <v>611.52</v>
      </c>
      <c r="Y1066" s="4">
        <f t="shared" ref="Y1066" si="1184">INDEX(InternalRates,MATCH($S1066,InternalRates01,FALSE),2)</f>
        <v>231.85833333333335</v>
      </c>
      <c r="Z1066" s="3" t="str">
        <f t="shared" si="1173"/>
        <v>Nie</v>
      </c>
      <c r="AA1066" s="3" t="str">
        <f t="shared" si="1174"/>
        <v>SLA</v>
      </c>
      <c r="AB1066" s="4">
        <v>480</v>
      </c>
      <c r="AC1066" s="4">
        <v>96</v>
      </c>
      <c r="AD1066" s="3" t="s">
        <v>48</v>
      </c>
      <c r="AE1066" s="6">
        <v>45546</v>
      </c>
      <c r="AF1066" s="3" t="s">
        <v>59</v>
      </c>
      <c r="AG1066" s="3" t="s">
        <v>49</v>
      </c>
      <c r="AH1066" s="3">
        <f>YEAR(SrcDB[[#This Row],[Datum_zverejnenia]])</f>
        <v>2023</v>
      </c>
      <c r="AI1066" s="3" cm="1">
        <f t="array" ref="AI1066">COUNT(_xlfn.UNIQUE(_xlfn._xlws.FILTER(SrcDB[ID],SrcDB[Objednavatel_ICO]=$H1066)))</f>
        <v>1</v>
      </c>
      <c r="AJ1066" s="3" cm="1">
        <f t="array" ref="AJ1066">COUNT(_xlfn.UNIQUE(_xlfn._xlws.FILTER(SrcDB[ID],SrcDB[Dodavatel_ICO]=$K1066)))</f>
        <v>11</v>
      </c>
      <c r="AK1066" s="3">
        <f t="shared" si="1143"/>
        <v>1</v>
      </c>
      <c r="AL1066" s="3">
        <f t="shared" si="1144"/>
        <v>1</v>
      </c>
      <c r="AM1066" s="17" t="str">
        <f>IF(SrcDB[[#This Row],[Pocet zmluv objednavatela]]&gt;3,SrcDB[[#This Row],[Objednavatel]],"Ostatné")</f>
        <v>Ostatné</v>
      </c>
      <c r="AN1066" s="17" t="str">
        <f>IF(SrcDB[[#This Row],[Pocet zmluv dodavatela]]&gt;3,SrcDB[[#This Row],[Dodavatel]],"Ostatné")</f>
        <v>AUTOCONT s.r.o. / ARICOMA Systems s.r.o.</v>
      </c>
    </row>
    <row r="1067" spans="1:40" x14ac:dyDescent="0.3">
      <c r="A1067" s="2" t="s">
        <v>1271</v>
      </c>
      <c r="B1067" s="2">
        <v>8059152</v>
      </c>
      <c r="C1067" s="3" t="str">
        <f t="shared" si="1137"/>
        <v>Nie</v>
      </c>
      <c r="D1067" s="3" t="str">
        <f t="shared" si="1138"/>
        <v>Áno</v>
      </c>
      <c r="E1067" s="3" t="s">
        <v>48</v>
      </c>
      <c r="F1067" s="3" t="s">
        <v>49</v>
      </c>
      <c r="G1067" s="2" t="str">
        <f t="shared" si="1139"/>
        <v>Stredné zmluvy</v>
      </c>
      <c r="H1067" s="5">
        <v>35937874</v>
      </c>
      <c r="I1067" s="2" t="s">
        <v>371</v>
      </c>
      <c r="J1067" s="2" t="s">
        <v>372</v>
      </c>
      <c r="K1067" s="5">
        <v>45650276</v>
      </c>
      <c r="L1067" s="2" t="s">
        <v>234</v>
      </c>
      <c r="M1067" s="2" t="s">
        <v>1272</v>
      </c>
      <c r="N1067" s="6">
        <v>45110.457731481481</v>
      </c>
      <c r="O1067" s="4">
        <v>2052411.6</v>
      </c>
      <c r="P1067" s="2">
        <v>114503</v>
      </c>
      <c r="Q1067" s="2" t="s">
        <v>1273</v>
      </c>
      <c r="R1067" s="2" t="s">
        <v>1274</v>
      </c>
      <c r="S1067" s="2" t="s">
        <v>123</v>
      </c>
      <c r="V1067" s="2" t="s">
        <v>140</v>
      </c>
      <c r="W1067" s="4">
        <v>832</v>
      </c>
      <c r="X1067" s="4">
        <v>998.4</v>
      </c>
      <c r="Y1067" s="4">
        <f t="shared" ref="Y1067" si="1185">INDEX(InternalRates,MATCH($S1067,InternalRates01,FALSE),2)</f>
        <v>231.85833333333335</v>
      </c>
      <c r="Z1067" s="3" t="str">
        <f t="shared" si="1173"/>
        <v>Nie</v>
      </c>
      <c r="AA1067" s="3" t="str">
        <f t="shared" si="1174"/>
        <v>SLA</v>
      </c>
      <c r="AB1067" s="4">
        <v>240</v>
      </c>
      <c r="AC1067" s="4">
        <v>80</v>
      </c>
      <c r="AD1067" s="3" t="s">
        <v>48</v>
      </c>
      <c r="AE1067" s="6">
        <v>45546</v>
      </c>
      <c r="AF1067" s="3" t="s">
        <v>59</v>
      </c>
      <c r="AG1067" s="3" t="s">
        <v>49</v>
      </c>
      <c r="AH1067" s="3">
        <f>YEAR(SrcDB[[#This Row],[Datum_zverejnenia]])</f>
        <v>2023</v>
      </c>
      <c r="AI1067" s="3" cm="1">
        <f t="array" ref="AI1067">COUNT(_xlfn.UNIQUE(_xlfn._xlws.FILTER(SrcDB[ID],SrcDB[Objednavatel_ICO]=$H1067)))</f>
        <v>4</v>
      </c>
      <c r="AJ1067" s="3" cm="1">
        <f t="array" ref="AJ1067">COUNT(_xlfn.UNIQUE(_xlfn._xlws.FILTER(SrcDB[ID],SrcDB[Dodavatel_ICO]=$K1067)))</f>
        <v>12</v>
      </c>
      <c r="AK1067" s="3">
        <f t="shared" si="1143"/>
        <v>1</v>
      </c>
      <c r="AL1067" s="3">
        <f t="shared" si="1144"/>
        <v>1</v>
      </c>
      <c r="AM1067" s="17" t="str">
        <f>IF(SrcDB[[#This Row],[Pocet zmluv objednavatela]]&gt;3,SrcDB[[#This Row],[Objednavatel]],"Ostatné")</f>
        <v>Všeobecná zdravotná poisťovňa a.s.</v>
      </c>
      <c r="AN1067" s="17" t="str">
        <f>IF(SrcDB[[#This Row],[Pocet zmluv dodavatela]]&gt;3,SrcDB[[#This Row],[Dodavatel]],"Ostatné")</f>
        <v>Atos IT Solutions and Services s.r.o. / Eviden Slovakia, s.r.o.</v>
      </c>
    </row>
    <row r="1068" spans="1:40" x14ac:dyDescent="0.3">
      <c r="A1068" s="2" t="s">
        <v>1271</v>
      </c>
      <c r="B1068" s="2">
        <v>8059152</v>
      </c>
      <c r="C1068" s="3" t="str">
        <f t="shared" si="1137"/>
        <v>Nie</v>
      </c>
      <c r="D1068" s="3" t="str">
        <f t="shared" si="1138"/>
        <v>Áno</v>
      </c>
      <c r="E1068" s="3" t="s">
        <v>48</v>
      </c>
      <c r="F1068" s="3" t="s">
        <v>49</v>
      </c>
      <c r="G1068" s="2" t="str">
        <f t="shared" si="1139"/>
        <v>Stredné zmluvy</v>
      </c>
      <c r="H1068" s="5">
        <v>35937874</v>
      </c>
      <c r="I1068" s="2" t="s">
        <v>371</v>
      </c>
      <c r="J1068" s="2" t="s">
        <v>372</v>
      </c>
      <c r="K1068" s="5">
        <v>45650276</v>
      </c>
      <c r="L1068" s="2" t="s">
        <v>234</v>
      </c>
      <c r="M1068" s="2" t="s">
        <v>1272</v>
      </c>
      <c r="N1068" s="6">
        <v>45110.457731481481</v>
      </c>
      <c r="O1068" s="4">
        <v>2052411.6</v>
      </c>
      <c r="P1068" s="2">
        <v>114503</v>
      </c>
      <c r="Q1068" s="2" t="s">
        <v>1273</v>
      </c>
      <c r="R1068" s="2" t="s">
        <v>1274</v>
      </c>
      <c r="S1068" s="2" t="s">
        <v>56</v>
      </c>
      <c r="U1068" s="2" t="s">
        <v>129</v>
      </c>
      <c r="W1068" s="4">
        <v>936</v>
      </c>
      <c r="X1068" s="4">
        <v>1123.2</v>
      </c>
      <c r="Y1068" s="4">
        <f t="shared" ref="Y1068" si="1186">INDEX(InternalRates,MATCH($S1068,InternalRates01,FALSE),2)</f>
        <v>278.98333333333335</v>
      </c>
      <c r="Z1068" s="3" t="str">
        <f t="shared" si="1173"/>
        <v>Nie</v>
      </c>
      <c r="AA1068" s="3" t="str">
        <f t="shared" si="1174"/>
        <v>SLA</v>
      </c>
      <c r="AB1068" s="4">
        <v>720</v>
      </c>
      <c r="AC1068" s="4">
        <v>240</v>
      </c>
      <c r="AD1068" s="3" t="s">
        <v>48</v>
      </c>
      <c r="AE1068" s="6">
        <v>45546</v>
      </c>
      <c r="AF1068" s="3" t="s">
        <v>59</v>
      </c>
      <c r="AG1068" s="3" t="s">
        <v>49</v>
      </c>
      <c r="AH1068" s="3">
        <f>YEAR(SrcDB[[#This Row],[Datum_zverejnenia]])</f>
        <v>2023</v>
      </c>
      <c r="AI1068" s="3" cm="1">
        <f t="array" ref="AI1068">COUNT(_xlfn.UNIQUE(_xlfn._xlws.FILTER(SrcDB[ID],SrcDB[Objednavatel_ICO]=$H1068)))</f>
        <v>4</v>
      </c>
      <c r="AJ1068" s="3" cm="1">
        <f t="array" ref="AJ1068">COUNT(_xlfn.UNIQUE(_xlfn._xlws.FILTER(SrcDB[ID],SrcDB[Dodavatel_ICO]=$K1068)))</f>
        <v>12</v>
      </c>
      <c r="AK1068" s="3">
        <f t="shared" si="1143"/>
        <v>0</v>
      </c>
      <c r="AL1068" s="3">
        <f t="shared" si="1144"/>
        <v>0</v>
      </c>
      <c r="AM1068" s="17" t="str">
        <f>IF(SrcDB[[#This Row],[Pocet zmluv objednavatela]]&gt;3,SrcDB[[#This Row],[Objednavatel]],"Ostatné")</f>
        <v>Všeobecná zdravotná poisťovňa a.s.</v>
      </c>
      <c r="AN1068" s="17" t="str">
        <f>IF(SrcDB[[#This Row],[Pocet zmluv dodavatela]]&gt;3,SrcDB[[#This Row],[Dodavatel]],"Ostatné")</f>
        <v>Atos IT Solutions and Services s.r.o. / Eviden Slovakia, s.r.o.</v>
      </c>
    </row>
    <row r="1069" spans="1:40" x14ac:dyDescent="0.3">
      <c r="A1069" s="2" t="s">
        <v>1224</v>
      </c>
      <c r="B1069" s="2">
        <v>8075590</v>
      </c>
      <c r="C1069" s="3" t="str">
        <f t="shared" si="1137"/>
        <v>Nejasné</v>
      </c>
      <c r="D1069" s="3" t="str">
        <f t="shared" si="1138"/>
        <v>Nejasné</v>
      </c>
      <c r="E1069" s="3" t="s">
        <v>48</v>
      </c>
      <c r="F1069" s="3" t="s">
        <v>49</v>
      </c>
      <c r="G1069" s="2" t="str">
        <f t="shared" si="1139"/>
        <v>Malé zmluvy</v>
      </c>
      <c r="H1069" s="5">
        <v>31364501</v>
      </c>
      <c r="I1069" s="2" t="s">
        <v>220</v>
      </c>
      <c r="J1069" s="2" t="s">
        <v>726</v>
      </c>
      <c r="K1069" s="5">
        <v>50634526</v>
      </c>
      <c r="L1069" s="2" t="s">
        <v>1155</v>
      </c>
      <c r="M1069" s="2" t="s">
        <v>1275</v>
      </c>
      <c r="N1069" s="6">
        <v>45114.507210648146</v>
      </c>
      <c r="O1069" s="4">
        <v>265860</v>
      </c>
      <c r="P1069" s="2">
        <v>114573</v>
      </c>
      <c r="Q1069" s="2" t="s">
        <v>1276</v>
      </c>
      <c r="R1069" s="2" t="s">
        <v>1277</v>
      </c>
      <c r="S1069" s="2" t="s">
        <v>56</v>
      </c>
      <c r="T1069" s="2" t="s">
        <v>1278</v>
      </c>
      <c r="U1069" s="2" t="s">
        <v>95</v>
      </c>
      <c r="W1069" s="4">
        <v>650</v>
      </c>
      <c r="X1069" s="4">
        <v>780</v>
      </c>
      <c r="Y1069" s="4">
        <f t="shared" ref="Y1069" si="1187">INDEX(InternalRates,MATCH($S1069,InternalRates01,FALSE),2)</f>
        <v>278.98333333333335</v>
      </c>
      <c r="Z1069" s="3" t="str">
        <f t="shared" si="1173"/>
        <v>Nie</v>
      </c>
      <c r="AA1069" s="3" t="str">
        <f t="shared" si="1174"/>
        <v>SLA</v>
      </c>
      <c r="AB1069" s="4">
        <v>85</v>
      </c>
      <c r="AC1069" s="4">
        <v>56.666666666666664</v>
      </c>
      <c r="AD1069" s="3" t="s">
        <v>48</v>
      </c>
      <c r="AE1069" s="6">
        <v>45546</v>
      </c>
      <c r="AF1069" s="3" t="s">
        <v>59</v>
      </c>
      <c r="AG1069" s="3" t="s">
        <v>48</v>
      </c>
      <c r="AH1069" s="3">
        <f>YEAR(SrcDB[[#This Row],[Datum_zverejnenia]])</f>
        <v>2023</v>
      </c>
      <c r="AI1069" s="3" cm="1">
        <f t="array" ref="AI1069">COUNT(_xlfn.UNIQUE(_xlfn._xlws.FILTER(SrcDB[ID],SrcDB[Objednavatel_ICO]=$H1069)))</f>
        <v>24</v>
      </c>
      <c r="AJ1069" s="3" cm="1">
        <f t="array" ref="AJ1069">COUNT(_xlfn.UNIQUE(_xlfn._xlws.FILTER(SrcDB[ID],SrcDB[Dodavatel_ICO]=$K1069)))</f>
        <v>6</v>
      </c>
      <c r="AK1069" s="3">
        <f t="shared" si="1143"/>
        <v>1</v>
      </c>
      <c r="AL1069" s="3">
        <f t="shared" si="1144"/>
        <v>1</v>
      </c>
      <c r="AM1069" s="17" t="str">
        <f>IF(SrcDB[[#This Row],[Pocet zmluv objednavatela]]&gt;3,SrcDB[[#This Row],[Objednavatel]],"Ostatné")</f>
        <v>Železnice Slovenskej republiky</v>
      </c>
      <c r="AN1069" s="17" t="str">
        <f>IF(SrcDB[[#This Row],[Pocet zmluv dodavatela]]&gt;3,SrcDB[[#This Row],[Dodavatel]],"Ostatné")</f>
        <v>SophistIT, s.r.o.</v>
      </c>
    </row>
    <row r="1070" spans="1:40" x14ac:dyDescent="0.3">
      <c r="A1070" s="2" t="s">
        <v>1224</v>
      </c>
      <c r="B1070" s="2">
        <v>8075590</v>
      </c>
      <c r="C1070" s="3" t="str">
        <f t="shared" si="1137"/>
        <v>Nejasné</v>
      </c>
      <c r="D1070" s="3" t="str">
        <f t="shared" si="1138"/>
        <v>Nejasné</v>
      </c>
      <c r="E1070" s="3" t="s">
        <v>48</v>
      </c>
      <c r="F1070" s="3" t="s">
        <v>49</v>
      </c>
      <c r="G1070" s="2" t="str">
        <f t="shared" si="1139"/>
        <v>Malé zmluvy</v>
      </c>
      <c r="H1070" s="5">
        <v>31364501</v>
      </c>
      <c r="I1070" s="2" t="s">
        <v>220</v>
      </c>
      <c r="J1070" s="2" t="s">
        <v>726</v>
      </c>
      <c r="K1070" s="5">
        <v>50634526</v>
      </c>
      <c r="L1070" s="2" t="s">
        <v>1155</v>
      </c>
      <c r="M1070" s="2" t="s">
        <v>1275</v>
      </c>
      <c r="N1070" s="6">
        <v>45114.507210648146</v>
      </c>
      <c r="O1070" s="4">
        <v>265860</v>
      </c>
      <c r="P1070" s="2">
        <v>114573</v>
      </c>
      <c r="Q1070" s="2" t="s">
        <v>1276</v>
      </c>
      <c r="R1070" s="2" t="s">
        <v>1277</v>
      </c>
      <c r="S1070" s="2" t="s">
        <v>56</v>
      </c>
      <c r="T1070" s="2" t="s">
        <v>1279</v>
      </c>
      <c r="U1070" s="2" t="s">
        <v>76</v>
      </c>
      <c r="W1070" s="4">
        <v>660</v>
      </c>
      <c r="X1070" s="4">
        <v>792</v>
      </c>
      <c r="Y1070" s="4">
        <f t="shared" ref="Y1070" si="1188">INDEX(InternalRates,MATCH($S1070,InternalRates01,FALSE),2)</f>
        <v>278.98333333333335</v>
      </c>
      <c r="Z1070" s="3" t="str">
        <f t="shared" si="1173"/>
        <v>Nie</v>
      </c>
      <c r="AA1070" s="3" t="str">
        <f t="shared" si="1174"/>
        <v>SLA</v>
      </c>
      <c r="AB1070" s="4">
        <v>55</v>
      </c>
      <c r="AC1070" s="4">
        <v>36.666666666666664</v>
      </c>
      <c r="AD1070" s="3" t="s">
        <v>48</v>
      </c>
      <c r="AE1070" s="6">
        <v>45546</v>
      </c>
      <c r="AF1070" s="3" t="s">
        <v>59</v>
      </c>
      <c r="AG1070" s="3" t="s">
        <v>48</v>
      </c>
      <c r="AH1070" s="3">
        <f>YEAR(SrcDB[[#This Row],[Datum_zverejnenia]])</f>
        <v>2023</v>
      </c>
      <c r="AI1070" s="3" cm="1">
        <f t="array" ref="AI1070">COUNT(_xlfn.UNIQUE(_xlfn._xlws.FILTER(SrcDB[ID],SrcDB[Objednavatel_ICO]=$H1070)))</f>
        <v>24</v>
      </c>
      <c r="AJ1070" s="3" cm="1">
        <f t="array" ref="AJ1070">COUNT(_xlfn.UNIQUE(_xlfn._xlws.FILTER(SrcDB[ID],SrcDB[Dodavatel_ICO]=$K1070)))</f>
        <v>6</v>
      </c>
      <c r="AK1070" s="3">
        <f t="shared" si="1143"/>
        <v>0</v>
      </c>
      <c r="AL1070" s="3">
        <f t="shared" si="1144"/>
        <v>0</v>
      </c>
      <c r="AM1070" s="17" t="str">
        <f>IF(SrcDB[[#This Row],[Pocet zmluv objednavatela]]&gt;3,SrcDB[[#This Row],[Objednavatel]],"Ostatné")</f>
        <v>Železnice Slovenskej republiky</v>
      </c>
      <c r="AN1070" s="17" t="str">
        <f>IF(SrcDB[[#This Row],[Pocet zmluv dodavatela]]&gt;3,SrcDB[[#This Row],[Dodavatel]],"Ostatné")</f>
        <v>SophistIT, s.r.o.</v>
      </c>
    </row>
    <row r="1071" spans="1:40" x14ac:dyDescent="0.3">
      <c r="A1071" s="2" t="s">
        <v>1224</v>
      </c>
      <c r="B1071" s="2">
        <v>8078605</v>
      </c>
      <c r="C1071" s="3" t="str">
        <f t="shared" si="1137"/>
        <v>Nejasné</v>
      </c>
      <c r="D1071" s="3" t="str">
        <f t="shared" si="1138"/>
        <v>Nejasné</v>
      </c>
      <c r="E1071" s="3" t="s">
        <v>49</v>
      </c>
      <c r="F1071" s="3" t="s">
        <v>49</v>
      </c>
      <c r="G1071" s="2" t="str">
        <f t="shared" si="1139"/>
        <v>Malé zmluvy</v>
      </c>
      <c r="H1071" s="5">
        <v>31364501</v>
      </c>
      <c r="I1071" s="2" t="s">
        <v>220</v>
      </c>
      <c r="J1071" s="2" t="s">
        <v>726</v>
      </c>
      <c r="K1071" s="5">
        <v>35757736</v>
      </c>
      <c r="L1071" s="2" t="s">
        <v>1280</v>
      </c>
      <c r="M1071" s="2" t="s">
        <v>1281</v>
      </c>
      <c r="N1071" s="6">
        <v>45117.430914351855</v>
      </c>
      <c r="O1071" s="4">
        <v>490800</v>
      </c>
      <c r="P1071" s="2">
        <v>114573</v>
      </c>
      <c r="Q1071" s="2" t="s">
        <v>1282</v>
      </c>
      <c r="R1071" s="2" t="s">
        <v>1283</v>
      </c>
      <c r="S1071" s="2" t="s">
        <v>183</v>
      </c>
      <c r="T1071" s="2" t="s">
        <v>183</v>
      </c>
      <c r="W1071" s="4">
        <v>480</v>
      </c>
      <c r="X1071" s="4">
        <v>576</v>
      </c>
      <c r="Y1071" s="4">
        <f t="shared" ref="Y1071" si="1189">INDEX(InternalRates,MATCH($S1071,InternalRates01,FALSE),2)</f>
        <v>278.98333333333335</v>
      </c>
      <c r="Z1071" s="3" t="str">
        <f t="shared" si="1173"/>
        <v>Nie</v>
      </c>
      <c r="AA1071" s="3" t="str">
        <f t="shared" si="1174"/>
        <v>SLA+ZoD</v>
      </c>
      <c r="AB1071" s="4">
        <v>60</v>
      </c>
      <c r="AC1071" s="4">
        <v>60</v>
      </c>
      <c r="AD1071" s="3" t="s">
        <v>48</v>
      </c>
      <c r="AE1071" s="6">
        <v>45546</v>
      </c>
      <c r="AF1071" s="3" t="s">
        <v>59</v>
      </c>
      <c r="AG1071" s="3" t="s">
        <v>48</v>
      </c>
      <c r="AH1071" s="3">
        <f>YEAR(SrcDB[[#This Row],[Datum_zverejnenia]])</f>
        <v>2023</v>
      </c>
      <c r="AI1071" s="3" cm="1">
        <f t="array" ref="AI1071">COUNT(_xlfn.UNIQUE(_xlfn._xlws.FILTER(SrcDB[ID],SrcDB[Objednavatel_ICO]=$H1071)))</f>
        <v>24</v>
      </c>
      <c r="AJ1071" s="3" cm="1">
        <f t="array" ref="AJ1071">COUNT(_xlfn.UNIQUE(_xlfn._xlws.FILTER(SrcDB[ID],SrcDB[Dodavatel_ICO]=$K1071)))</f>
        <v>2</v>
      </c>
      <c r="AK1071" s="3">
        <f t="shared" si="1143"/>
        <v>1</v>
      </c>
      <c r="AL1071" s="3">
        <f t="shared" si="1144"/>
        <v>1</v>
      </c>
      <c r="AM1071" s="17" t="str">
        <f>IF(SrcDB[[#This Row],[Pocet zmluv objednavatela]]&gt;3,SrcDB[[#This Row],[Objednavatel]],"Ostatné")</f>
        <v>Železnice Slovenskej republiky</v>
      </c>
      <c r="AN1071" s="17" t="str">
        <f>IF(SrcDB[[#This Row],[Pocet zmluv dodavatela]]&gt;3,SrcDB[[#This Row],[Dodavatel]],"Ostatné")</f>
        <v>Ostatné</v>
      </c>
    </row>
    <row r="1072" spans="1:40" x14ac:dyDescent="0.3">
      <c r="A1072" s="2" t="s">
        <v>1224</v>
      </c>
      <c r="B1072" s="2">
        <v>8080356</v>
      </c>
      <c r="C1072" s="3" t="str">
        <f t="shared" si="1137"/>
        <v>Nejasné</v>
      </c>
      <c r="D1072" s="3" t="str">
        <f t="shared" si="1138"/>
        <v>Nejasné</v>
      </c>
      <c r="E1072" s="3" t="s">
        <v>49</v>
      </c>
      <c r="F1072" s="3" t="s">
        <v>49</v>
      </c>
      <c r="G1072" s="2" t="str">
        <f t="shared" si="1139"/>
        <v>Stredné zmluvy</v>
      </c>
      <c r="H1072" s="5">
        <v>35541016</v>
      </c>
      <c r="I1072" s="2" t="s">
        <v>1284</v>
      </c>
      <c r="J1072" s="2" t="s">
        <v>1285</v>
      </c>
      <c r="K1072" s="5">
        <v>35760419</v>
      </c>
      <c r="L1072" s="2" t="s">
        <v>85</v>
      </c>
      <c r="M1072" s="2" t="s">
        <v>1286</v>
      </c>
      <c r="N1072" s="6">
        <v>45117.607511574075</v>
      </c>
      <c r="O1072" s="4">
        <v>1163760</v>
      </c>
      <c r="P1072" s="2">
        <v>6215909</v>
      </c>
      <c r="Q1072" s="2" t="s">
        <v>1287</v>
      </c>
      <c r="R1072" s="2" t="s">
        <v>1288</v>
      </c>
      <c r="S1072" s="2" t="s">
        <v>183</v>
      </c>
      <c r="T1072" s="2" t="s">
        <v>183</v>
      </c>
      <c r="W1072" s="4">
        <v>800</v>
      </c>
      <c r="X1072" s="4">
        <v>960</v>
      </c>
      <c r="Y1072" s="4">
        <f t="shared" ref="Y1072" si="1190">INDEX(InternalRates,MATCH($S1072,InternalRates01,FALSE),2)</f>
        <v>278.98333333333335</v>
      </c>
      <c r="Z1072" s="3" t="str">
        <f t="shared" si="1173"/>
        <v>Nie</v>
      </c>
      <c r="AA1072" s="3" t="str">
        <f t="shared" si="1174"/>
        <v>SLA+ZoD</v>
      </c>
      <c r="AB1072" s="4">
        <v>200</v>
      </c>
      <c r="AC1072" s="4">
        <v>50</v>
      </c>
      <c r="AD1072" s="3" t="s">
        <v>48</v>
      </c>
      <c r="AE1072" s="6">
        <v>45546</v>
      </c>
      <c r="AF1072" s="3" t="s">
        <v>59</v>
      </c>
      <c r="AG1072" s="3" t="s">
        <v>48</v>
      </c>
      <c r="AH1072" s="3">
        <f>YEAR(SrcDB[[#This Row],[Datum_zverejnenia]])</f>
        <v>2023</v>
      </c>
      <c r="AI1072" s="3" cm="1">
        <f t="array" ref="AI1072">COUNT(_xlfn.UNIQUE(_xlfn._xlws.FILTER(SrcDB[ID],SrcDB[Objednavatel_ICO]=$H1072)))</f>
        <v>1</v>
      </c>
      <c r="AJ1072" s="3" cm="1">
        <f t="array" ref="AJ1072">COUNT(_xlfn.UNIQUE(_xlfn._xlws.FILTER(SrcDB[ID],SrcDB[Dodavatel_ICO]=$K1072)))</f>
        <v>34</v>
      </c>
      <c r="AK1072" s="3">
        <f t="shared" si="1143"/>
        <v>1</v>
      </c>
      <c r="AL1072" s="3">
        <f t="shared" si="1144"/>
        <v>1</v>
      </c>
      <c r="AM1072" s="17" t="str">
        <f>IF(SrcDB[[#This Row],[Pocet zmluv objednavatela]]&gt;3,SrcDB[[#This Row],[Objednavatel]],"Ostatné")</f>
        <v>Ostatné</v>
      </c>
      <c r="AN1072" s="17" t="str">
        <f>IF(SrcDB[[#This Row],[Pocet zmluv dodavatela]]&gt;3,SrcDB[[#This Row],[Dodavatel]],"Ostatné")</f>
        <v>Asseco Central Europe, a.s.</v>
      </c>
    </row>
    <row r="1073" spans="1:40" x14ac:dyDescent="0.3">
      <c r="A1073" s="2" t="s">
        <v>176</v>
      </c>
      <c r="B1073" s="2">
        <v>8085797</v>
      </c>
      <c r="C1073" s="3" t="str">
        <f t="shared" si="1137"/>
        <v>Áno</v>
      </c>
      <c r="D1073" s="3" t="str">
        <f t="shared" si="1138"/>
        <v>Nie</v>
      </c>
      <c r="E1073" s="3" t="s">
        <v>49</v>
      </c>
      <c r="F1073" s="3" t="s">
        <v>49</v>
      </c>
      <c r="G1073" s="2" t="str">
        <f t="shared" si="1139"/>
        <v>Stredné zmluvy</v>
      </c>
      <c r="H1073" s="5">
        <v>36065340</v>
      </c>
      <c r="I1073" s="2" t="s">
        <v>1289</v>
      </c>
      <c r="J1073" s="2" t="s">
        <v>1290</v>
      </c>
      <c r="K1073" s="5">
        <v>35760419</v>
      </c>
      <c r="L1073" s="2" t="s">
        <v>85</v>
      </c>
      <c r="M1073" s="2" t="s">
        <v>1291</v>
      </c>
      <c r="N1073" s="6">
        <v>45118.655775462961</v>
      </c>
      <c r="O1073" s="4">
        <v>2110490.88</v>
      </c>
      <c r="P1073" s="2">
        <v>114725</v>
      </c>
      <c r="Q1073" s="2" t="s">
        <v>1292</v>
      </c>
      <c r="R1073" s="2" t="s">
        <v>1293</v>
      </c>
      <c r="S1073" s="2" t="s">
        <v>69</v>
      </c>
      <c r="T1073" s="2" t="s">
        <v>285</v>
      </c>
      <c r="W1073" s="4">
        <v>480</v>
      </c>
      <c r="X1073" s="4">
        <v>576</v>
      </c>
      <c r="Y1073" s="4">
        <f t="shared" ref="Y1073" si="1191">INDEX(InternalRates,MATCH($S1073,InternalRates01,FALSE),2)</f>
        <v>278.98333333333335</v>
      </c>
      <c r="Z1073" s="3" t="str">
        <f t="shared" si="1173"/>
        <v>Nie</v>
      </c>
      <c r="AA1073" s="3" t="str">
        <f t="shared" si="1174"/>
        <v>SLA+ZoD</v>
      </c>
      <c r="AB1073" s="4">
        <v>50</v>
      </c>
      <c r="AC1073" s="4">
        <v>16.666666666666668</v>
      </c>
      <c r="AD1073" s="3" t="s">
        <v>48</v>
      </c>
      <c r="AE1073" s="6">
        <v>45546</v>
      </c>
      <c r="AF1073" s="3" t="s">
        <v>59</v>
      </c>
      <c r="AG1073" s="3" t="s">
        <v>48</v>
      </c>
      <c r="AH1073" s="3">
        <f>YEAR(SrcDB[[#This Row],[Datum_zverejnenia]])</f>
        <v>2023</v>
      </c>
      <c r="AI1073" s="3" cm="1">
        <f t="array" ref="AI1073">COUNT(_xlfn.UNIQUE(_xlfn._xlws.FILTER(SrcDB[ID],SrcDB[Objednavatel_ICO]=$H1073)))</f>
        <v>2</v>
      </c>
      <c r="AJ1073" s="3" cm="1">
        <f t="array" ref="AJ1073">COUNT(_xlfn.UNIQUE(_xlfn._xlws.FILTER(SrcDB[ID],SrcDB[Dodavatel_ICO]=$K1073)))</f>
        <v>34</v>
      </c>
      <c r="AK1073" s="3">
        <f t="shared" si="1143"/>
        <v>1</v>
      </c>
      <c r="AL1073" s="3">
        <f t="shared" si="1144"/>
        <v>1</v>
      </c>
      <c r="AM1073" s="17" t="str">
        <f>IF(SrcDB[[#This Row],[Pocet zmluv objednavatela]]&gt;3,SrcDB[[#This Row],[Objednavatel]],"Ostatné")</f>
        <v>Ostatné</v>
      </c>
      <c r="AN1073" s="17" t="str">
        <f>IF(SrcDB[[#This Row],[Pocet zmluv dodavatela]]&gt;3,SrcDB[[#This Row],[Dodavatel]],"Ostatné")</f>
        <v>Asseco Central Europe, a.s.</v>
      </c>
    </row>
    <row r="1074" spans="1:40" x14ac:dyDescent="0.3">
      <c r="A1074" s="2" t="s">
        <v>176</v>
      </c>
      <c r="B1074" s="2">
        <v>8085797</v>
      </c>
      <c r="C1074" s="3" t="str">
        <f t="shared" si="1137"/>
        <v>Áno</v>
      </c>
      <c r="D1074" s="3" t="str">
        <f t="shared" si="1138"/>
        <v>Nie</v>
      </c>
      <c r="E1074" s="3" t="s">
        <v>49</v>
      </c>
      <c r="F1074" s="3" t="s">
        <v>49</v>
      </c>
      <c r="G1074" s="2" t="str">
        <f t="shared" si="1139"/>
        <v>Stredné zmluvy</v>
      </c>
      <c r="H1074" s="5">
        <v>36065340</v>
      </c>
      <c r="I1074" s="2" t="s">
        <v>1289</v>
      </c>
      <c r="J1074" s="2" t="s">
        <v>1290</v>
      </c>
      <c r="K1074" s="5">
        <v>35760419</v>
      </c>
      <c r="L1074" s="2" t="s">
        <v>85</v>
      </c>
      <c r="M1074" s="2" t="s">
        <v>1291</v>
      </c>
      <c r="N1074" s="6">
        <v>45118.655775462961</v>
      </c>
      <c r="O1074" s="4">
        <v>2110490.88</v>
      </c>
      <c r="P1074" s="2">
        <v>114725</v>
      </c>
      <c r="Q1074" s="2" t="s">
        <v>1292</v>
      </c>
      <c r="R1074" s="2" t="s">
        <v>1293</v>
      </c>
      <c r="S1074" s="2" t="s">
        <v>73</v>
      </c>
      <c r="T1074" s="2" t="s">
        <v>90</v>
      </c>
      <c r="W1074" s="4">
        <v>450</v>
      </c>
      <c r="X1074" s="4">
        <v>540</v>
      </c>
      <c r="Y1074" s="4">
        <f t="shared" ref="Y1074" si="1192">INDEX(InternalRates,MATCH($S1074,InternalRates01,FALSE),2)</f>
        <v>278.98333333333335</v>
      </c>
      <c r="Z1074" s="3" t="str">
        <f t="shared" si="1173"/>
        <v>Nie</v>
      </c>
      <c r="AA1074" s="3" t="str">
        <f t="shared" si="1174"/>
        <v>SLA+ZoD</v>
      </c>
      <c r="AB1074" s="4">
        <v>20</v>
      </c>
      <c r="AC1074" s="4">
        <v>6.666666666666667</v>
      </c>
      <c r="AD1074" s="3" t="s">
        <v>48</v>
      </c>
      <c r="AE1074" s="6">
        <v>45546</v>
      </c>
      <c r="AF1074" s="3" t="s">
        <v>59</v>
      </c>
      <c r="AG1074" s="3" t="s">
        <v>48</v>
      </c>
      <c r="AH1074" s="3">
        <f>YEAR(SrcDB[[#This Row],[Datum_zverejnenia]])</f>
        <v>2023</v>
      </c>
      <c r="AI1074" s="3" cm="1">
        <f t="array" ref="AI1074">COUNT(_xlfn.UNIQUE(_xlfn._xlws.FILTER(SrcDB[ID],SrcDB[Objednavatel_ICO]=$H1074)))</f>
        <v>2</v>
      </c>
      <c r="AJ1074" s="3" cm="1">
        <f t="array" ref="AJ1074">COUNT(_xlfn.UNIQUE(_xlfn._xlws.FILTER(SrcDB[ID],SrcDB[Dodavatel_ICO]=$K1074)))</f>
        <v>34</v>
      </c>
      <c r="AK1074" s="3">
        <f t="shared" si="1143"/>
        <v>0</v>
      </c>
      <c r="AL1074" s="3">
        <f t="shared" si="1144"/>
        <v>0</v>
      </c>
      <c r="AM1074" s="17" t="str">
        <f>IF(SrcDB[[#This Row],[Pocet zmluv objednavatela]]&gt;3,SrcDB[[#This Row],[Objednavatel]],"Ostatné")</f>
        <v>Ostatné</v>
      </c>
      <c r="AN1074" s="17" t="str">
        <f>IF(SrcDB[[#This Row],[Pocet zmluv dodavatela]]&gt;3,SrcDB[[#This Row],[Dodavatel]],"Ostatné")</f>
        <v>Asseco Central Europe, a.s.</v>
      </c>
    </row>
    <row r="1075" spans="1:40" x14ac:dyDescent="0.3">
      <c r="A1075" s="2" t="s">
        <v>176</v>
      </c>
      <c r="B1075" s="2">
        <v>8085797</v>
      </c>
      <c r="C1075" s="3" t="str">
        <f t="shared" si="1137"/>
        <v>Áno</v>
      </c>
      <c r="D1075" s="3" t="str">
        <f t="shared" si="1138"/>
        <v>Nie</v>
      </c>
      <c r="E1075" s="3" t="s">
        <v>49</v>
      </c>
      <c r="F1075" s="3" t="s">
        <v>49</v>
      </c>
      <c r="G1075" s="2" t="str">
        <f t="shared" si="1139"/>
        <v>Stredné zmluvy</v>
      </c>
      <c r="H1075" s="5">
        <v>36065340</v>
      </c>
      <c r="I1075" s="2" t="s">
        <v>1289</v>
      </c>
      <c r="J1075" s="2" t="s">
        <v>1290</v>
      </c>
      <c r="K1075" s="5">
        <v>35760419</v>
      </c>
      <c r="L1075" s="2" t="s">
        <v>85</v>
      </c>
      <c r="M1075" s="2" t="s">
        <v>1291</v>
      </c>
      <c r="N1075" s="6">
        <v>45118.655775462961</v>
      </c>
      <c r="O1075" s="4">
        <v>2110490.88</v>
      </c>
      <c r="P1075" s="2">
        <v>114725</v>
      </c>
      <c r="Q1075" s="2" t="s">
        <v>1292</v>
      </c>
      <c r="R1075" s="2" t="s">
        <v>1293</v>
      </c>
      <c r="S1075" s="2" t="s">
        <v>56</v>
      </c>
      <c r="T1075" s="2" t="s">
        <v>1294</v>
      </c>
      <c r="U1075" s="2" t="s">
        <v>129</v>
      </c>
      <c r="W1075" s="4">
        <v>440</v>
      </c>
      <c r="X1075" s="4">
        <v>528</v>
      </c>
      <c r="Y1075" s="4">
        <f t="shared" ref="Y1075" si="1193">INDEX(InternalRates,MATCH($S1075,InternalRates01,FALSE),2)</f>
        <v>278.98333333333335</v>
      </c>
      <c r="Z1075" s="3" t="str">
        <f t="shared" si="1173"/>
        <v>Nie</v>
      </c>
      <c r="AA1075" s="3" t="str">
        <f t="shared" si="1174"/>
        <v>SLA+ZoD</v>
      </c>
      <c r="AB1075" s="4">
        <v>245</v>
      </c>
      <c r="AC1075" s="4">
        <v>81.666666666666671</v>
      </c>
      <c r="AD1075" s="3" t="s">
        <v>48</v>
      </c>
      <c r="AE1075" s="6">
        <v>45546</v>
      </c>
      <c r="AF1075" s="3" t="s">
        <v>59</v>
      </c>
      <c r="AG1075" s="3" t="s">
        <v>48</v>
      </c>
      <c r="AH1075" s="3">
        <f>YEAR(SrcDB[[#This Row],[Datum_zverejnenia]])</f>
        <v>2023</v>
      </c>
      <c r="AI1075" s="3" cm="1">
        <f t="array" ref="AI1075">COUNT(_xlfn.UNIQUE(_xlfn._xlws.FILTER(SrcDB[ID],SrcDB[Objednavatel_ICO]=$H1075)))</f>
        <v>2</v>
      </c>
      <c r="AJ1075" s="3" cm="1">
        <f t="array" ref="AJ1075">COUNT(_xlfn.UNIQUE(_xlfn._xlws.FILTER(SrcDB[ID],SrcDB[Dodavatel_ICO]=$K1075)))</f>
        <v>34</v>
      </c>
      <c r="AK1075" s="3">
        <f t="shared" si="1143"/>
        <v>0</v>
      </c>
      <c r="AL1075" s="3">
        <f t="shared" si="1144"/>
        <v>0</v>
      </c>
      <c r="AM1075" s="17" t="str">
        <f>IF(SrcDB[[#This Row],[Pocet zmluv objednavatela]]&gt;3,SrcDB[[#This Row],[Objednavatel]],"Ostatné")</f>
        <v>Ostatné</v>
      </c>
      <c r="AN1075" s="17" t="str">
        <f>IF(SrcDB[[#This Row],[Pocet zmluv dodavatela]]&gt;3,SrcDB[[#This Row],[Dodavatel]],"Ostatné")</f>
        <v>Asseco Central Europe, a.s.</v>
      </c>
    </row>
    <row r="1076" spans="1:40" x14ac:dyDescent="0.3">
      <c r="A1076" s="2" t="s">
        <v>176</v>
      </c>
      <c r="B1076" s="2">
        <v>8085797</v>
      </c>
      <c r="C1076" s="3" t="str">
        <f t="shared" si="1137"/>
        <v>Áno</v>
      </c>
      <c r="D1076" s="3" t="str">
        <f t="shared" si="1138"/>
        <v>Nie</v>
      </c>
      <c r="E1076" s="3" t="s">
        <v>49</v>
      </c>
      <c r="F1076" s="3" t="s">
        <v>49</v>
      </c>
      <c r="G1076" s="2" t="str">
        <f t="shared" si="1139"/>
        <v>Stredné zmluvy</v>
      </c>
      <c r="H1076" s="5">
        <v>36065340</v>
      </c>
      <c r="I1076" s="2" t="s">
        <v>1289</v>
      </c>
      <c r="J1076" s="2" t="s">
        <v>1290</v>
      </c>
      <c r="K1076" s="5">
        <v>35760419</v>
      </c>
      <c r="L1076" s="2" t="s">
        <v>85</v>
      </c>
      <c r="M1076" s="2" t="s">
        <v>1291</v>
      </c>
      <c r="N1076" s="6">
        <v>45118.655775462961</v>
      </c>
      <c r="O1076" s="4">
        <v>2110490.88</v>
      </c>
      <c r="P1076" s="2">
        <v>114725</v>
      </c>
      <c r="Q1076" s="2" t="s">
        <v>1292</v>
      </c>
      <c r="R1076" s="2" t="s">
        <v>1293</v>
      </c>
      <c r="S1076" s="2" t="s">
        <v>56</v>
      </c>
      <c r="T1076" s="2" t="s">
        <v>1119</v>
      </c>
      <c r="U1076" s="2" t="s">
        <v>95</v>
      </c>
      <c r="W1076" s="4">
        <v>610</v>
      </c>
      <c r="X1076" s="4">
        <v>732</v>
      </c>
      <c r="Y1076" s="4">
        <f t="shared" ref="Y1076" si="1194">INDEX(InternalRates,MATCH($S1076,InternalRates01,FALSE),2)</f>
        <v>278.98333333333335</v>
      </c>
      <c r="Z1076" s="3" t="str">
        <f t="shared" si="1173"/>
        <v>Nie</v>
      </c>
      <c r="AA1076" s="3" t="str">
        <f t="shared" si="1174"/>
        <v>SLA+ZoD</v>
      </c>
      <c r="AB1076" s="4">
        <v>50</v>
      </c>
      <c r="AC1076" s="4">
        <v>16.666666666666668</v>
      </c>
      <c r="AD1076" s="3" t="s">
        <v>48</v>
      </c>
      <c r="AE1076" s="6">
        <v>45546</v>
      </c>
      <c r="AF1076" s="3" t="s">
        <v>59</v>
      </c>
      <c r="AG1076" s="3" t="s">
        <v>48</v>
      </c>
      <c r="AH1076" s="3">
        <f>YEAR(SrcDB[[#This Row],[Datum_zverejnenia]])</f>
        <v>2023</v>
      </c>
      <c r="AI1076" s="3" cm="1">
        <f t="array" ref="AI1076">COUNT(_xlfn.UNIQUE(_xlfn._xlws.FILTER(SrcDB[ID],SrcDB[Objednavatel_ICO]=$H1076)))</f>
        <v>2</v>
      </c>
      <c r="AJ1076" s="3" cm="1">
        <f t="array" ref="AJ1076">COUNT(_xlfn.UNIQUE(_xlfn._xlws.FILTER(SrcDB[ID],SrcDB[Dodavatel_ICO]=$K1076)))</f>
        <v>34</v>
      </c>
      <c r="AK1076" s="3">
        <f t="shared" si="1143"/>
        <v>0</v>
      </c>
      <c r="AL1076" s="3">
        <f t="shared" si="1144"/>
        <v>0</v>
      </c>
      <c r="AM1076" s="17" t="str">
        <f>IF(SrcDB[[#This Row],[Pocet zmluv objednavatela]]&gt;3,SrcDB[[#This Row],[Objednavatel]],"Ostatné")</f>
        <v>Ostatné</v>
      </c>
      <c r="AN1076" s="17" t="str">
        <f>IF(SrcDB[[#This Row],[Pocet zmluv dodavatela]]&gt;3,SrcDB[[#This Row],[Dodavatel]],"Ostatné")</f>
        <v>Asseco Central Europe, a.s.</v>
      </c>
    </row>
    <row r="1077" spans="1:40" x14ac:dyDescent="0.3">
      <c r="A1077" s="2" t="s">
        <v>176</v>
      </c>
      <c r="B1077" s="2">
        <v>8085797</v>
      </c>
      <c r="C1077" s="3" t="str">
        <f t="shared" si="1137"/>
        <v>Áno</v>
      </c>
      <c r="D1077" s="3" t="str">
        <f t="shared" si="1138"/>
        <v>Nie</v>
      </c>
      <c r="E1077" s="3" t="s">
        <v>49</v>
      </c>
      <c r="F1077" s="3" t="s">
        <v>49</v>
      </c>
      <c r="G1077" s="2" t="str">
        <f t="shared" si="1139"/>
        <v>Stredné zmluvy</v>
      </c>
      <c r="H1077" s="5">
        <v>36065340</v>
      </c>
      <c r="I1077" s="2" t="s">
        <v>1289</v>
      </c>
      <c r="J1077" s="2" t="s">
        <v>1290</v>
      </c>
      <c r="K1077" s="5">
        <v>35760419</v>
      </c>
      <c r="L1077" s="2" t="s">
        <v>85</v>
      </c>
      <c r="M1077" s="2" t="s">
        <v>1291</v>
      </c>
      <c r="N1077" s="6">
        <v>45118.655775462961</v>
      </c>
      <c r="O1077" s="4">
        <v>2110490.88</v>
      </c>
      <c r="P1077" s="2">
        <v>114725</v>
      </c>
      <c r="Q1077" s="2" t="s">
        <v>1292</v>
      </c>
      <c r="R1077" s="2" t="s">
        <v>1293</v>
      </c>
      <c r="S1077" s="2" t="s">
        <v>71</v>
      </c>
      <c r="T1077" s="2" t="s">
        <v>196</v>
      </c>
      <c r="W1077" s="4">
        <v>480</v>
      </c>
      <c r="X1077" s="4">
        <v>576</v>
      </c>
      <c r="Y1077" s="4">
        <f t="shared" ref="Y1077" si="1195">INDEX(InternalRates,MATCH($S1077,InternalRates01,FALSE),2)</f>
        <v>354.0333333333333</v>
      </c>
      <c r="Z1077" s="3" t="str">
        <f t="shared" si="1173"/>
        <v>Nie</v>
      </c>
      <c r="AA1077" s="3" t="str">
        <f t="shared" si="1174"/>
        <v>SLA+ZoD</v>
      </c>
      <c r="AB1077" s="4">
        <v>20</v>
      </c>
      <c r="AC1077" s="4">
        <v>6.666666666666667</v>
      </c>
      <c r="AD1077" s="3" t="s">
        <v>48</v>
      </c>
      <c r="AE1077" s="6">
        <v>45546</v>
      </c>
      <c r="AF1077" s="3" t="s">
        <v>59</v>
      </c>
      <c r="AG1077" s="3" t="s">
        <v>48</v>
      </c>
      <c r="AH1077" s="3">
        <f>YEAR(SrcDB[[#This Row],[Datum_zverejnenia]])</f>
        <v>2023</v>
      </c>
      <c r="AI1077" s="3" cm="1">
        <f t="array" ref="AI1077">COUNT(_xlfn.UNIQUE(_xlfn._xlws.FILTER(SrcDB[ID],SrcDB[Objednavatel_ICO]=$H1077)))</f>
        <v>2</v>
      </c>
      <c r="AJ1077" s="3" cm="1">
        <f t="array" ref="AJ1077">COUNT(_xlfn.UNIQUE(_xlfn._xlws.FILTER(SrcDB[ID],SrcDB[Dodavatel_ICO]=$K1077)))</f>
        <v>34</v>
      </c>
      <c r="AK1077" s="3">
        <f t="shared" si="1143"/>
        <v>0</v>
      </c>
      <c r="AL1077" s="3">
        <f t="shared" si="1144"/>
        <v>0</v>
      </c>
      <c r="AM1077" s="17" t="str">
        <f>IF(SrcDB[[#This Row],[Pocet zmluv objednavatela]]&gt;3,SrcDB[[#This Row],[Objednavatel]],"Ostatné")</f>
        <v>Ostatné</v>
      </c>
      <c r="AN1077" s="17" t="str">
        <f>IF(SrcDB[[#This Row],[Pocet zmluv dodavatela]]&gt;3,SrcDB[[#This Row],[Dodavatel]],"Ostatné")</f>
        <v>Asseco Central Europe, a.s.</v>
      </c>
    </row>
    <row r="1078" spans="1:40" x14ac:dyDescent="0.3">
      <c r="A1078" s="2" t="s">
        <v>176</v>
      </c>
      <c r="B1078" s="2">
        <v>8085797</v>
      </c>
      <c r="C1078" s="3" t="str">
        <f t="shared" si="1137"/>
        <v>Áno</v>
      </c>
      <c r="D1078" s="3" t="str">
        <f t="shared" si="1138"/>
        <v>Nie</v>
      </c>
      <c r="E1078" s="3" t="s">
        <v>49</v>
      </c>
      <c r="F1078" s="3" t="s">
        <v>49</v>
      </c>
      <c r="G1078" s="2" t="str">
        <f t="shared" si="1139"/>
        <v>Stredné zmluvy</v>
      </c>
      <c r="H1078" s="5">
        <v>36065340</v>
      </c>
      <c r="I1078" s="2" t="s">
        <v>1289</v>
      </c>
      <c r="J1078" s="2" t="s">
        <v>1290</v>
      </c>
      <c r="K1078" s="5">
        <v>35760419</v>
      </c>
      <c r="L1078" s="2" t="s">
        <v>85</v>
      </c>
      <c r="M1078" s="2" t="s">
        <v>1291</v>
      </c>
      <c r="N1078" s="6">
        <v>45118.655775462961</v>
      </c>
      <c r="O1078" s="4">
        <v>2110490.88</v>
      </c>
      <c r="P1078" s="2">
        <v>114725</v>
      </c>
      <c r="Q1078" s="2" t="s">
        <v>1292</v>
      </c>
      <c r="R1078" s="2" t="s">
        <v>1293</v>
      </c>
      <c r="S1078" s="2" t="s">
        <v>98</v>
      </c>
      <c r="T1078" s="2" t="s">
        <v>287</v>
      </c>
      <c r="W1078" s="4">
        <v>400</v>
      </c>
      <c r="X1078" s="4">
        <v>480</v>
      </c>
      <c r="Y1078" s="4">
        <f t="shared" ref="Y1078" si="1196">INDEX(InternalRates,MATCH($S1078,InternalRates01,FALSE),2)</f>
        <v>278.98333333333335</v>
      </c>
      <c r="Z1078" s="3" t="str">
        <f t="shared" si="1173"/>
        <v>Nie</v>
      </c>
      <c r="AA1078" s="3" t="str">
        <f t="shared" si="1174"/>
        <v>SLA+ZoD</v>
      </c>
      <c r="AB1078" s="4">
        <v>20</v>
      </c>
      <c r="AC1078" s="4">
        <v>6.666666666666667</v>
      </c>
      <c r="AD1078" s="3" t="s">
        <v>48</v>
      </c>
      <c r="AE1078" s="6">
        <v>45546</v>
      </c>
      <c r="AF1078" s="3" t="s">
        <v>59</v>
      </c>
      <c r="AG1078" s="3" t="s">
        <v>48</v>
      </c>
      <c r="AH1078" s="3">
        <f>YEAR(SrcDB[[#This Row],[Datum_zverejnenia]])</f>
        <v>2023</v>
      </c>
      <c r="AI1078" s="3" cm="1">
        <f t="array" ref="AI1078">COUNT(_xlfn.UNIQUE(_xlfn._xlws.FILTER(SrcDB[ID],SrcDB[Objednavatel_ICO]=$H1078)))</f>
        <v>2</v>
      </c>
      <c r="AJ1078" s="3" cm="1">
        <f t="array" ref="AJ1078">COUNT(_xlfn.UNIQUE(_xlfn._xlws.FILTER(SrcDB[ID],SrcDB[Dodavatel_ICO]=$K1078)))</f>
        <v>34</v>
      </c>
      <c r="AK1078" s="3">
        <f t="shared" si="1143"/>
        <v>0</v>
      </c>
      <c r="AL1078" s="3">
        <f t="shared" si="1144"/>
        <v>0</v>
      </c>
      <c r="AM1078" s="17" t="str">
        <f>IF(SrcDB[[#This Row],[Pocet zmluv objednavatela]]&gt;3,SrcDB[[#This Row],[Objednavatel]],"Ostatné")</f>
        <v>Ostatné</v>
      </c>
      <c r="AN1078" s="17" t="str">
        <f>IF(SrcDB[[#This Row],[Pocet zmluv dodavatela]]&gt;3,SrcDB[[#This Row],[Dodavatel]],"Ostatné")</f>
        <v>Asseco Central Europe, a.s.</v>
      </c>
    </row>
    <row r="1079" spans="1:40" x14ac:dyDescent="0.3">
      <c r="A1079" s="2" t="s">
        <v>176</v>
      </c>
      <c r="B1079" s="2">
        <v>8085797</v>
      </c>
      <c r="C1079" s="3" t="str">
        <f t="shared" si="1137"/>
        <v>Áno</v>
      </c>
      <c r="D1079" s="3" t="str">
        <f t="shared" si="1138"/>
        <v>Nie</v>
      </c>
      <c r="E1079" s="3" t="s">
        <v>49</v>
      </c>
      <c r="F1079" s="3" t="s">
        <v>49</v>
      </c>
      <c r="G1079" s="2" t="str">
        <f t="shared" si="1139"/>
        <v>Stredné zmluvy</v>
      </c>
      <c r="H1079" s="5">
        <v>36065340</v>
      </c>
      <c r="I1079" s="2" t="s">
        <v>1289</v>
      </c>
      <c r="J1079" s="2" t="s">
        <v>1290</v>
      </c>
      <c r="K1079" s="5">
        <v>35760419</v>
      </c>
      <c r="L1079" s="2" t="s">
        <v>85</v>
      </c>
      <c r="M1079" s="2" t="s">
        <v>1291</v>
      </c>
      <c r="N1079" s="6">
        <v>45118.655775462961</v>
      </c>
      <c r="O1079" s="4">
        <v>2110490.88</v>
      </c>
      <c r="P1079" s="2">
        <v>114725</v>
      </c>
      <c r="Q1079" s="2" t="s">
        <v>1292</v>
      </c>
      <c r="R1079" s="2" t="s">
        <v>1293</v>
      </c>
      <c r="S1079" s="2" t="s">
        <v>79</v>
      </c>
      <c r="T1079" s="2" t="s">
        <v>93</v>
      </c>
      <c r="W1079" s="4">
        <v>350</v>
      </c>
      <c r="X1079" s="4">
        <v>420</v>
      </c>
      <c r="Y1079" s="4">
        <f t="shared" ref="Y1079" si="1197">INDEX(InternalRates,MATCH($S1079,InternalRates01,FALSE),2)</f>
        <v>278.98333333333335</v>
      </c>
      <c r="Z1079" s="3" t="str">
        <f t="shared" si="1173"/>
        <v>Nie</v>
      </c>
      <c r="AA1079" s="3" t="str">
        <f t="shared" si="1174"/>
        <v>SLA+ZoD</v>
      </c>
      <c r="AB1079" s="4">
        <v>10</v>
      </c>
      <c r="AC1079" s="4">
        <v>3.3333333333333335</v>
      </c>
      <c r="AD1079" s="3" t="s">
        <v>48</v>
      </c>
      <c r="AE1079" s="6">
        <v>45546</v>
      </c>
      <c r="AF1079" s="3" t="s">
        <v>59</v>
      </c>
      <c r="AG1079" s="3" t="s">
        <v>48</v>
      </c>
      <c r="AH1079" s="3">
        <f>YEAR(SrcDB[[#This Row],[Datum_zverejnenia]])</f>
        <v>2023</v>
      </c>
      <c r="AI1079" s="3" cm="1">
        <f t="array" ref="AI1079">COUNT(_xlfn.UNIQUE(_xlfn._xlws.FILTER(SrcDB[ID],SrcDB[Objednavatel_ICO]=$H1079)))</f>
        <v>2</v>
      </c>
      <c r="AJ1079" s="3" cm="1">
        <f t="array" ref="AJ1079">COUNT(_xlfn.UNIQUE(_xlfn._xlws.FILTER(SrcDB[ID],SrcDB[Dodavatel_ICO]=$K1079)))</f>
        <v>34</v>
      </c>
      <c r="AK1079" s="3">
        <f t="shared" si="1143"/>
        <v>0</v>
      </c>
      <c r="AL1079" s="3">
        <f t="shared" si="1144"/>
        <v>0</v>
      </c>
      <c r="AM1079" s="17" t="str">
        <f>IF(SrcDB[[#This Row],[Pocet zmluv objednavatela]]&gt;3,SrcDB[[#This Row],[Objednavatel]],"Ostatné")</f>
        <v>Ostatné</v>
      </c>
      <c r="AN1079" s="17" t="str">
        <f>IF(SrcDB[[#This Row],[Pocet zmluv dodavatela]]&gt;3,SrcDB[[#This Row],[Dodavatel]],"Ostatné")</f>
        <v>Asseco Central Europe, a.s.</v>
      </c>
    </row>
    <row r="1080" spans="1:40" x14ac:dyDescent="0.3">
      <c r="A1080" s="2" t="s">
        <v>1295</v>
      </c>
      <c r="B1080" s="2">
        <v>8100470</v>
      </c>
      <c r="C1080" s="3" t="str">
        <f t="shared" si="1137"/>
        <v>Nejasné</v>
      </c>
      <c r="D1080" s="3" t="str">
        <f t="shared" si="1138"/>
        <v>Nejasné</v>
      </c>
      <c r="E1080" s="3" t="s">
        <v>49</v>
      </c>
      <c r="F1080" s="3" t="s">
        <v>48</v>
      </c>
      <c r="G1080" s="2" t="str">
        <f t="shared" si="1139"/>
        <v>Malé zmluvy</v>
      </c>
      <c r="H1080" s="5">
        <v>42499500</v>
      </c>
      <c r="I1080" s="2" t="s">
        <v>464</v>
      </c>
      <c r="J1080" s="2" t="s">
        <v>465</v>
      </c>
      <c r="K1080" s="5">
        <v>36831221</v>
      </c>
      <c r="L1080" s="2" t="s">
        <v>366</v>
      </c>
      <c r="M1080" s="2" t="s">
        <v>367</v>
      </c>
      <c r="N1080" s="6">
        <v>45121.540659722225</v>
      </c>
      <c r="O1080" s="4">
        <v>758649.66</v>
      </c>
      <c r="P1080" s="2">
        <v>114725</v>
      </c>
      <c r="Q1080" s="2" t="s">
        <v>1296</v>
      </c>
      <c r="R1080" s="2" t="s">
        <v>1297</v>
      </c>
      <c r="S1080" s="2" t="s">
        <v>183</v>
      </c>
      <c r="T1080" s="2" t="s">
        <v>1298</v>
      </c>
      <c r="W1080" s="4">
        <v>760</v>
      </c>
      <c r="X1080" s="4">
        <v>912</v>
      </c>
      <c r="Y1080" s="4">
        <f t="shared" ref="Y1080" si="1198">INDEX(InternalRates,MATCH($S1080,InternalRates01,FALSE),2)</f>
        <v>278.98333333333335</v>
      </c>
      <c r="Z1080" s="3" t="str">
        <f t="shared" si="1173"/>
        <v>Nie</v>
      </c>
      <c r="AA1080" s="3" t="str">
        <f t="shared" si="1174"/>
        <v>ZoD</v>
      </c>
      <c r="AB1080" s="4">
        <v>312</v>
      </c>
      <c r="AC1080" s="4">
        <v>2704</v>
      </c>
      <c r="AD1080" s="3" t="s">
        <v>48</v>
      </c>
      <c r="AE1080" s="6">
        <v>45546</v>
      </c>
      <c r="AF1080" s="3" t="s">
        <v>59</v>
      </c>
      <c r="AG1080" s="3" t="s">
        <v>60</v>
      </c>
      <c r="AH1080" s="3">
        <f>YEAR(SrcDB[[#This Row],[Datum_zverejnenia]])</f>
        <v>2023</v>
      </c>
      <c r="AI1080" s="3" cm="1">
        <f t="array" ref="AI1080">COUNT(_xlfn.UNIQUE(_xlfn._xlws.FILTER(SrcDB[ID],SrcDB[Objednavatel_ICO]=$H1080)))</f>
        <v>25</v>
      </c>
      <c r="AJ1080" s="3" cm="1">
        <f t="array" ref="AJ1080">COUNT(_xlfn.UNIQUE(_xlfn._xlws.FILTER(SrcDB[ID],SrcDB[Dodavatel_ICO]=$K1080)))</f>
        <v>5</v>
      </c>
      <c r="AK1080" s="3">
        <f t="shared" si="1143"/>
        <v>1</v>
      </c>
      <c r="AL1080" s="3">
        <f t="shared" si="1144"/>
        <v>1</v>
      </c>
      <c r="AM1080" s="17" t="str">
        <f>IF(SrcDB[[#This Row],[Pocet zmluv objednavatela]]&gt;3,SrcDB[[#This Row],[Objednavatel]],"Ostatné")</f>
        <v>Finančné riaditeľstvo SR</v>
      </c>
      <c r="AN1080" s="17" t="str">
        <f>IF(SrcDB[[#This Row],[Pocet zmluv dodavatela]]&gt;3,SrcDB[[#This Row],[Dodavatel]],"Ostatné")</f>
        <v>Aliter Technologies, a.s.</v>
      </c>
    </row>
    <row r="1081" spans="1:40" x14ac:dyDescent="0.3">
      <c r="A1081" s="2" t="s">
        <v>176</v>
      </c>
      <c r="B1081" s="2">
        <v>8100626</v>
      </c>
      <c r="C1081" s="3" t="str">
        <f t="shared" si="1137"/>
        <v>Áno</v>
      </c>
      <c r="D1081" s="3" t="str">
        <f t="shared" si="1138"/>
        <v>Nie</v>
      </c>
      <c r="E1081" s="3" t="s">
        <v>49</v>
      </c>
      <c r="F1081" s="3" t="s">
        <v>49</v>
      </c>
      <c r="G1081" s="2" t="str">
        <f t="shared" si="1139"/>
        <v>Malé zmluvy</v>
      </c>
      <c r="H1081" s="5" t="s">
        <v>867</v>
      </c>
      <c r="I1081" s="2" t="s">
        <v>868</v>
      </c>
      <c r="J1081" s="2" t="s">
        <v>869</v>
      </c>
      <c r="K1081" s="5">
        <v>31648410</v>
      </c>
      <c r="L1081" s="2" t="s">
        <v>870</v>
      </c>
      <c r="M1081" s="2" t="s">
        <v>871</v>
      </c>
      <c r="N1081" s="6">
        <v>45121.55505787037</v>
      </c>
      <c r="O1081" s="4">
        <v>243839.28</v>
      </c>
      <c r="P1081" s="2">
        <v>117199</v>
      </c>
      <c r="Q1081" s="2" t="s">
        <v>1299</v>
      </c>
      <c r="R1081" s="2" t="s">
        <v>1300</v>
      </c>
      <c r="S1081" s="2" t="s">
        <v>71</v>
      </c>
      <c r="T1081" s="2" t="s">
        <v>196</v>
      </c>
      <c r="W1081" s="4">
        <v>493</v>
      </c>
      <c r="X1081" s="4">
        <v>591.6</v>
      </c>
      <c r="Y1081" s="4">
        <f t="shared" ref="Y1081" si="1199">INDEX(InternalRates,MATCH($S1081,InternalRates01,FALSE),2)</f>
        <v>354.0333333333333</v>
      </c>
      <c r="Z1081" s="3" t="str">
        <f t="shared" si="1173"/>
        <v>Nie</v>
      </c>
      <c r="AA1081" s="3" t="str">
        <f t="shared" si="1174"/>
        <v>SLA+ZoD</v>
      </c>
      <c r="AB1081" s="4">
        <v>13</v>
      </c>
      <c r="AC1081" s="4">
        <v>31.2</v>
      </c>
      <c r="AD1081" s="3" t="s">
        <v>48</v>
      </c>
      <c r="AE1081" s="6">
        <v>45546</v>
      </c>
      <c r="AF1081" s="3" t="s">
        <v>59</v>
      </c>
      <c r="AG1081" s="3" t="s">
        <v>48</v>
      </c>
      <c r="AH1081" s="3">
        <f>YEAR(SrcDB[[#This Row],[Datum_zverejnenia]])</f>
        <v>2023</v>
      </c>
      <c r="AI1081" s="3" cm="1">
        <f t="array" ref="AI1081">COUNT(_xlfn.UNIQUE(_xlfn._xlws.FILTER(SrcDB[ID],SrcDB[Objednavatel_ICO]=$H1081)))</f>
        <v>4</v>
      </c>
      <c r="AJ1081" s="3" cm="1">
        <f t="array" ref="AJ1081">COUNT(_xlfn.UNIQUE(_xlfn._xlws.FILTER(SrcDB[ID],SrcDB[Dodavatel_ICO]=$K1081)))</f>
        <v>4</v>
      </c>
      <c r="AK1081" s="3">
        <f t="shared" si="1143"/>
        <v>1</v>
      </c>
      <c r="AL1081" s="3">
        <f t="shared" si="1144"/>
        <v>1</v>
      </c>
      <c r="AM1081" s="17" t="str">
        <f>IF(SrcDB[[#This Row],[Pocet zmluv objednavatela]]&gt;3,SrcDB[[#This Row],[Objednavatel]],"Ostatné")</f>
        <v>Technická univerzita v Košiciach</v>
      </c>
      <c r="AN1081" s="17" t="str">
        <f>IF(SrcDB[[#This Row],[Pocet zmluv dodavatela]]&gt;3,SrcDB[[#This Row],[Dodavatel]],"Ostatné")</f>
        <v>elfa, s.r.o.</v>
      </c>
    </row>
    <row r="1082" spans="1:40" x14ac:dyDescent="0.3">
      <c r="A1082" s="2" t="s">
        <v>176</v>
      </c>
      <c r="B1082" s="2">
        <v>8100626</v>
      </c>
      <c r="C1082" s="3" t="str">
        <f t="shared" si="1137"/>
        <v>Áno</v>
      </c>
      <c r="D1082" s="3" t="str">
        <f t="shared" si="1138"/>
        <v>Nie</v>
      </c>
      <c r="E1082" s="3" t="s">
        <v>49</v>
      </c>
      <c r="F1082" s="3" t="s">
        <v>49</v>
      </c>
      <c r="G1082" s="2" t="str">
        <f t="shared" si="1139"/>
        <v>Malé zmluvy</v>
      </c>
      <c r="H1082" s="5" t="s">
        <v>867</v>
      </c>
      <c r="I1082" s="2" t="s">
        <v>868</v>
      </c>
      <c r="J1082" s="2" t="s">
        <v>869</v>
      </c>
      <c r="K1082" s="5">
        <v>31648410</v>
      </c>
      <c r="L1082" s="2" t="s">
        <v>870</v>
      </c>
      <c r="M1082" s="2" t="s">
        <v>871</v>
      </c>
      <c r="N1082" s="6">
        <v>45121.55505787037</v>
      </c>
      <c r="O1082" s="4">
        <v>243839.28</v>
      </c>
      <c r="P1082" s="2">
        <v>117199</v>
      </c>
      <c r="Q1082" s="2" t="s">
        <v>1299</v>
      </c>
      <c r="R1082" s="2" t="s">
        <v>1300</v>
      </c>
      <c r="S1082" s="2" t="s">
        <v>77</v>
      </c>
      <c r="T1082" s="2" t="s">
        <v>92</v>
      </c>
      <c r="W1082" s="4">
        <v>390</v>
      </c>
      <c r="X1082" s="4">
        <v>468</v>
      </c>
      <c r="Y1082" s="4">
        <f t="shared" ref="Y1082" si="1200">INDEX(InternalRates,MATCH($S1082,InternalRates01,FALSE),2)</f>
        <v>278.98333333333335</v>
      </c>
      <c r="Z1082" s="3" t="str">
        <f t="shared" si="1173"/>
        <v>Nie</v>
      </c>
      <c r="AA1082" s="3" t="str">
        <f t="shared" si="1174"/>
        <v>SLA+ZoD</v>
      </c>
      <c r="AB1082" s="4">
        <v>52.8</v>
      </c>
      <c r="AC1082" s="4">
        <v>126.71999999999998</v>
      </c>
      <c r="AD1082" s="3" t="s">
        <v>48</v>
      </c>
      <c r="AE1082" s="6">
        <v>45546</v>
      </c>
      <c r="AF1082" s="3" t="s">
        <v>59</v>
      </c>
      <c r="AG1082" s="3" t="s">
        <v>48</v>
      </c>
      <c r="AH1082" s="3">
        <f>YEAR(SrcDB[[#This Row],[Datum_zverejnenia]])</f>
        <v>2023</v>
      </c>
      <c r="AI1082" s="3" cm="1">
        <f t="array" ref="AI1082">COUNT(_xlfn.UNIQUE(_xlfn._xlws.FILTER(SrcDB[ID],SrcDB[Objednavatel_ICO]=$H1082)))</f>
        <v>4</v>
      </c>
      <c r="AJ1082" s="3" cm="1">
        <f t="array" ref="AJ1082">COUNT(_xlfn.UNIQUE(_xlfn._xlws.FILTER(SrcDB[ID],SrcDB[Dodavatel_ICO]=$K1082)))</f>
        <v>4</v>
      </c>
      <c r="AK1082" s="3">
        <f t="shared" si="1143"/>
        <v>0</v>
      </c>
      <c r="AL1082" s="3">
        <f t="shared" si="1144"/>
        <v>0</v>
      </c>
      <c r="AM1082" s="17" t="str">
        <f>IF(SrcDB[[#This Row],[Pocet zmluv objednavatela]]&gt;3,SrcDB[[#This Row],[Objednavatel]],"Ostatné")</f>
        <v>Technická univerzita v Košiciach</v>
      </c>
      <c r="AN1082" s="17" t="str">
        <f>IF(SrcDB[[#This Row],[Pocet zmluv dodavatela]]&gt;3,SrcDB[[#This Row],[Dodavatel]],"Ostatné")</f>
        <v>elfa, s.r.o.</v>
      </c>
    </row>
    <row r="1083" spans="1:40" x14ac:dyDescent="0.3">
      <c r="A1083" s="2" t="s">
        <v>176</v>
      </c>
      <c r="B1083" s="2">
        <v>8100626</v>
      </c>
      <c r="C1083" s="3" t="str">
        <f t="shared" si="1137"/>
        <v>Áno</v>
      </c>
      <c r="D1083" s="3" t="str">
        <f t="shared" si="1138"/>
        <v>Nie</v>
      </c>
      <c r="E1083" s="3" t="s">
        <v>49</v>
      </c>
      <c r="F1083" s="3" t="s">
        <v>49</v>
      </c>
      <c r="G1083" s="2" t="str">
        <f t="shared" si="1139"/>
        <v>Malé zmluvy</v>
      </c>
      <c r="H1083" s="5" t="s">
        <v>867</v>
      </c>
      <c r="I1083" s="2" t="s">
        <v>868</v>
      </c>
      <c r="J1083" s="2" t="s">
        <v>869</v>
      </c>
      <c r="K1083" s="5">
        <v>31648410</v>
      </c>
      <c r="L1083" s="2" t="s">
        <v>870</v>
      </c>
      <c r="M1083" s="2" t="s">
        <v>871</v>
      </c>
      <c r="N1083" s="6">
        <v>45121.55505787037</v>
      </c>
      <c r="O1083" s="4">
        <v>243839.28</v>
      </c>
      <c r="P1083" s="2">
        <v>117199</v>
      </c>
      <c r="Q1083" s="2" t="s">
        <v>1299</v>
      </c>
      <c r="R1083" s="2" t="s">
        <v>1300</v>
      </c>
      <c r="S1083" s="2" t="s">
        <v>69</v>
      </c>
      <c r="T1083" s="2" t="s">
        <v>285</v>
      </c>
      <c r="W1083" s="4">
        <v>491</v>
      </c>
      <c r="X1083" s="4">
        <v>589.19999999999993</v>
      </c>
      <c r="Y1083" s="4">
        <f t="shared" ref="Y1083" si="1201">INDEX(InternalRates,MATCH($S1083,InternalRates01,FALSE),2)</f>
        <v>278.98333333333335</v>
      </c>
      <c r="Z1083" s="3" t="str">
        <f t="shared" si="1173"/>
        <v>Nie</v>
      </c>
      <c r="AA1083" s="3" t="str">
        <f t="shared" si="1174"/>
        <v>SLA+ZoD</v>
      </c>
      <c r="AB1083" s="4">
        <v>15</v>
      </c>
      <c r="AC1083" s="4">
        <v>36</v>
      </c>
      <c r="AD1083" s="3" t="s">
        <v>48</v>
      </c>
      <c r="AE1083" s="6">
        <v>45546</v>
      </c>
      <c r="AF1083" s="3" t="s">
        <v>59</v>
      </c>
      <c r="AG1083" s="3" t="s">
        <v>48</v>
      </c>
      <c r="AH1083" s="3">
        <f>YEAR(SrcDB[[#This Row],[Datum_zverejnenia]])</f>
        <v>2023</v>
      </c>
      <c r="AI1083" s="3" cm="1">
        <f t="array" ref="AI1083">COUNT(_xlfn.UNIQUE(_xlfn._xlws.FILTER(SrcDB[ID],SrcDB[Objednavatel_ICO]=$H1083)))</f>
        <v>4</v>
      </c>
      <c r="AJ1083" s="3" cm="1">
        <f t="array" ref="AJ1083">COUNT(_xlfn.UNIQUE(_xlfn._xlws.FILTER(SrcDB[ID],SrcDB[Dodavatel_ICO]=$K1083)))</f>
        <v>4</v>
      </c>
      <c r="AK1083" s="3">
        <f t="shared" si="1143"/>
        <v>0</v>
      </c>
      <c r="AL1083" s="3">
        <f t="shared" si="1144"/>
        <v>0</v>
      </c>
      <c r="AM1083" s="17" t="str">
        <f>IF(SrcDB[[#This Row],[Pocet zmluv objednavatela]]&gt;3,SrcDB[[#This Row],[Objednavatel]],"Ostatné")</f>
        <v>Technická univerzita v Košiciach</v>
      </c>
      <c r="AN1083" s="17" t="str">
        <f>IF(SrcDB[[#This Row],[Pocet zmluv dodavatela]]&gt;3,SrcDB[[#This Row],[Dodavatel]],"Ostatné")</f>
        <v>elfa, s.r.o.</v>
      </c>
    </row>
    <row r="1084" spans="1:40" x14ac:dyDescent="0.3">
      <c r="A1084" s="2" t="s">
        <v>176</v>
      </c>
      <c r="B1084" s="2">
        <v>8100626</v>
      </c>
      <c r="C1084" s="3" t="str">
        <f t="shared" si="1137"/>
        <v>Áno</v>
      </c>
      <c r="D1084" s="3" t="str">
        <f t="shared" si="1138"/>
        <v>Nie</v>
      </c>
      <c r="E1084" s="3" t="s">
        <v>49</v>
      </c>
      <c r="F1084" s="3" t="s">
        <v>49</v>
      </c>
      <c r="G1084" s="2" t="str">
        <f t="shared" si="1139"/>
        <v>Malé zmluvy</v>
      </c>
      <c r="H1084" s="5" t="s">
        <v>867</v>
      </c>
      <c r="I1084" s="2" t="s">
        <v>868</v>
      </c>
      <c r="J1084" s="2" t="s">
        <v>869</v>
      </c>
      <c r="K1084" s="5">
        <v>31648410</v>
      </c>
      <c r="L1084" s="2" t="s">
        <v>870</v>
      </c>
      <c r="M1084" s="2" t="s">
        <v>871</v>
      </c>
      <c r="N1084" s="6">
        <v>45121.55505787037</v>
      </c>
      <c r="O1084" s="4">
        <v>243839.28</v>
      </c>
      <c r="P1084" s="2">
        <v>117199</v>
      </c>
      <c r="Q1084" s="2" t="s">
        <v>1299</v>
      </c>
      <c r="R1084" s="2" t="s">
        <v>1300</v>
      </c>
      <c r="S1084" s="2" t="s">
        <v>73</v>
      </c>
      <c r="T1084" s="2" t="s">
        <v>90</v>
      </c>
      <c r="W1084" s="4">
        <v>446</v>
      </c>
      <c r="X1084" s="4">
        <v>535.19999999999993</v>
      </c>
      <c r="Y1084" s="4">
        <f t="shared" ref="Y1084" si="1202">INDEX(InternalRates,MATCH($S1084,InternalRates01,FALSE),2)</f>
        <v>278.98333333333335</v>
      </c>
      <c r="Z1084" s="3" t="str">
        <f t="shared" si="1173"/>
        <v>Nie</v>
      </c>
      <c r="AA1084" s="3" t="str">
        <f t="shared" si="1174"/>
        <v>SLA+ZoD</v>
      </c>
      <c r="AB1084" s="4">
        <v>122</v>
      </c>
      <c r="AC1084" s="4">
        <v>292.8</v>
      </c>
      <c r="AD1084" s="3" t="s">
        <v>48</v>
      </c>
      <c r="AE1084" s="6">
        <v>45546</v>
      </c>
      <c r="AF1084" s="3" t="s">
        <v>59</v>
      </c>
      <c r="AG1084" s="3" t="s">
        <v>48</v>
      </c>
      <c r="AH1084" s="3">
        <f>YEAR(SrcDB[[#This Row],[Datum_zverejnenia]])</f>
        <v>2023</v>
      </c>
      <c r="AI1084" s="3" cm="1">
        <f t="array" ref="AI1084">COUNT(_xlfn.UNIQUE(_xlfn._xlws.FILTER(SrcDB[ID],SrcDB[Objednavatel_ICO]=$H1084)))</f>
        <v>4</v>
      </c>
      <c r="AJ1084" s="3" cm="1">
        <f t="array" ref="AJ1084">COUNT(_xlfn.UNIQUE(_xlfn._xlws.FILTER(SrcDB[ID],SrcDB[Dodavatel_ICO]=$K1084)))</f>
        <v>4</v>
      </c>
      <c r="AK1084" s="3">
        <f t="shared" si="1143"/>
        <v>0</v>
      </c>
      <c r="AL1084" s="3">
        <f t="shared" si="1144"/>
        <v>0</v>
      </c>
      <c r="AM1084" s="17" t="str">
        <f>IF(SrcDB[[#This Row],[Pocet zmluv objednavatela]]&gt;3,SrcDB[[#This Row],[Objednavatel]],"Ostatné")</f>
        <v>Technická univerzita v Košiciach</v>
      </c>
      <c r="AN1084" s="17" t="str">
        <f>IF(SrcDB[[#This Row],[Pocet zmluv dodavatela]]&gt;3,SrcDB[[#This Row],[Dodavatel]],"Ostatné")</f>
        <v>elfa, s.r.o.</v>
      </c>
    </row>
    <row r="1085" spans="1:40" x14ac:dyDescent="0.3">
      <c r="A1085" s="2" t="s">
        <v>176</v>
      </c>
      <c r="B1085" s="2">
        <v>8100626</v>
      </c>
      <c r="C1085" s="3" t="str">
        <f t="shared" si="1137"/>
        <v>Áno</v>
      </c>
      <c r="D1085" s="3" t="str">
        <f t="shared" si="1138"/>
        <v>Nie</v>
      </c>
      <c r="E1085" s="3" t="s">
        <v>49</v>
      </c>
      <c r="F1085" s="3" t="s">
        <v>49</v>
      </c>
      <c r="G1085" s="2" t="str">
        <f t="shared" si="1139"/>
        <v>Malé zmluvy</v>
      </c>
      <c r="H1085" s="5" t="s">
        <v>867</v>
      </c>
      <c r="I1085" s="2" t="s">
        <v>868</v>
      </c>
      <c r="J1085" s="2" t="s">
        <v>869</v>
      </c>
      <c r="K1085" s="5">
        <v>31648410</v>
      </c>
      <c r="L1085" s="2" t="s">
        <v>870</v>
      </c>
      <c r="M1085" s="2" t="s">
        <v>871</v>
      </c>
      <c r="N1085" s="6">
        <v>45121.55505787037</v>
      </c>
      <c r="O1085" s="4">
        <v>243839.28</v>
      </c>
      <c r="P1085" s="2">
        <v>117199</v>
      </c>
      <c r="Q1085" s="2" t="s">
        <v>1299</v>
      </c>
      <c r="R1085" s="2" t="s">
        <v>1300</v>
      </c>
      <c r="S1085" s="2" t="s">
        <v>56</v>
      </c>
      <c r="T1085" s="2" t="s">
        <v>591</v>
      </c>
      <c r="U1085" s="2" t="s">
        <v>449</v>
      </c>
      <c r="W1085" s="4">
        <v>577</v>
      </c>
      <c r="X1085" s="4">
        <v>692.4</v>
      </c>
      <c r="Y1085" s="4">
        <f t="shared" ref="Y1085" si="1203">INDEX(InternalRates,MATCH($S1085,InternalRates01,FALSE),2)</f>
        <v>278.98333333333335</v>
      </c>
      <c r="Z1085" s="3" t="str">
        <f t="shared" si="1173"/>
        <v>Nie</v>
      </c>
      <c r="AA1085" s="3" t="str">
        <f t="shared" si="1174"/>
        <v>SLA+ZoD</v>
      </c>
      <c r="AB1085" s="4">
        <v>7</v>
      </c>
      <c r="AC1085" s="4">
        <v>16.8</v>
      </c>
      <c r="AD1085" s="3" t="s">
        <v>48</v>
      </c>
      <c r="AE1085" s="6">
        <v>45546</v>
      </c>
      <c r="AF1085" s="3" t="s">
        <v>59</v>
      </c>
      <c r="AG1085" s="3" t="s">
        <v>48</v>
      </c>
      <c r="AH1085" s="3">
        <f>YEAR(SrcDB[[#This Row],[Datum_zverejnenia]])</f>
        <v>2023</v>
      </c>
      <c r="AI1085" s="3" cm="1">
        <f t="array" ref="AI1085">COUNT(_xlfn.UNIQUE(_xlfn._xlws.FILTER(SrcDB[ID],SrcDB[Objednavatel_ICO]=$H1085)))</f>
        <v>4</v>
      </c>
      <c r="AJ1085" s="3" cm="1">
        <f t="array" ref="AJ1085">COUNT(_xlfn.UNIQUE(_xlfn._xlws.FILTER(SrcDB[ID],SrcDB[Dodavatel_ICO]=$K1085)))</f>
        <v>4</v>
      </c>
      <c r="AK1085" s="3">
        <f t="shared" si="1143"/>
        <v>0</v>
      </c>
      <c r="AL1085" s="3">
        <f t="shared" si="1144"/>
        <v>0</v>
      </c>
      <c r="AM1085" s="17" t="str">
        <f>IF(SrcDB[[#This Row],[Pocet zmluv objednavatela]]&gt;3,SrcDB[[#This Row],[Objednavatel]],"Ostatné")</f>
        <v>Technická univerzita v Košiciach</v>
      </c>
      <c r="AN1085" s="17" t="str">
        <f>IF(SrcDB[[#This Row],[Pocet zmluv dodavatela]]&gt;3,SrcDB[[#This Row],[Dodavatel]],"Ostatné")</f>
        <v>elfa, s.r.o.</v>
      </c>
    </row>
    <row r="1086" spans="1:40" x14ac:dyDescent="0.3">
      <c r="A1086" s="2" t="s">
        <v>176</v>
      </c>
      <c r="B1086" s="2">
        <v>8100626</v>
      </c>
      <c r="C1086" s="3" t="str">
        <f t="shared" si="1137"/>
        <v>Áno</v>
      </c>
      <c r="D1086" s="3" t="str">
        <f t="shared" si="1138"/>
        <v>Nie</v>
      </c>
      <c r="E1086" s="3" t="s">
        <v>49</v>
      </c>
      <c r="F1086" s="3" t="s">
        <v>49</v>
      </c>
      <c r="G1086" s="2" t="str">
        <f t="shared" si="1139"/>
        <v>Malé zmluvy</v>
      </c>
      <c r="H1086" s="5" t="s">
        <v>867</v>
      </c>
      <c r="I1086" s="2" t="s">
        <v>868</v>
      </c>
      <c r="J1086" s="2" t="s">
        <v>869</v>
      </c>
      <c r="K1086" s="5">
        <v>31648410</v>
      </c>
      <c r="L1086" s="2" t="s">
        <v>870</v>
      </c>
      <c r="M1086" s="2" t="s">
        <v>871</v>
      </c>
      <c r="N1086" s="6">
        <v>45121.55505787037</v>
      </c>
      <c r="O1086" s="4">
        <v>243839.28</v>
      </c>
      <c r="P1086" s="2">
        <v>117199</v>
      </c>
      <c r="Q1086" s="2" t="s">
        <v>1299</v>
      </c>
      <c r="R1086" s="2" t="s">
        <v>1300</v>
      </c>
      <c r="S1086" s="2" t="s">
        <v>56</v>
      </c>
      <c r="T1086" s="2" t="s">
        <v>94</v>
      </c>
      <c r="U1086" s="2" t="s">
        <v>95</v>
      </c>
      <c r="W1086" s="4">
        <v>616</v>
      </c>
      <c r="X1086" s="4">
        <v>739.19999999999993</v>
      </c>
      <c r="Y1086" s="4">
        <f t="shared" ref="Y1086" si="1204">INDEX(InternalRates,MATCH($S1086,InternalRates01,FALSE),2)</f>
        <v>278.98333333333335</v>
      </c>
      <c r="Z1086" s="3" t="str">
        <f t="shared" si="1173"/>
        <v>Nie</v>
      </c>
      <c r="AA1086" s="3" t="str">
        <f t="shared" si="1174"/>
        <v>SLA+ZoD</v>
      </c>
      <c r="AB1086" s="4">
        <v>41</v>
      </c>
      <c r="AC1086" s="4">
        <v>98.399999999999991</v>
      </c>
      <c r="AD1086" s="3" t="s">
        <v>48</v>
      </c>
      <c r="AE1086" s="6">
        <v>45546</v>
      </c>
      <c r="AF1086" s="3" t="s">
        <v>59</v>
      </c>
      <c r="AG1086" s="3" t="s">
        <v>48</v>
      </c>
      <c r="AH1086" s="3">
        <f>YEAR(SrcDB[[#This Row],[Datum_zverejnenia]])</f>
        <v>2023</v>
      </c>
      <c r="AI1086" s="3" cm="1">
        <f t="array" ref="AI1086">COUNT(_xlfn.UNIQUE(_xlfn._xlws.FILTER(SrcDB[ID],SrcDB[Objednavatel_ICO]=$H1086)))</f>
        <v>4</v>
      </c>
      <c r="AJ1086" s="3" cm="1">
        <f t="array" ref="AJ1086">COUNT(_xlfn.UNIQUE(_xlfn._xlws.FILTER(SrcDB[ID],SrcDB[Dodavatel_ICO]=$K1086)))</f>
        <v>4</v>
      </c>
      <c r="AK1086" s="3">
        <f t="shared" si="1143"/>
        <v>0</v>
      </c>
      <c r="AL1086" s="3">
        <f t="shared" si="1144"/>
        <v>0</v>
      </c>
      <c r="AM1086" s="17" t="str">
        <f>IF(SrcDB[[#This Row],[Pocet zmluv objednavatela]]&gt;3,SrcDB[[#This Row],[Objednavatel]],"Ostatné")</f>
        <v>Technická univerzita v Košiciach</v>
      </c>
      <c r="AN1086" s="17" t="str">
        <f>IF(SrcDB[[#This Row],[Pocet zmluv dodavatela]]&gt;3,SrcDB[[#This Row],[Dodavatel]],"Ostatné")</f>
        <v>elfa, s.r.o.</v>
      </c>
    </row>
    <row r="1087" spans="1:40" x14ac:dyDescent="0.3">
      <c r="A1087" s="2" t="s">
        <v>176</v>
      </c>
      <c r="B1087" s="2">
        <v>8100626</v>
      </c>
      <c r="C1087" s="3" t="str">
        <f t="shared" si="1137"/>
        <v>Áno</v>
      </c>
      <c r="D1087" s="3" t="str">
        <f t="shared" si="1138"/>
        <v>Nie</v>
      </c>
      <c r="E1087" s="3" t="s">
        <v>49</v>
      </c>
      <c r="F1087" s="3" t="s">
        <v>49</v>
      </c>
      <c r="G1087" s="2" t="str">
        <f t="shared" si="1139"/>
        <v>Malé zmluvy</v>
      </c>
      <c r="H1087" s="5" t="s">
        <v>867</v>
      </c>
      <c r="I1087" s="2" t="s">
        <v>868</v>
      </c>
      <c r="J1087" s="2" t="s">
        <v>869</v>
      </c>
      <c r="K1087" s="5">
        <v>31648410</v>
      </c>
      <c r="L1087" s="2" t="s">
        <v>870</v>
      </c>
      <c r="M1087" s="2" t="s">
        <v>871</v>
      </c>
      <c r="N1087" s="6">
        <v>45121.55505787037</v>
      </c>
      <c r="O1087" s="4">
        <v>243839.28</v>
      </c>
      <c r="P1087" s="2">
        <v>117199</v>
      </c>
      <c r="Q1087" s="2" t="s">
        <v>1299</v>
      </c>
      <c r="R1087" s="2" t="s">
        <v>1300</v>
      </c>
      <c r="S1087" s="2" t="s">
        <v>56</v>
      </c>
      <c r="T1087" s="2" t="s">
        <v>1301</v>
      </c>
      <c r="U1087" s="2" t="s">
        <v>97</v>
      </c>
      <c r="W1087" s="4">
        <v>448</v>
      </c>
      <c r="X1087" s="4">
        <v>537.6</v>
      </c>
      <c r="Y1087" s="4">
        <f t="shared" ref="Y1087" si="1205">INDEX(InternalRates,MATCH($S1087,InternalRates01,FALSE),2)</f>
        <v>278.98333333333335</v>
      </c>
      <c r="Z1087" s="3" t="str">
        <f t="shared" si="1173"/>
        <v>Nie</v>
      </c>
      <c r="AA1087" s="3" t="str">
        <f t="shared" si="1174"/>
        <v>SLA+ZoD</v>
      </c>
      <c r="AB1087" s="4">
        <v>31</v>
      </c>
      <c r="AC1087" s="4">
        <v>74.399999999999991</v>
      </c>
      <c r="AD1087" s="3" t="s">
        <v>48</v>
      </c>
      <c r="AE1087" s="6">
        <v>45546</v>
      </c>
      <c r="AF1087" s="3" t="s">
        <v>59</v>
      </c>
      <c r="AG1087" s="3" t="s">
        <v>48</v>
      </c>
      <c r="AH1087" s="3">
        <f>YEAR(SrcDB[[#This Row],[Datum_zverejnenia]])</f>
        <v>2023</v>
      </c>
      <c r="AI1087" s="3" cm="1">
        <f t="array" ref="AI1087">COUNT(_xlfn.UNIQUE(_xlfn._xlws.FILTER(SrcDB[ID],SrcDB[Objednavatel_ICO]=$H1087)))</f>
        <v>4</v>
      </c>
      <c r="AJ1087" s="3" cm="1">
        <f t="array" ref="AJ1087">COUNT(_xlfn.UNIQUE(_xlfn._xlws.FILTER(SrcDB[ID],SrcDB[Dodavatel_ICO]=$K1087)))</f>
        <v>4</v>
      </c>
      <c r="AK1087" s="3">
        <f t="shared" si="1143"/>
        <v>0</v>
      </c>
      <c r="AL1087" s="3">
        <f t="shared" si="1144"/>
        <v>0</v>
      </c>
      <c r="AM1087" s="17" t="str">
        <f>IF(SrcDB[[#This Row],[Pocet zmluv objednavatela]]&gt;3,SrcDB[[#This Row],[Objednavatel]],"Ostatné")</f>
        <v>Technická univerzita v Košiciach</v>
      </c>
      <c r="AN1087" s="17" t="str">
        <f>IF(SrcDB[[#This Row],[Pocet zmluv dodavatela]]&gt;3,SrcDB[[#This Row],[Dodavatel]],"Ostatné")</f>
        <v>elfa, s.r.o.</v>
      </c>
    </row>
    <row r="1088" spans="1:40" x14ac:dyDescent="0.3">
      <c r="A1088" s="2" t="s">
        <v>176</v>
      </c>
      <c r="B1088" s="2">
        <v>8100626</v>
      </c>
      <c r="C1088" s="3" t="str">
        <f t="shared" si="1137"/>
        <v>Áno</v>
      </c>
      <c r="D1088" s="3" t="str">
        <f t="shared" si="1138"/>
        <v>Nie</v>
      </c>
      <c r="E1088" s="3" t="s">
        <v>49</v>
      </c>
      <c r="F1088" s="3" t="s">
        <v>49</v>
      </c>
      <c r="G1088" s="2" t="str">
        <f t="shared" si="1139"/>
        <v>Malé zmluvy</v>
      </c>
      <c r="H1088" s="5" t="s">
        <v>867</v>
      </c>
      <c r="I1088" s="2" t="s">
        <v>868</v>
      </c>
      <c r="J1088" s="2" t="s">
        <v>869</v>
      </c>
      <c r="K1088" s="5">
        <v>31648410</v>
      </c>
      <c r="L1088" s="2" t="s">
        <v>870</v>
      </c>
      <c r="M1088" s="2" t="s">
        <v>871</v>
      </c>
      <c r="N1088" s="6">
        <v>45121.55505787037</v>
      </c>
      <c r="O1088" s="4">
        <v>243839.28</v>
      </c>
      <c r="P1088" s="2">
        <v>117199</v>
      </c>
      <c r="Q1088" s="2" t="s">
        <v>1299</v>
      </c>
      <c r="R1088" s="2" t="s">
        <v>1300</v>
      </c>
      <c r="S1088" s="2" t="s">
        <v>56</v>
      </c>
      <c r="T1088" s="2" t="s">
        <v>288</v>
      </c>
      <c r="U1088" s="2" t="s">
        <v>289</v>
      </c>
      <c r="W1088" s="4">
        <v>456</v>
      </c>
      <c r="X1088" s="4">
        <v>547.19999999999993</v>
      </c>
      <c r="Y1088" s="4">
        <f t="shared" ref="Y1088" si="1206">INDEX(InternalRates,MATCH($S1088,InternalRates01,FALSE),2)</f>
        <v>278.98333333333335</v>
      </c>
      <c r="Z1088" s="3" t="str">
        <f t="shared" si="1173"/>
        <v>Nie</v>
      </c>
      <c r="AA1088" s="3" t="str">
        <f t="shared" si="1174"/>
        <v>SLA+ZoD</v>
      </c>
      <c r="AB1088" s="4">
        <v>17</v>
      </c>
      <c r="AC1088" s="4">
        <v>40.799999999999997</v>
      </c>
      <c r="AD1088" s="3" t="s">
        <v>48</v>
      </c>
      <c r="AE1088" s="6">
        <v>45546</v>
      </c>
      <c r="AF1088" s="3" t="s">
        <v>59</v>
      </c>
      <c r="AG1088" s="3" t="s">
        <v>48</v>
      </c>
      <c r="AH1088" s="3">
        <f>YEAR(SrcDB[[#This Row],[Datum_zverejnenia]])</f>
        <v>2023</v>
      </c>
      <c r="AI1088" s="3" cm="1">
        <f t="array" ref="AI1088">COUNT(_xlfn.UNIQUE(_xlfn._xlws.FILTER(SrcDB[ID],SrcDB[Objednavatel_ICO]=$H1088)))</f>
        <v>4</v>
      </c>
      <c r="AJ1088" s="3" cm="1">
        <f t="array" ref="AJ1088">COUNT(_xlfn.UNIQUE(_xlfn._xlws.FILTER(SrcDB[ID],SrcDB[Dodavatel_ICO]=$K1088)))</f>
        <v>4</v>
      </c>
      <c r="AK1088" s="3">
        <f t="shared" si="1143"/>
        <v>0</v>
      </c>
      <c r="AL1088" s="3">
        <f t="shared" si="1144"/>
        <v>0</v>
      </c>
      <c r="AM1088" s="17" t="str">
        <f>IF(SrcDB[[#This Row],[Pocet zmluv objednavatela]]&gt;3,SrcDB[[#This Row],[Objednavatel]],"Ostatné")</f>
        <v>Technická univerzita v Košiciach</v>
      </c>
      <c r="AN1088" s="17" t="str">
        <f>IF(SrcDB[[#This Row],[Pocet zmluv dodavatela]]&gt;3,SrcDB[[#This Row],[Dodavatel]],"Ostatné")</f>
        <v>elfa, s.r.o.</v>
      </c>
    </row>
    <row r="1089" spans="1:40" x14ac:dyDescent="0.3">
      <c r="A1089" s="2" t="s">
        <v>176</v>
      </c>
      <c r="B1089" s="2">
        <v>8100626</v>
      </c>
      <c r="C1089" s="3" t="str">
        <f t="shared" si="1137"/>
        <v>Áno</v>
      </c>
      <c r="D1089" s="3" t="str">
        <f t="shared" si="1138"/>
        <v>Nie</v>
      </c>
      <c r="E1089" s="3" t="s">
        <v>49</v>
      </c>
      <c r="F1089" s="3" t="s">
        <v>49</v>
      </c>
      <c r="G1089" s="2" t="str">
        <f t="shared" si="1139"/>
        <v>Malé zmluvy</v>
      </c>
      <c r="H1089" s="5" t="s">
        <v>867</v>
      </c>
      <c r="I1089" s="2" t="s">
        <v>868</v>
      </c>
      <c r="J1089" s="2" t="s">
        <v>869</v>
      </c>
      <c r="K1089" s="5">
        <v>31648410</v>
      </c>
      <c r="L1089" s="2" t="s">
        <v>870</v>
      </c>
      <c r="M1089" s="2" t="s">
        <v>871</v>
      </c>
      <c r="N1089" s="6">
        <v>45121.55505787037</v>
      </c>
      <c r="O1089" s="4">
        <v>243839.28</v>
      </c>
      <c r="P1089" s="2">
        <v>117199</v>
      </c>
      <c r="Q1089" s="2" t="s">
        <v>1299</v>
      </c>
      <c r="R1089" s="2" t="s">
        <v>1300</v>
      </c>
      <c r="S1089" s="2" t="s">
        <v>56</v>
      </c>
      <c r="T1089" s="2" t="s">
        <v>286</v>
      </c>
      <c r="U1089" s="2" t="s">
        <v>129</v>
      </c>
      <c r="W1089" s="4">
        <v>441</v>
      </c>
      <c r="X1089" s="4">
        <v>529.19999999999993</v>
      </c>
      <c r="Y1089" s="4">
        <f t="shared" ref="Y1089" si="1207">INDEX(InternalRates,MATCH($S1089,InternalRates01,FALSE),2)</f>
        <v>278.98333333333335</v>
      </c>
      <c r="Z1089" s="3" t="str">
        <f t="shared" si="1173"/>
        <v>Nie</v>
      </c>
      <c r="AA1089" s="3" t="str">
        <f t="shared" si="1174"/>
        <v>SLA+ZoD</v>
      </c>
      <c r="AB1089" s="4">
        <v>113</v>
      </c>
      <c r="AC1089" s="4">
        <v>271.2</v>
      </c>
      <c r="AD1089" s="3" t="s">
        <v>48</v>
      </c>
      <c r="AE1089" s="6">
        <v>45546</v>
      </c>
      <c r="AF1089" s="3" t="s">
        <v>59</v>
      </c>
      <c r="AG1089" s="3" t="s">
        <v>48</v>
      </c>
      <c r="AH1089" s="3">
        <f>YEAR(SrcDB[[#This Row],[Datum_zverejnenia]])</f>
        <v>2023</v>
      </c>
      <c r="AI1089" s="3" cm="1">
        <f t="array" ref="AI1089">COUNT(_xlfn.UNIQUE(_xlfn._xlws.FILTER(SrcDB[ID],SrcDB[Objednavatel_ICO]=$H1089)))</f>
        <v>4</v>
      </c>
      <c r="AJ1089" s="3" cm="1">
        <f t="array" ref="AJ1089">COUNT(_xlfn.UNIQUE(_xlfn._xlws.FILTER(SrcDB[ID],SrcDB[Dodavatel_ICO]=$K1089)))</f>
        <v>4</v>
      </c>
      <c r="AK1089" s="3">
        <f t="shared" si="1143"/>
        <v>0</v>
      </c>
      <c r="AL1089" s="3">
        <f t="shared" si="1144"/>
        <v>0</v>
      </c>
      <c r="AM1089" s="17" t="str">
        <f>IF(SrcDB[[#This Row],[Pocet zmluv objednavatela]]&gt;3,SrcDB[[#This Row],[Objednavatel]],"Ostatné")</f>
        <v>Technická univerzita v Košiciach</v>
      </c>
      <c r="AN1089" s="17" t="str">
        <f>IF(SrcDB[[#This Row],[Pocet zmluv dodavatela]]&gt;3,SrcDB[[#This Row],[Dodavatel]],"Ostatné")</f>
        <v>elfa, s.r.o.</v>
      </c>
    </row>
    <row r="1090" spans="1:40" x14ac:dyDescent="0.3">
      <c r="A1090" s="2" t="s">
        <v>176</v>
      </c>
      <c r="B1090" s="2">
        <v>8100626</v>
      </c>
      <c r="C1090" s="3" t="str">
        <f t="shared" ref="C1090:C1153" si="1208">IF(OR(NOT(ISERROR(FIND("O DIEL",UPPER($A1090)))),NOT(ISERROR(FIND("O IMPLEM",UPPER($A1090)))))=TRUE,"Áno",IF(OR(NOT(ISERROR(FIND("PODPOR",UPPER($A1090)))),NOT(ISERROR(FIND("SLA",UPPER($A1090)))),NOT(ISERROR(FIND("SERVIS",UPPER($A1090)))))=TRUE,"Nie","Nejasné"))</f>
        <v>Áno</v>
      </c>
      <c r="D1090" s="3" t="str">
        <f t="shared" ref="D1090:D1153" si="1209">IF(OR(NOT(ISERROR(FIND("PODPOR",UPPER($A1090)))),NOT(ISERROR(FIND("SLA",UPPER($A1090)))),NOT(ISERROR(FIND("SERVIS",UPPER($A1090)))))=TRUE,"Áno",IF(OR(NOT(ISERROR(FIND("O DIEL",UPPER($A1090)))),NOT(ISERROR(FIND("O IMPLEM",UPPER($A1090)))))=TRUE,"Nie","Nejasné"))</f>
        <v>Nie</v>
      </c>
      <c r="E1090" s="3" t="s">
        <v>49</v>
      </c>
      <c r="F1090" s="3" t="s">
        <v>49</v>
      </c>
      <c r="G1090" s="2" t="str">
        <f t="shared" ref="G1090:G1153" si="1210">IF($O1090&gt;=8000000,"Veľké zmluvy",IF($O1090&gt;=1000000,"Stredné zmluvy","Malé zmluvy"))</f>
        <v>Malé zmluvy</v>
      </c>
      <c r="H1090" s="5" t="s">
        <v>867</v>
      </c>
      <c r="I1090" s="2" t="s">
        <v>868</v>
      </c>
      <c r="J1090" s="2" t="s">
        <v>869</v>
      </c>
      <c r="K1090" s="5">
        <v>31648410</v>
      </c>
      <c r="L1090" s="2" t="s">
        <v>870</v>
      </c>
      <c r="M1090" s="2" t="s">
        <v>871</v>
      </c>
      <c r="N1090" s="6">
        <v>45121.55505787037</v>
      </c>
      <c r="O1090" s="4">
        <v>243839.28</v>
      </c>
      <c r="P1090" s="2">
        <v>117199</v>
      </c>
      <c r="Q1090" s="2" t="s">
        <v>1299</v>
      </c>
      <c r="R1090" s="2" t="s">
        <v>1300</v>
      </c>
      <c r="S1090" s="2" t="s">
        <v>79</v>
      </c>
      <c r="T1090" s="2" t="s">
        <v>93</v>
      </c>
      <c r="W1090" s="4">
        <v>373</v>
      </c>
      <c r="X1090" s="4">
        <v>447.59999999999997</v>
      </c>
      <c r="Y1090" s="4">
        <f t="shared" ref="Y1090" si="1211">INDEX(InternalRates,MATCH($S1090,InternalRates01,FALSE),2)</f>
        <v>278.98333333333335</v>
      </c>
      <c r="Z1090" s="3" t="str">
        <f t="shared" si="1173"/>
        <v>Nie</v>
      </c>
      <c r="AA1090" s="3" t="str">
        <f t="shared" si="1174"/>
        <v>SLA+ZoD</v>
      </c>
      <c r="AB1090" s="4">
        <v>25</v>
      </c>
      <c r="AC1090" s="4">
        <v>60</v>
      </c>
      <c r="AD1090" s="3" t="s">
        <v>48</v>
      </c>
      <c r="AE1090" s="6">
        <v>45546</v>
      </c>
      <c r="AF1090" s="3" t="s">
        <v>59</v>
      </c>
      <c r="AG1090" s="3" t="s">
        <v>48</v>
      </c>
      <c r="AH1090" s="3">
        <f>YEAR(SrcDB[[#This Row],[Datum_zverejnenia]])</f>
        <v>2023</v>
      </c>
      <c r="AI1090" s="3" cm="1">
        <f t="array" ref="AI1090">COUNT(_xlfn.UNIQUE(_xlfn._xlws.FILTER(SrcDB[ID],SrcDB[Objednavatel_ICO]=$H1090)))</f>
        <v>4</v>
      </c>
      <c r="AJ1090" s="3" cm="1">
        <f t="array" ref="AJ1090">COUNT(_xlfn.UNIQUE(_xlfn._xlws.FILTER(SrcDB[ID],SrcDB[Dodavatel_ICO]=$K1090)))</f>
        <v>4</v>
      </c>
      <c r="AK1090" s="3">
        <f t="shared" si="1143"/>
        <v>0</v>
      </c>
      <c r="AL1090" s="3">
        <f t="shared" si="1144"/>
        <v>0</v>
      </c>
      <c r="AM1090" s="17" t="str">
        <f>IF(SrcDB[[#This Row],[Pocet zmluv objednavatela]]&gt;3,SrcDB[[#This Row],[Objednavatel]],"Ostatné")</f>
        <v>Technická univerzita v Košiciach</v>
      </c>
      <c r="AN1090" s="17" t="str">
        <f>IF(SrcDB[[#This Row],[Pocet zmluv dodavatela]]&gt;3,SrcDB[[#This Row],[Dodavatel]],"Ostatné")</f>
        <v>elfa, s.r.o.</v>
      </c>
    </row>
    <row r="1091" spans="1:40" x14ac:dyDescent="0.3">
      <c r="A1091" s="2" t="s">
        <v>176</v>
      </c>
      <c r="B1091" s="2">
        <v>8100626</v>
      </c>
      <c r="C1091" s="3" t="str">
        <f t="shared" si="1208"/>
        <v>Áno</v>
      </c>
      <c r="D1091" s="3" t="str">
        <f t="shared" si="1209"/>
        <v>Nie</v>
      </c>
      <c r="E1091" s="3" t="s">
        <v>49</v>
      </c>
      <c r="F1091" s="3" t="s">
        <v>49</v>
      </c>
      <c r="G1091" s="2" t="str">
        <f t="shared" si="1210"/>
        <v>Malé zmluvy</v>
      </c>
      <c r="H1091" s="5" t="s">
        <v>867</v>
      </c>
      <c r="I1091" s="2" t="s">
        <v>868</v>
      </c>
      <c r="J1091" s="2" t="s">
        <v>869</v>
      </c>
      <c r="K1091" s="5">
        <v>31648410</v>
      </c>
      <c r="L1091" s="2" t="s">
        <v>870</v>
      </c>
      <c r="M1091" s="2" t="s">
        <v>871</v>
      </c>
      <c r="N1091" s="6">
        <v>45121.55505787037</v>
      </c>
      <c r="O1091" s="4">
        <v>243839.28</v>
      </c>
      <c r="P1091" s="2">
        <v>117199</v>
      </c>
      <c r="Q1091" s="2" t="s">
        <v>1299</v>
      </c>
      <c r="R1091" s="2" t="s">
        <v>1300</v>
      </c>
      <c r="S1091" s="2" t="s">
        <v>98</v>
      </c>
      <c r="T1091" s="2" t="s">
        <v>287</v>
      </c>
      <c r="W1091" s="4">
        <v>393</v>
      </c>
      <c r="X1091" s="4">
        <v>471.59999999999997</v>
      </c>
      <c r="Y1091" s="4">
        <f t="shared" ref="Y1091" si="1212">INDEX(InternalRates,MATCH($S1091,InternalRates01,FALSE),2)</f>
        <v>278.98333333333335</v>
      </c>
      <c r="Z1091" s="3" t="str">
        <f t="shared" si="1173"/>
        <v>Nie</v>
      </c>
      <c r="AA1091" s="3" t="str">
        <f t="shared" si="1174"/>
        <v>SLA+ZoD</v>
      </c>
      <c r="AB1091" s="4">
        <v>12</v>
      </c>
      <c r="AC1091" s="4">
        <v>28.799999999999997</v>
      </c>
      <c r="AD1091" s="3" t="s">
        <v>48</v>
      </c>
      <c r="AE1091" s="6">
        <v>45546</v>
      </c>
      <c r="AF1091" s="3" t="s">
        <v>59</v>
      </c>
      <c r="AG1091" s="3" t="s">
        <v>48</v>
      </c>
      <c r="AH1091" s="3">
        <f>YEAR(SrcDB[[#This Row],[Datum_zverejnenia]])</f>
        <v>2023</v>
      </c>
      <c r="AI1091" s="3" cm="1">
        <f t="array" ref="AI1091">COUNT(_xlfn.UNIQUE(_xlfn._xlws.FILTER(SrcDB[ID],SrcDB[Objednavatel_ICO]=$H1091)))</f>
        <v>4</v>
      </c>
      <c r="AJ1091" s="3" cm="1">
        <f t="array" ref="AJ1091">COUNT(_xlfn.UNIQUE(_xlfn._xlws.FILTER(SrcDB[ID],SrcDB[Dodavatel_ICO]=$K1091)))</f>
        <v>4</v>
      </c>
      <c r="AK1091" s="3">
        <f t="shared" si="1143"/>
        <v>0</v>
      </c>
      <c r="AL1091" s="3">
        <f t="shared" si="1144"/>
        <v>0</v>
      </c>
      <c r="AM1091" s="17" t="str">
        <f>IF(SrcDB[[#This Row],[Pocet zmluv objednavatela]]&gt;3,SrcDB[[#This Row],[Objednavatel]],"Ostatné")</f>
        <v>Technická univerzita v Košiciach</v>
      </c>
      <c r="AN1091" s="17" t="str">
        <f>IF(SrcDB[[#This Row],[Pocet zmluv dodavatela]]&gt;3,SrcDB[[#This Row],[Dodavatel]],"Ostatné")</f>
        <v>elfa, s.r.o.</v>
      </c>
    </row>
    <row r="1092" spans="1:40" x14ac:dyDescent="0.3">
      <c r="A1092" s="2" t="s">
        <v>1302</v>
      </c>
      <c r="B1092" s="2">
        <v>8104478</v>
      </c>
      <c r="C1092" s="3" t="str">
        <f t="shared" si="1208"/>
        <v>Nejasné</v>
      </c>
      <c r="D1092" s="3" t="str">
        <f t="shared" si="1209"/>
        <v>Nejasné</v>
      </c>
      <c r="E1092" s="3" t="s">
        <v>48</v>
      </c>
      <c r="F1092" s="3" t="s">
        <v>49</v>
      </c>
      <c r="G1092" s="2" t="str">
        <f t="shared" si="1210"/>
        <v>Malé zmluvy</v>
      </c>
      <c r="H1092" s="5">
        <v>42499500</v>
      </c>
      <c r="I1092" s="2" t="s">
        <v>464</v>
      </c>
      <c r="J1092" s="2" t="s">
        <v>465</v>
      </c>
      <c r="K1092" s="5">
        <v>36396222</v>
      </c>
      <c r="L1092" s="2" t="s">
        <v>52</v>
      </c>
      <c r="N1092" s="6">
        <v>45124.58221064815</v>
      </c>
      <c r="O1092" s="4">
        <v>537935.82999999996</v>
      </c>
      <c r="P1092" s="2">
        <v>114725</v>
      </c>
      <c r="Q1092" s="2" t="s">
        <v>1303</v>
      </c>
      <c r="R1092" s="2" t="s">
        <v>1304</v>
      </c>
      <c r="S1092" s="2" t="s">
        <v>71</v>
      </c>
      <c r="T1092" s="2" t="s">
        <v>320</v>
      </c>
      <c r="W1092" s="4">
        <v>776.66</v>
      </c>
      <c r="X1092" s="4">
        <v>931.99199999999996</v>
      </c>
      <c r="Y1092" s="4">
        <f t="shared" ref="Y1092" si="1213">INDEX(InternalRates,MATCH($S1092,InternalRates01,FALSE),2)</f>
        <v>354.0333333333333</v>
      </c>
      <c r="Z1092" s="3" t="str">
        <f t="shared" si="1173"/>
        <v>Nie</v>
      </c>
      <c r="AA1092" s="3" t="str">
        <f t="shared" si="1174"/>
        <v>SLA</v>
      </c>
      <c r="AB1092" s="4">
        <v>3</v>
      </c>
      <c r="AC1092" s="4">
        <v>24</v>
      </c>
      <c r="AD1092" s="3" t="s">
        <v>48</v>
      </c>
      <c r="AE1092" s="6">
        <v>45546</v>
      </c>
      <c r="AF1092" s="3" t="s">
        <v>59</v>
      </c>
      <c r="AG1092" s="3" t="s">
        <v>48</v>
      </c>
      <c r="AH1092" s="3">
        <f>YEAR(SrcDB[[#This Row],[Datum_zverejnenia]])</f>
        <v>2023</v>
      </c>
      <c r="AI1092" s="3" cm="1">
        <f t="array" ref="AI1092">COUNT(_xlfn.UNIQUE(_xlfn._xlws.FILTER(SrcDB[ID],SrcDB[Objednavatel_ICO]=$H1092)))</f>
        <v>25</v>
      </c>
      <c r="AJ1092" s="3" cm="1">
        <f t="array" ref="AJ1092">COUNT(_xlfn.UNIQUE(_xlfn._xlws.FILTER(SrcDB[ID],SrcDB[Dodavatel_ICO]=$K1092)))</f>
        <v>11</v>
      </c>
      <c r="AK1092" s="3">
        <f t="shared" ref="AK1092:AK1155" si="1214">IF($H1091&lt;&gt;$H1092,1,IF($B1091&lt;&gt;$B1092,1,0))</f>
        <v>1</v>
      </c>
      <c r="AL1092" s="3">
        <f t="shared" ref="AL1092:AL1155" si="1215">IF($K1091&lt;&gt;$K1092,1,IF($B1091&lt;&gt;$B1092,1,0))</f>
        <v>1</v>
      </c>
      <c r="AM1092" s="17" t="str">
        <f>IF(SrcDB[[#This Row],[Pocet zmluv objednavatela]]&gt;3,SrcDB[[#This Row],[Objednavatel]],"Ostatné")</f>
        <v>Finančné riaditeľstvo SR</v>
      </c>
      <c r="AN1092" s="17" t="str">
        <f>IF(SrcDB[[#This Row],[Pocet zmluv dodavatela]]&gt;3,SrcDB[[#This Row],[Dodavatel]],"Ostatné")</f>
        <v>AUTOCONT s.r.o. / ARICOMA Systems s.r.o.</v>
      </c>
    </row>
    <row r="1093" spans="1:40" x14ac:dyDescent="0.3">
      <c r="A1093" s="2" t="s">
        <v>1302</v>
      </c>
      <c r="B1093" s="2">
        <v>8104478</v>
      </c>
      <c r="C1093" s="3" t="str">
        <f t="shared" si="1208"/>
        <v>Nejasné</v>
      </c>
      <c r="D1093" s="3" t="str">
        <f t="shared" si="1209"/>
        <v>Nejasné</v>
      </c>
      <c r="E1093" s="3" t="s">
        <v>48</v>
      </c>
      <c r="F1093" s="3" t="s">
        <v>49</v>
      </c>
      <c r="G1093" s="2" t="str">
        <f t="shared" si="1210"/>
        <v>Malé zmluvy</v>
      </c>
      <c r="H1093" s="5">
        <v>42499500</v>
      </c>
      <c r="I1093" s="2" t="s">
        <v>464</v>
      </c>
      <c r="J1093" s="2" t="s">
        <v>465</v>
      </c>
      <c r="K1093" s="5">
        <v>36396222</v>
      </c>
      <c r="L1093" s="2" t="s">
        <v>52</v>
      </c>
      <c r="N1093" s="6">
        <v>45124.58221064815</v>
      </c>
      <c r="O1093" s="4">
        <v>537935.82999999996</v>
      </c>
      <c r="P1093" s="2">
        <v>114725</v>
      </c>
      <c r="Q1093" s="2" t="s">
        <v>1303</v>
      </c>
      <c r="R1093" s="2" t="s">
        <v>1304</v>
      </c>
      <c r="S1093" s="2" t="s">
        <v>56</v>
      </c>
      <c r="T1093" s="2" t="s">
        <v>1305</v>
      </c>
      <c r="U1093" s="2" t="s">
        <v>58</v>
      </c>
      <c r="W1093" s="4">
        <v>664.16</v>
      </c>
      <c r="X1093" s="4">
        <v>796.99199999999996</v>
      </c>
      <c r="Y1093" s="4">
        <f t="shared" ref="Y1093" si="1216">INDEX(InternalRates,MATCH($S1093,InternalRates01,FALSE),2)</f>
        <v>278.98333333333335</v>
      </c>
      <c r="Z1093" s="3" t="str">
        <f t="shared" si="1173"/>
        <v>Nie</v>
      </c>
      <c r="AA1093" s="3" t="str">
        <f t="shared" si="1174"/>
        <v>SLA</v>
      </c>
      <c r="AB1093" s="4">
        <v>4</v>
      </c>
      <c r="AC1093" s="4">
        <v>32</v>
      </c>
      <c r="AD1093" s="3" t="s">
        <v>48</v>
      </c>
      <c r="AE1093" s="6">
        <v>45546</v>
      </c>
      <c r="AF1093" s="3" t="s">
        <v>59</v>
      </c>
      <c r="AG1093" s="3" t="s">
        <v>48</v>
      </c>
      <c r="AH1093" s="3">
        <f>YEAR(SrcDB[[#This Row],[Datum_zverejnenia]])</f>
        <v>2023</v>
      </c>
      <c r="AI1093" s="3" cm="1">
        <f t="array" ref="AI1093">COUNT(_xlfn.UNIQUE(_xlfn._xlws.FILTER(SrcDB[ID],SrcDB[Objednavatel_ICO]=$H1093)))</f>
        <v>25</v>
      </c>
      <c r="AJ1093" s="3" cm="1">
        <f t="array" ref="AJ1093">COUNT(_xlfn.UNIQUE(_xlfn._xlws.FILTER(SrcDB[ID],SrcDB[Dodavatel_ICO]=$K1093)))</f>
        <v>11</v>
      </c>
      <c r="AK1093" s="3">
        <f t="shared" si="1214"/>
        <v>0</v>
      </c>
      <c r="AL1093" s="3">
        <f t="shared" si="1215"/>
        <v>0</v>
      </c>
      <c r="AM1093" s="17" t="str">
        <f>IF(SrcDB[[#This Row],[Pocet zmluv objednavatela]]&gt;3,SrcDB[[#This Row],[Objednavatel]],"Ostatné")</f>
        <v>Finančné riaditeľstvo SR</v>
      </c>
      <c r="AN1093" s="17" t="str">
        <f>IF(SrcDB[[#This Row],[Pocet zmluv dodavatela]]&gt;3,SrcDB[[#This Row],[Dodavatel]],"Ostatné")</f>
        <v>AUTOCONT s.r.o. / ARICOMA Systems s.r.o.</v>
      </c>
    </row>
    <row r="1094" spans="1:40" x14ac:dyDescent="0.3">
      <c r="A1094" s="2" t="s">
        <v>1302</v>
      </c>
      <c r="B1094" s="2">
        <v>8104478</v>
      </c>
      <c r="C1094" s="3" t="str">
        <f t="shared" si="1208"/>
        <v>Nejasné</v>
      </c>
      <c r="D1094" s="3" t="str">
        <f t="shared" si="1209"/>
        <v>Nejasné</v>
      </c>
      <c r="E1094" s="3" t="s">
        <v>48</v>
      </c>
      <c r="F1094" s="3" t="s">
        <v>49</v>
      </c>
      <c r="G1094" s="2" t="str">
        <f t="shared" si="1210"/>
        <v>Malé zmluvy</v>
      </c>
      <c r="H1094" s="5">
        <v>42499500</v>
      </c>
      <c r="I1094" s="2" t="s">
        <v>464</v>
      </c>
      <c r="J1094" s="2" t="s">
        <v>465</v>
      </c>
      <c r="K1094" s="5">
        <v>36396222</v>
      </c>
      <c r="L1094" s="2" t="s">
        <v>52</v>
      </c>
      <c r="N1094" s="6">
        <v>45124.58221064815</v>
      </c>
      <c r="O1094" s="4">
        <v>537935.82999999996</v>
      </c>
      <c r="P1094" s="2">
        <v>114725</v>
      </c>
      <c r="Q1094" s="2" t="s">
        <v>1303</v>
      </c>
      <c r="R1094" s="2" t="s">
        <v>1304</v>
      </c>
      <c r="S1094" s="2" t="s">
        <v>56</v>
      </c>
      <c r="T1094" s="2" t="s">
        <v>1301</v>
      </c>
      <c r="U1094" s="2" t="s">
        <v>97</v>
      </c>
      <c r="W1094" s="4">
        <v>748.33</v>
      </c>
      <c r="X1094" s="4">
        <v>897.99599999999998</v>
      </c>
      <c r="Y1094" s="4">
        <f t="shared" ref="Y1094" si="1217">INDEX(InternalRates,MATCH($S1094,InternalRates01,FALSE),2)</f>
        <v>278.98333333333335</v>
      </c>
      <c r="Z1094" s="3" t="str">
        <f t="shared" si="1173"/>
        <v>Nie</v>
      </c>
      <c r="AA1094" s="3" t="str">
        <f t="shared" si="1174"/>
        <v>SLA</v>
      </c>
      <c r="AB1094" s="4">
        <v>4</v>
      </c>
      <c r="AC1094" s="4">
        <v>32</v>
      </c>
      <c r="AD1094" s="3" t="s">
        <v>48</v>
      </c>
      <c r="AE1094" s="6">
        <v>45546</v>
      </c>
      <c r="AF1094" s="3" t="s">
        <v>59</v>
      </c>
      <c r="AG1094" s="3" t="s">
        <v>48</v>
      </c>
      <c r="AH1094" s="3">
        <f>YEAR(SrcDB[[#This Row],[Datum_zverejnenia]])</f>
        <v>2023</v>
      </c>
      <c r="AI1094" s="3" cm="1">
        <f t="array" ref="AI1094">COUNT(_xlfn.UNIQUE(_xlfn._xlws.FILTER(SrcDB[ID],SrcDB[Objednavatel_ICO]=$H1094)))</f>
        <v>25</v>
      </c>
      <c r="AJ1094" s="3" cm="1">
        <f t="array" ref="AJ1094">COUNT(_xlfn.UNIQUE(_xlfn._xlws.FILTER(SrcDB[ID],SrcDB[Dodavatel_ICO]=$K1094)))</f>
        <v>11</v>
      </c>
      <c r="AK1094" s="3">
        <f t="shared" si="1214"/>
        <v>0</v>
      </c>
      <c r="AL1094" s="3">
        <f t="shared" si="1215"/>
        <v>0</v>
      </c>
      <c r="AM1094" s="17" t="str">
        <f>IF(SrcDB[[#This Row],[Pocet zmluv objednavatela]]&gt;3,SrcDB[[#This Row],[Objednavatel]],"Ostatné")</f>
        <v>Finančné riaditeľstvo SR</v>
      </c>
      <c r="AN1094" s="17" t="str">
        <f>IF(SrcDB[[#This Row],[Pocet zmluv dodavatela]]&gt;3,SrcDB[[#This Row],[Dodavatel]],"Ostatné")</f>
        <v>AUTOCONT s.r.o. / ARICOMA Systems s.r.o.</v>
      </c>
    </row>
    <row r="1095" spans="1:40" x14ac:dyDescent="0.3">
      <c r="A1095" s="2" t="s">
        <v>1306</v>
      </c>
      <c r="B1095" s="2">
        <v>8106831</v>
      </c>
      <c r="C1095" s="3" t="str">
        <f t="shared" si="1208"/>
        <v>Nejasné</v>
      </c>
      <c r="D1095" s="3" t="str">
        <f t="shared" si="1209"/>
        <v>Nejasné</v>
      </c>
      <c r="E1095" s="3" t="s">
        <v>48</v>
      </c>
      <c r="F1095" s="3" t="s">
        <v>49</v>
      </c>
      <c r="G1095" s="2" t="str">
        <f t="shared" si="1210"/>
        <v>Malé zmluvy</v>
      </c>
      <c r="H1095" s="5">
        <v>42499500</v>
      </c>
      <c r="I1095" s="2" t="s">
        <v>464</v>
      </c>
      <c r="J1095" s="2" t="s">
        <v>465</v>
      </c>
      <c r="K1095" s="5">
        <v>36831221</v>
      </c>
      <c r="L1095" s="2" t="s">
        <v>366</v>
      </c>
      <c r="N1095" s="6">
        <v>45125.362800925926</v>
      </c>
      <c r="O1095" s="4">
        <v>828013.44</v>
      </c>
      <c r="P1095" s="2">
        <v>114725</v>
      </c>
      <c r="Q1095" s="2" t="s">
        <v>1307</v>
      </c>
      <c r="R1095" s="2" t="s">
        <v>1308</v>
      </c>
      <c r="S1095" s="2" t="s">
        <v>183</v>
      </c>
      <c r="T1095" s="2" t="s">
        <v>183</v>
      </c>
      <c r="W1095" s="4">
        <v>720</v>
      </c>
      <c r="X1095" s="4">
        <v>864</v>
      </c>
      <c r="Y1095" s="4">
        <f t="shared" ref="Y1095" si="1218">INDEX(InternalRates,MATCH($S1095,InternalRates01,FALSE),2)</f>
        <v>278.98333333333335</v>
      </c>
      <c r="Z1095" s="3" t="str">
        <f t="shared" si="1173"/>
        <v>Nie</v>
      </c>
      <c r="AA1095" s="3" t="str">
        <f t="shared" si="1174"/>
        <v>SLA</v>
      </c>
      <c r="AB1095" s="4">
        <v>2</v>
      </c>
      <c r="AC1095" s="4">
        <v>16</v>
      </c>
      <c r="AD1095" s="3" t="s">
        <v>48</v>
      </c>
      <c r="AE1095" s="6">
        <v>45546</v>
      </c>
      <c r="AF1095" s="3" t="s">
        <v>59</v>
      </c>
      <c r="AG1095" s="3" t="s">
        <v>48</v>
      </c>
      <c r="AH1095" s="3">
        <f>YEAR(SrcDB[[#This Row],[Datum_zverejnenia]])</f>
        <v>2023</v>
      </c>
      <c r="AI1095" s="3" cm="1">
        <f t="array" ref="AI1095">COUNT(_xlfn.UNIQUE(_xlfn._xlws.FILTER(SrcDB[ID],SrcDB[Objednavatel_ICO]=$H1095)))</f>
        <v>25</v>
      </c>
      <c r="AJ1095" s="3" cm="1">
        <f t="array" ref="AJ1095">COUNT(_xlfn.UNIQUE(_xlfn._xlws.FILTER(SrcDB[ID],SrcDB[Dodavatel_ICO]=$K1095)))</f>
        <v>5</v>
      </c>
      <c r="AK1095" s="3">
        <f t="shared" si="1214"/>
        <v>1</v>
      </c>
      <c r="AL1095" s="3">
        <f t="shared" si="1215"/>
        <v>1</v>
      </c>
      <c r="AM1095" s="17" t="str">
        <f>IF(SrcDB[[#This Row],[Pocet zmluv objednavatela]]&gt;3,SrcDB[[#This Row],[Objednavatel]],"Ostatné")</f>
        <v>Finančné riaditeľstvo SR</v>
      </c>
      <c r="AN1095" s="17" t="str">
        <f>IF(SrcDB[[#This Row],[Pocet zmluv dodavatela]]&gt;3,SrcDB[[#This Row],[Dodavatel]],"Ostatné")</f>
        <v>Aliter Technologies, a.s.</v>
      </c>
    </row>
    <row r="1096" spans="1:40" x14ac:dyDescent="0.3">
      <c r="A1096" s="2" t="s">
        <v>1306</v>
      </c>
      <c r="B1096" s="2">
        <v>8106831</v>
      </c>
      <c r="C1096" s="3" t="str">
        <f t="shared" si="1208"/>
        <v>Nejasné</v>
      </c>
      <c r="D1096" s="3" t="str">
        <f t="shared" si="1209"/>
        <v>Nejasné</v>
      </c>
      <c r="E1096" s="3" t="s">
        <v>48</v>
      </c>
      <c r="F1096" s="3" t="s">
        <v>49</v>
      </c>
      <c r="G1096" s="2" t="str">
        <f t="shared" si="1210"/>
        <v>Malé zmluvy</v>
      </c>
      <c r="H1096" s="5">
        <v>42499500</v>
      </c>
      <c r="I1096" s="2" t="s">
        <v>464</v>
      </c>
      <c r="J1096" s="2" t="s">
        <v>465</v>
      </c>
      <c r="K1096" s="5">
        <v>36831221</v>
      </c>
      <c r="L1096" s="2" t="s">
        <v>366</v>
      </c>
      <c r="N1096" s="6">
        <v>45125.362800925926</v>
      </c>
      <c r="O1096" s="4">
        <v>828013.44</v>
      </c>
      <c r="P1096" s="2">
        <v>114725</v>
      </c>
      <c r="Q1096" s="2" t="s">
        <v>1307</v>
      </c>
      <c r="R1096" s="2" t="s">
        <v>1308</v>
      </c>
      <c r="S1096" s="2" t="s">
        <v>123</v>
      </c>
      <c r="T1096" s="2" t="s">
        <v>583</v>
      </c>
      <c r="V1096" s="2" t="s">
        <v>583</v>
      </c>
      <c r="W1096" s="4">
        <v>720</v>
      </c>
      <c r="X1096" s="4">
        <v>864</v>
      </c>
      <c r="Y1096" s="4">
        <f t="shared" ref="Y1096" si="1219">INDEX(InternalRates,MATCH($S1096,InternalRates01,FALSE),2)</f>
        <v>231.85833333333335</v>
      </c>
      <c r="Z1096" s="3" t="str">
        <f t="shared" si="1173"/>
        <v>Nie</v>
      </c>
      <c r="AA1096" s="3" t="str">
        <f t="shared" si="1174"/>
        <v>SLA</v>
      </c>
      <c r="AB1096" s="4">
        <v>6</v>
      </c>
      <c r="AC1096" s="4">
        <v>48</v>
      </c>
      <c r="AD1096" s="3" t="s">
        <v>48</v>
      </c>
      <c r="AE1096" s="6">
        <v>45546</v>
      </c>
      <c r="AF1096" s="3" t="s">
        <v>59</v>
      </c>
      <c r="AG1096" s="3" t="s">
        <v>48</v>
      </c>
      <c r="AH1096" s="3">
        <f>YEAR(SrcDB[[#This Row],[Datum_zverejnenia]])</f>
        <v>2023</v>
      </c>
      <c r="AI1096" s="3" cm="1">
        <f t="array" ref="AI1096">COUNT(_xlfn.UNIQUE(_xlfn._xlws.FILTER(SrcDB[ID],SrcDB[Objednavatel_ICO]=$H1096)))</f>
        <v>25</v>
      </c>
      <c r="AJ1096" s="3" cm="1">
        <f t="array" ref="AJ1096">COUNT(_xlfn.UNIQUE(_xlfn._xlws.FILTER(SrcDB[ID],SrcDB[Dodavatel_ICO]=$K1096)))</f>
        <v>5</v>
      </c>
      <c r="AK1096" s="3">
        <f t="shared" si="1214"/>
        <v>0</v>
      </c>
      <c r="AL1096" s="3">
        <f t="shared" si="1215"/>
        <v>0</v>
      </c>
      <c r="AM1096" s="17" t="str">
        <f>IF(SrcDB[[#This Row],[Pocet zmluv objednavatela]]&gt;3,SrcDB[[#This Row],[Objednavatel]],"Ostatné")</f>
        <v>Finančné riaditeľstvo SR</v>
      </c>
      <c r="AN1096" s="17" t="str">
        <f>IF(SrcDB[[#This Row],[Pocet zmluv dodavatela]]&gt;3,SrcDB[[#This Row],[Dodavatel]],"Ostatné")</f>
        <v>Aliter Technologies, a.s.</v>
      </c>
    </row>
    <row r="1097" spans="1:40" x14ac:dyDescent="0.3">
      <c r="A1097" s="2" t="s">
        <v>1309</v>
      </c>
      <c r="B1097" s="2">
        <v>8106849</v>
      </c>
      <c r="C1097" s="3" t="str">
        <f t="shared" si="1208"/>
        <v>Nejasné</v>
      </c>
      <c r="D1097" s="3" t="str">
        <f t="shared" si="1209"/>
        <v>Nejasné</v>
      </c>
      <c r="E1097" s="3" t="s">
        <v>48</v>
      </c>
      <c r="F1097" s="3" t="s">
        <v>49</v>
      </c>
      <c r="G1097" s="2" t="str">
        <f t="shared" si="1210"/>
        <v>Malé zmluvy</v>
      </c>
      <c r="H1097" s="5">
        <v>42499500</v>
      </c>
      <c r="I1097" s="2" t="s">
        <v>464</v>
      </c>
      <c r="J1097" s="2" t="s">
        <v>465</v>
      </c>
      <c r="K1097" s="5">
        <v>36396222</v>
      </c>
      <c r="L1097" s="2" t="s">
        <v>52</v>
      </c>
      <c r="N1097" s="6">
        <v>45125.36513888889</v>
      </c>
      <c r="O1097" s="4">
        <v>376776</v>
      </c>
      <c r="P1097" s="2">
        <v>114725</v>
      </c>
      <c r="Q1097" s="2" t="s">
        <v>1310</v>
      </c>
      <c r="R1097" s="2" t="s">
        <v>1311</v>
      </c>
      <c r="S1097" s="2" t="s">
        <v>56</v>
      </c>
      <c r="T1097" s="2" t="s">
        <v>1305</v>
      </c>
      <c r="U1097" s="2" t="s">
        <v>58</v>
      </c>
      <c r="W1097" s="4">
        <v>700</v>
      </c>
      <c r="X1097" s="4">
        <v>840</v>
      </c>
      <c r="Y1097" s="4">
        <f t="shared" ref="Y1097" si="1220">INDEX(InternalRates,MATCH($S1097,InternalRates01,FALSE),2)</f>
        <v>278.98333333333335</v>
      </c>
      <c r="Z1097" s="3" t="str">
        <f t="shared" si="1173"/>
        <v>Nie</v>
      </c>
      <c r="AA1097" s="3" t="str">
        <f t="shared" si="1174"/>
        <v>SLA</v>
      </c>
      <c r="AB1097" s="4">
        <v>3</v>
      </c>
      <c r="AC1097" s="4">
        <v>24</v>
      </c>
      <c r="AD1097" s="3" t="s">
        <v>48</v>
      </c>
      <c r="AE1097" s="6">
        <v>45546</v>
      </c>
      <c r="AF1097" s="3" t="s">
        <v>59</v>
      </c>
      <c r="AG1097" s="3" t="s">
        <v>48</v>
      </c>
      <c r="AH1097" s="3">
        <f>YEAR(SrcDB[[#This Row],[Datum_zverejnenia]])</f>
        <v>2023</v>
      </c>
      <c r="AI1097" s="3" cm="1">
        <f t="array" ref="AI1097">COUNT(_xlfn.UNIQUE(_xlfn._xlws.FILTER(SrcDB[ID],SrcDB[Objednavatel_ICO]=$H1097)))</f>
        <v>25</v>
      </c>
      <c r="AJ1097" s="3" cm="1">
        <f t="array" ref="AJ1097">COUNT(_xlfn.UNIQUE(_xlfn._xlws.FILTER(SrcDB[ID],SrcDB[Dodavatel_ICO]=$K1097)))</f>
        <v>11</v>
      </c>
      <c r="AK1097" s="3">
        <f t="shared" si="1214"/>
        <v>1</v>
      </c>
      <c r="AL1097" s="3">
        <f t="shared" si="1215"/>
        <v>1</v>
      </c>
      <c r="AM1097" s="17" t="str">
        <f>IF(SrcDB[[#This Row],[Pocet zmluv objednavatela]]&gt;3,SrcDB[[#This Row],[Objednavatel]],"Ostatné")</f>
        <v>Finančné riaditeľstvo SR</v>
      </c>
      <c r="AN1097" s="17" t="str">
        <f>IF(SrcDB[[#This Row],[Pocet zmluv dodavatela]]&gt;3,SrcDB[[#This Row],[Dodavatel]],"Ostatné")</f>
        <v>AUTOCONT s.r.o. / ARICOMA Systems s.r.o.</v>
      </c>
    </row>
    <row r="1098" spans="1:40" x14ac:dyDescent="0.3">
      <c r="A1098" s="2" t="s">
        <v>1309</v>
      </c>
      <c r="B1098" s="2">
        <v>8106849</v>
      </c>
      <c r="C1098" s="3" t="str">
        <f t="shared" si="1208"/>
        <v>Nejasné</v>
      </c>
      <c r="D1098" s="3" t="str">
        <f t="shared" si="1209"/>
        <v>Nejasné</v>
      </c>
      <c r="E1098" s="3" t="s">
        <v>48</v>
      </c>
      <c r="F1098" s="3" t="s">
        <v>49</v>
      </c>
      <c r="G1098" s="2" t="str">
        <f t="shared" si="1210"/>
        <v>Malé zmluvy</v>
      </c>
      <c r="H1098" s="5">
        <v>42499500</v>
      </c>
      <c r="I1098" s="2" t="s">
        <v>464</v>
      </c>
      <c r="J1098" s="2" t="s">
        <v>465</v>
      </c>
      <c r="K1098" s="5">
        <v>36396222</v>
      </c>
      <c r="L1098" s="2" t="s">
        <v>52</v>
      </c>
      <c r="N1098" s="6">
        <v>45125.36513888889</v>
      </c>
      <c r="O1098" s="4">
        <v>376776</v>
      </c>
      <c r="P1098" s="2">
        <v>114725</v>
      </c>
      <c r="Q1098" s="2" t="s">
        <v>1310</v>
      </c>
      <c r="R1098" s="2" t="s">
        <v>1311</v>
      </c>
      <c r="S1098" s="2" t="s">
        <v>56</v>
      </c>
      <c r="T1098" s="2" t="s">
        <v>1301</v>
      </c>
      <c r="U1098" s="2" t="s">
        <v>97</v>
      </c>
      <c r="W1098" s="4">
        <v>730</v>
      </c>
      <c r="X1098" s="4">
        <v>876</v>
      </c>
      <c r="Y1098" s="4">
        <f t="shared" ref="Y1098" si="1221">INDEX(InternalRates,MATCH($S1098,InternalRates01,FALSE),2)</f>
        <v>278.98333333333335</v>
      </c>
      <c r="Z1098" s="3" t="str">
        <f t="shared" si="1173"/>
        <v>Nie</v>
      </c>
      <c r="AA1098" s="3" t="str">
        <f t="shared" si="1174"/>
        <v>SLA</v>
      </c>
      <c r="AB1098" s="4">
        <v>2</v>
      </c>
      <c r="AC1098" s="4">
        <v>16</v>
      </c>
      <c r="AD1098" s="3" t="s">
        <v>48</v>
      </c>
      <c r="AE1098" s="6">
        <v>45546</v>
      </c>
      <c r="AF1098" s="3" t="s">
        <v>59</v>
      </c>
      <c r="AG1098" s="3" t="s">
        <v>48</v>
      </c>
      <c r="AH1098" s="3">
        <f>YEAR(SrcDB[[#This Row],[Datum_zverejnenia]])</f>
        <v>2023</v>
      </c>
      <c r="AI1098" s="3" cm="1">
        <f t="array" ref="AI1098">COUNT(_xlfn.UNIQUE(_xlfn._xlws.FILTER(SrcDB[ID],SrcDB[Objednavatel_ICO]=$H1098)))</f>
        <v>25</v>
      </c>
      <c r="AJ1098" s="3" cm="1">
        <f t="array" ref="AJ1098">COUNT(_xlfn.UNIQUE(_xlfn._xlws.FILTER(SrcDB[ID],SrcDB[Dodavatel_ICO]=$K1098)))</f>
        <v>11</v>
      </c>
      <c r="AK1098" s="3">
        <f t="shared" si="1214"/>
        <v>0</v>
      </c>
      <c r="AL1098" s="3">
        <f t="shared" si="1215"/>
        <v>0</v>
      </c>
      <c r="AM1098" s="17" t="str">
        <f>IF(SrcDB[[#This Row],[Pocet zmluv objednavatela]]&gt;3,SrcDB[[#This Row],[Objednavatel]],"Ostatné")</f>
        <v>Finančné riaditeľstvo SR</v>
      </c>
      <c r="AN1098" s="17" t="str">
        <f>IF(SrcDB[[#This Row],[Pocet zmluv dodavatela]]&gt;3,SrcDB[[#This Row],[Dodavatel]],"Ostatné")</f>
        <v>AUTOCONT s.r.o. / ARICOMA Systems s.r.o.</v>
      </c>
    </row>
    <row r="1099" spans="1:40" x14ac:dyDescent="0.3">
      <c r="A1099" s="2" t="s">
        <v>1312</v>
      </c>
      <c r="B1099" s="2">
        <v>8136923</v>
      </c>
      <c r="C1099" s="3" t="str">
        <f t="shared" si="1208"/>
        <v>Nie</v>
      </c>
      <c r="D1099" s="3" t="str">
        <f t="shared" si="1209"/>
        <v>Áno</v>
      </c>
      <c r="E1099" s="3" t="s">
        <v>48</v>
      </c>
      <c r="F1099" s="3" t="s">
        <v>49</v>
      </c>
      <c r="G1099" s="2" t="str">
        <f t="shared" si="1210"/>
        <v>Stredné zmluvy</v>
      </c>
      <c r="H1099" s="5" t="s">
        <v>632</v>
      </c>
      <c r="I1099" s="2" t="s">
        <v>633</v>
      </c>
      <c r="J1099" s="2" t="s">
        <v>1197</v>
      </c>
      <c r="K1099" s="5">
        <v>35737328</v>
      </c>
      <c r="L1099" s="2" t="s">
        <v>1313</v>
      </c>
      <c r="M1099" s="2" t="s">
        <v>1314</v>
      </c>
      <c r="N1099" s="6">
        <v>45133.613599537035</v>
      </c>
      <c r="O1099" s="4">
        <v>3140923.5</v>
      </c>
      <c r="P1099" s="2">
        <v>114725</v>
      </c>
      <c r="Q1099" s="2" t="s">
        <v>1315</v>
      </c>
      <c r="R1099" s="2" t="s">
        <v>1316</v>
      </c>
      <c r="S1099" s="2" t="s">
        <v>69</v>
      </c>
      <c r="T1099" s="2" t="s">
        <v>70</v>
      </c>
      <c r="W1099" s="4">
        <v>660</v>
      </c>
      <c r="X1099" s="4">
        <v>792</v>
      </c>
      <c r="Y1099" s="4">
        <f t="shared" ref="Y1099" si="1222">INDEX(InternalRates,MATCH($S1099,InternalRates01,FALSE),2)</f>
        <v>278.98333333333335</v>
      </c>
      <c r="Z1099" s="3" t="str">
        <f t="shared" si="1173"/>
        <v>Nie</v>
      </c>
      <c r="AA1099" s="3" t="str">
        <f t="shared" si="1174"/>
        <v>SLA</v>
      </c>
      <c r="AB1099" s="4">
        <v>357.125</v>
      </c>
      <c r="AC1099" s="4">
        <v>178.5625</v>
      </c>
      <c r="AD1099" s="3" t="s">
        <v>48</v>
      </c>
      <c r="AE1099" s="6">
        <v>45546</v>
      </c>
      <c r="AF1099" s="3" t="s">
        <v>59</v>
      </c>
      <c r="AG1099" s="3" t="s">
        <v>49</v>
      </c>
      <c r="AH1099" s="3">
        <f>YEAR(SrcDB[[#This Row],[Datum_zverejnenia]])</f>
        <v>2023</v>
      </c>
      <c r="AI1099" s="3" cm="1">
        <f t="array" ref="AI1099">COUNT(_xlfn.UNIQUE(_xlfn._xlws.FILTER(SrcDB[ID],SrcDB[Objednavatel_ICO]=$H1099)))</f>
        <v>6</v>
      </c>
      <c r="AJ1099" s="3" cm="1">
        <f t="array" ref="AJ1099">COUNT(_xlfn.UNIQUE(_xlfn._xlws.FILTER(SrcDB[ID],SrcDB[Dodavatel_ICO]=$K1099)))</f>
        <v>1</v>
      </c>
      <c r="AK1099" s="3">
        <f t="shared" si="1214"/>
        <v>1</v>
      </c>
      <c r="AL1099" s="3">
        <f t="shared" si="1215"/>
        <v>1</v>
      </c>
      <c r="AM1099" s="17" t="str">
        <f>IF(SrcDB[[#This Row],[Pocet zmluv objednavatela]]&gt;3,SrcDB[[#This Row],[Objednavatel]],"Ostatné")</f>
        <v>Ministerstvo financií SR</v>
      </c>
      <c r="AN1099" s="17" t="str">
        <f>IF(SrcDB[[#This Row],[Pocet zmluv dodavatela]]&gt;3,SrcDB[[#This Row],[Dodavatel]],"Ostatné")</f>
        <v>Ostatné</v>
      </c>
    </row>
    <row r="1100" spans="1:40" x14ac:dyDescent="0.3">
      <c r="A1100" s="2" t="s">
        <v>1312</v>
      </c>
      <c r="B1100" s="2">
        <v>8136923</v>
      </c>
      <c r="C1100" s="3" t="str">
        <f t="shared" si="1208"/>
        <v>Nie</v>
      </c>
      <c r="D1100" s="3" t="str">
        <f t="shared" si="1209"/>
        <v>Áno</v>
      </c>
      <c r="E1100" s="3" t="s">
        <v>48</v>
      </c>
      <c r="F1100" s="3" t="s">
        <v>49</v>
      </c>
      <c r="G1100" s="2" t="str">
        <f t="shared" si="1210"/>
        <v>Stredné zmluvy</v>
      </c>
      <c r="H1100" s="5" t="s">
        <v>632</v>
      </c>
      <c r="I1100" s="2" t="s">
        <v>633</v>
      </c>
      <c r="J1100" s="2" t="s">
        <v>1197</v>
      </c>
      <c r="K1100" s="5">
        <v>35737328</v>
      </c>
      <c r="L1100" s="2" t="s">
        <v>1313</v>
      </c>
      <c r="M1100" s="2" t="s">
        <v>1314</v>
      </c>
      <c r="N1100" s="6">
        <v>45133.613599537035</v>
      </c>
      <c r="O1100" s="4">
        <v>3140923.5</v>
      </c>
      <c r="P1100" s="2">
        <v>114725</v>
      </c>
      <c r="Q1100" s="2" t="s">
        <v>1315</v>
      </c>
      <c r="R1100" s="2" t="s">
        <v>1316</v>
      </c>
      <c r="S1100" s="2" t="s">
        <v>56</v>
      </c>
      <c r="T1100" s="2" t="s">
        <v>1317</v>
      </c>
      <c r="U1100" s="2" t="s">
        <v>129</v>
      </c>
      <c r="W1100" s="4">
        <v>750</v>
      </c>
      <c r="X1100" s="4">
        <v>900</v>
      </c>
      <c r="Y1100" s="4">
        <f t="shared" ref="Y1100" si="1223">INDEX(InternalRates,MATCH($S1100,InternalRates01,FALSE),2)</f>
        <v>278.98333333333335</v>
      </c>
      <c r="Z1100" s="3" t="str">
        <f t="shared" si="1173"/>
        <v>Nie</v>
      </c>
      <c r="AA1100" s="3" t="str">
        <f t="shared" si="1174"/>
        <v>SLA</v>
      </c>
      <c r="AB1100" s="4">
        <v>2142.75</v>
      </c>
      <c r="AC1100" s="4">
        <v>1071.375</v>
      </c>
      <c r="AD1100" s="3" t="s">
        <v>48</v>
      </c>
      <c r="AE1100" s="6">
        <v>45546</v>
      </c>
      <c r="AF1100" s="3" t="s">
        <v>638</v>
      </c>
      <c r="AG1100" s="3" t="s">
        <v>49</v>
      </c>
      <c r="AH1100" s="3">
        <f>YEAR(SrcDB[[#This Row],[Datum_zverejnenia]])</f>
        <v>2023</v>
      </c>
      <c r="AI1100" s="3" cm="1">
        <f t="array" ref="AI1100">COUNT(_xlfn.UNIQUE(_xlfn._xlws.FILTER(SrcDB[ID],SrcDB[Objednavatel_ICO]=$H1100)))</f>
        <v>6</v>
      </c>
      <c r="AJ1100" s="3" cm="1">
        <f t="array" ref="AJ1100">COUNT(_xlfn.UNIQUE(_xlfn._xlws.FILTER(SrcDB[ID],SrcDB[Dodavatel_ICO]=$K1100)))</f>
        <v>1</v>
      </c>
      <c r="AK1100" s="3">
        <f t="shared" si="1214"/>
        <v>0</v>
      </c>
      <c r="AL1100" s="3">
        <f t="shared" si="1215"/>
        <v>0</v>
      </c>
      <c r="AM1100" s="17" t="str">
        <f>IF(SrcDB[[#This Row],[Pocet zmluv objednavatela]]&gt;3,SrcDB[[#This Row],[Objednavatel]],"Ostatné")</f>
        <v>Ministerstvo financií SR</v>
      </c>
      <c r="AN1100" s="17" t="str">
        <f>IF(SrcDB[[#This Row],[Pocet zmluv dodavatela]]&gt;3,SrcDB[[#This Row],[Dodavatel]],"Ostatné")</f>
        <v>Ostatné</v>
      </c>
    </row>
    <row r="1101" spans="1:40" x14ac:dyDescent="0.3">
      <c r="A1101" s="2" t="s">
        <v>1312</v>
      </c>
      <c r="B1101" s="2">
        <v>8136923</v>
      </c>
      <c r="C1101" s="3" t="str">
        <f t="shared" si="1208"/>
        <v>Nie</v>
      </c>
      <c r="D1101" s="3" t="str">
        <f t="shared" si="1209"/>
        <v>Áno</v>
      </c>
      <c r="E1101" s="3" t="s">
        <v>48</v>
      </c>
      <c r="F1101" s="3" t="s">
        <v>49</v>
      </c>
      <c r="G1101" s="2" t="str">
        <f t="shared" si="1210"/>
        <v>Stredné zmluvy</v>
      </c>
      <c r="H1101" s="5" t="s">
        <v>632</v>
      </c>
      <c r="I1101" s="2" t="s">
        <v>633</v>
      </c>
      <c r="J1101" s="2" t="s">
        <v>1197</v>
      </c>
      <c r="K1101" s="5">
        <v>35737328</v>
      </c>
      <c r="L1101" s="2" t="s">
        <v>1313</v>
      </c>
      <c r="M1101" s="2" t="s">
        <v>1314</v>
      </c>
      <c r="N1101" s="6">
        <v>45133.613599537035</v>
      </c>
      <c r="O1101" s="4">
        <v>3140923.5</v>
      </c>
      <c r="P1101" s="2">
        <v>114725</v>
      </c>
      <c r="Q1101" s="2" t="s">
        <v>1315</v>
      </c>
      <c r="R1101" s="2" t="s">
        <v>1316</v>
      </c>
      <c r="S1101" s="2" t="s">
        <v>56</v>
      </c>
      <c r="T1101" s="2" t="s">
        <v>1318</v>
      </c>
      <c r="U1101" s="2" t="s">
        <v>129</v>
      </c>
      <c r="W1101" s="4">
        <v>590</v>
      </c>
      <c r="X1101" s="4">
        <v>708</v>
      </c>
      <c r="Y1101" s="4">
        <f t="shared" ref="Y1101" si="1224">INDEX(InternalRates,MATCH($S1101,InternalRates01,FALSE),2)</f>
        <v>278.98333333333335</v>
      </c>
      <c r="Z1101" s="3" t="str">
        <f t="shared" si="1173"/>
        <v>Nie</v>
      </c>
      <c r="AA1101" s="3" t="str">
        <f t="shared" si="1174"/>
        <v>SLA</v>
      </c>
      <c r="AB1101" s="4">
        <v>1071.375</v>
      </c>
      <c r="AC1101" s="4">
        <v>535.6875</v>
      </c>
      <c r="AD1101" s="3" t="s">
        <v>48</v>
      </c>
      <c r="AE1101" s="6">
        <v>45546</v>
      </c>
      <c r="AF1101" s="3" t="s">
        <v>639</v>
      </c>
      <c r="AG1101" s="3" t="s">
        <v>49</v>
      </c>
      <c r="AH1101" s="3">
        <f>YEAR(SrcDB[[#This Row],[Datum_zverejnenia]])</f>
        <v>2023</v>
      </c>
      <c r="AI1101" s="3" cm="1">
        <f t="array" ref="AI1101">COUNT(_xlfn.UNIQUE(_xlfn._xlws.FILTER(SrcDB[ID],SrcDB[Objednavatel_ICO]=$H1101)))</f>
        <v>6</v>
      </c>
      <c r="AJ1101" s="3" cm="1">
        <f t="array" ref="AJ1101">COUNT(_xlfn.UNIQUE(_xlfn._xlws.FILTER(SrcDB[ID],SrcDB[Dodavatel_ICO]=$K1101)))</f>
        <v>1</v>
      </c>
      <c r="AK1101" s="3">
        <f t="shared" si="1214"/>
        <v>0</v>
      </c>
      <c r="AL1101" s="3">
        <f t="shared" si="1215"/>
        <v>0</v>
      </c>
      <c r="AM1101" s="17" t="str">
        <f>IF(SrcDB[[#This Row],[Pocet zmluv objednavatela]]&gt;3,SrcDB[[#This Row],[Objednavatel]],"Ostatné")</f>
        <v>Ministerstvo financií SR</v>
      </c>
      <c r="AN1101" s="17" t="str">
        <f>IF(SrcDB[[#This Row],[Pocet zmluv dodavatela]]&gt;3,SrcDB[[#This Row],[Dodavatel]],"Ostatné")</f>
        <v>Ostatné</v>
      </c>
    </row>
    <row r="1102" spans="1:40" x14ac:dyDescent="0.3">
      <c r="A1102" s="2" t="s">
        <v>761</v>
      </c>
      <c r="B1102" s="2">
        <v>8137284</v>
      </c>
      <c r="C1102" s="3" t="str">
        <f t="shared" si="1208"/>
        <v>Nejasné</v>
      </c>
      <c r="D1102" s="3" t="str">
        <f t="shared" si="1209"/>
        <v>Nejasné</v>
      </c>
      <c r="E1102" s="3" t="s">
        <v>48</v>
      </c>
      <c r="F1102" s="3" t="s">
        <v>49</v>
      </c>
      <c r="G1102" s="2" t="str">
        <f t="shared" si="1210"/>
        <v>Malé zmluvy</v>
      </c>
      <c r="H1102" s="5">
        <v>31753604</v>
      </c>
      <c r="I1102" s="2" t="s">
        <v>1319</v>
      </c>
      <c r="J1102" s="2" t="s">
        <v>1320</v>
      </c>
      <c r="K1102" s="5">
        <v>36224278</v>
      </c>
      <c r="L1102" s="2" t="s">
        <v>1022</v>
      </c>
      <c r="M1102" s="2" t="s">
        <v>1023</v>
      </c>
      <c r="N1102" s="6">
        <v>45133.645277777781</v>
      </c>
      <c r="O1102" s="4">
        <v>575100.48</v>
      </c>
      <c r="P1102" s="2">
        <v>114535</v>
      </c>
      <c r="Q1102" s="2" t="s">
        <v>1321</v>
      </c>
      <c r="R1102" s="2" t="s">
        <v>1322</v>
      </c>
      <c r="S1102" s="2" t="s">
        <v>71</v>
      </c>
      <c r="T1102" s="2" t="s">
        <v>196</v>
      </c>
      <c r="W1102" s="4">
        <v>457.3</v>
      </c>
      <c r="X1102" s="4">
        <v>548.76</v>
      </c>
      <c r="Y1102" s="4">
        <f t="shared" ref="Y1102" si="1225">INDEX(InternalRates,MATCH($S1102,InternalRates01,FALSE),2)</f>
        <v>354.0333333333333</v>
      </c>
      <c r="Z1102" s="3" t="str">
        <f t="shared" si="1173"/>
        <v>Nie</v>
      </c>
      <c r="AA1102" s="3" t="str">
        <f t="shared" si="1174"/>
        <v>SLA</v>
      </c>
      <c r="AB1102" s="4">
        <v>71</v>
      </c>
      <c r="AC1102" s="4">
        <v>35.5</v>
      </c>
      <c r="AD1102" s="3" t="s">
        <v>49</v>
      </c>
      <c r="AE1102" s="6">
        <v>45546</v>
      </c>
      <c r="AF1102" s="3" t="s">
        <v>59</v>
      </c>
      <c r="AG1102" s="3" t="s">
        <v>48</v>
      </c>
      <c r="AH1102" s="3">
        <f>YEAR(SrcDB[[#This Row],[Datum_zverejnenia]])</f>
        <v>2023</v>
      </c>
      <c r="AI1102" s="3" cm="1">
        <f t="array" ref="AI1102">COUNT(_xlfn.UNIQUE(_xlfn._xlws.FILTER(SrcDB[ID],SrcDB[Objednavatel_ICO]=$H1102)))</f>
        <v>1</v>
      </c>
      <c r="AJ1102" s="3" cm="1">
        <f t="array" ref="AJ1102">COUNT(_xlfn.UNIQUE(_xlfn._xlws.FILTER(SrcDB[ID],SrcDB[Dodavatel_ICO]=$K1102)))</f>
        <v>2</v>
      </c>
      <c r="AK1102" s="3">
        <f t="shared" si="1214"/>
        <v>1</v>
      </c>
      <c r="AL1102" s="3">
        <f t="shared" si="1215"/>
        <v>1</v>
      </c>
      <c r="AM1102" s="17" t="str">
        <f>IF(SrcDB[[#This Row],[Pocet zmluv objednavatela]]&gt;3,SrcDB[[#This Row],[Objednavatel]],"Ostatné")</f>
        <v>Ostatné</v>
      </c>
      <c r="AN1102" s="17" t="str">
        <f>IF(SrcDB[[#This Row],[Pocet zmluv dodavatela]]&gt;3,SrcDB[[#This Row],[Dodavatel]],"Ostatné")</f>
        <v>Ostatné</v>
      </c>
    </row>
    <row r="1103" spans="1:40" x14ac:dyDescent="0.3">
      <c r="A1103" s="2" t="s">
        <v>761</v>
      </c>
      <c r="B1103" s="2">
        <v>8137284</v>
      </c>
      <c r="C1103" s="3" t="str">
        <f t="shared" si="1208"/>
        <v>Nejasné</v>
      </c>
      <c r="D1103" s="3" t="str">
        <f t="shared" si="1209"/>
        <v>Nejasné</v>
      </c>
      <c r="E1103" s="3" t="s">
        <v>48</v>
      </c>
      <c r="F1103" s="3" t="s">
        <v>49</v>
      </c>
      <c r="G1103" s="2" t="str">
        <f t="shared" si="1210"/>
        <v>Malé zmluvy</v>
      </c>
      <c r="H1103" s="5">
        <v>31753604</v>
      </c>
      <c r="I1103" s="2" t="s">
        <v>1319</v>
      </c>
      <c r="J1103" s="2" t="s">
        <v>1320</v>
      </c>
      <c r="K1103" s="5">
        <v>36224278</v>
      </c>
      <c r="L1103" s="2" t="s">
        <v>1022</v>
      </c>
      <c r="M1103" s="2" t="s">
        <v>1023</v>
      </c>
      <c r="N1103" s="6">
        <v>45133.645277777781</v>
      </c>
      <c r="O1103" s="4">
        <v>575100.48</v>
      </c>
      <c r="P1103" s="2">
        <v>114535</v>
      </c>
      <c r="Q1103" s="2" t="s">
        <v>1321</v>
      </c>
      <c r="R1103" s="2" t="s">
        <v>1322</v>
      </c>
      <c r="S1103" s="2" t="s">
        <v>69</v>
      </c>
      <c r="T1103" s="2" t="s">
        <v>285</v>
      </c>
      <c r="W1103" s="4">
        <v>457.3</v>
      </c>
      <c r="X1103" s="4">
        <v>548.76</v>
      </c>
      <c r="Y1103" s="4">
        <f t="shared" ref="Y1103" si="1226">INDEX(InternalRates,MATCH($S1103,InternalRates01,FALSE),2)</f>
        <v>278.98333333333335</v>
      </c>
      <c r="Z1103" s="3" t="str">
        <f t="shared" si="1173"/>
        <v>Nie</v>
      </c>
      <c r="AA1103" s="3" t="str">
        <f t="shared" si="1174"/>
        <v>SLA</v>
      </c>
      <c r="AB1103" s="4">
        <v>38</v>
      </c>
      <c r="AC1103" s="4">
        <v>19</v>
      </c>
      <c r="AD1103" s="3" t="s">
        <v>49</v>
      </c>
      <c r="AE1103" s="6">
        <v>45546</v>
      </c>
      <c r="AF1103" s="3" t="s">
        <v>59</v>
      </c>
      <c r="AG1103" s="3" t="s">
        <v>48</v>
      </c>
      <c r="AH1103" s="3">
        <f>YEAR(SrcDB[[#This Row],[Datum_zverejnenia]])</f>
        <v>2023</v>
      </c>
      <c r="AI1103" s="3" cm="1">
        <f t="array" ref="AI1103">COUNT(_xlfn.UNIQUE(_xlfn._xlws.FILTER(SrcDB[ID],SrcDB[Objednavatel_ICO]=$H1103)))</f>
        <v>1</v>
      </c>
      <c r="AJ1103" s="3" cm="1">
        <f t="array" ref="AJ1103">COUNT(_xlfn.UNIQUE(_xlfn._xlws.FILTER(SrcDB[ID],SrcDB[Dodavatel_ICO]=$K1103)))</f>
        <v>2</v>
      </c>
      <c r="AK1103" s="3">
        <f t="shared" si="1214"/>
        <v>0</v>
      </c>
      <c r="AL1103" s="3">
        <f t="shared" si="1215"/>
        <v>0</v>
      </c>
      <c r="AM1103" s="17" t="str">
        <f>IF(SrcDB[[#This Row],[Pocet zmluv objednavatela]]&gt;3,SrcDB[[#This Row],[Objednavatel]],"Ostatné")</f>
        <v>Ostatné</v>
      </c>
      <c r="AN1103" s="17" t="str">
        <f>IF(SrcDB[[#This Row],[Pocet zmluv dodavatela]]&gt;3,SrcDB[[#This Row],[Dodavatel]],"Ostatné")</f>
        <v>Ostatné</v>
      </c>
    </row>
    <row r="1104" spans="1:40" x14ac:dyDescent="0.3">
      <c r="A1104" s="2" t="s">
        <v>761</v>
      </c>
      <c r="B1104" s="2">
        <v>8137284</v>
      </c>
      <c r="C1104" s="3" t="str">
        <f t="shared" si="1208"/>
        <v>Nejasné</v>
      </c>
      <c r="D1104" s="3" t="str">
        <f t="shared" si="1209"/>
        <v>Nejasné</v>
      </c>
      <c r="E1104" s="3" t="s">
        <v>48</v>
      </c>
      <c r="F1104" s="3" t="s">
        <v>49</v>
      </c>
      <c r="G1104" s="2" t="str">
        <f t="shared" si="1210"/>
        <v>Malé zmluvy</v>
      </c>
      <c r="H1104" s="5">
        <v>31753604</v>
      </c>
      <c r="I1104" s="2" t="s">
        <v>1319</v>
      </c>
      <c r="J1104" s="2" t="s">
        <v>1320</v>
      </c>
      <c r="K1104" s="5">
        <v>36224278</v>
      </c>
      <c r="L1104" s="2" t="s">
        <v>1022</v>
      </c>
      <c r="M1104" s="2" t="s">
        <v>1023</v>
      </c>
      <c r="N1104" s="6">
        <v>45133.645277777781</v>
      </c>
      <c r="O1104" s="4">
        <v>575100.48</v>
      </c>
      <c r="P1104" s="2">
        <v>114535</v>
      </c>
      <c r="Q1104" s="2" t="s">
        <v>1321</v>
      </c>
      <c r="R1104" s="2" t="s">
        <v>1322</v>
      </c>
      <c r="S1104" s="2" t="s">
        <v>73</v>
      </c>
      <c r="T1104" s="2" t="s">
        <v>90</v>
      </c>
      <c r="W1104" s="4">
        <v>457.3</v>
      </c>
      <c r="X1104" s="4">
        <v>548.76</v>
      </c>
      <c r="Y1104" s="4">
        <f t="shared" ref="Y1104" si="1227">INDEX(InternalRates,MATCH($S1104,InternalRates01,FALSE),2)</f>
        <v>278.98333333333335</v>
      </c>
      <c r="Z1104" s="3" t="str">
        <f t="shared" si="1173"/>
        <v>Nie</v>
      </c>
      <c r="AA1104" s="3" t="str">
        <f t="shared" si="1174"/>
        <v>SLA</v>
      </c>
      <c r="AB1104" s="4">
        <v>227</v>
      </c>
      <c r="AC1104" s="4">
        <v>113.5</v>
      </c>
      <c r="AD1104" s="3" t="s">
        <v>49</v>
      </c>
      <c r="AE1104" s="6">
        <v>45546</v>
      </c>
      <c r="AF1104" s="3" t="s">
        <v>59</v>
      </c>
      <c r="AG1104" s="3" t="s">
        <v>48</v>
      </c>
      <c r="AH1104" s="3">
        <f>YEAR(SrcDB[[#This Row],[Datum_zverejnenia]])</f>
        <v>2023</v>
      </c>
      <c r="AI1104" s="3" cm="1">
        <f t="array" ref="AI1104">COUNT(_xlfn.UNIQUE(_xlfn._xlws.FILTER(SrcDB[ID],SrcDB[Objednavatel_ICO]=$H1104)))</f>
        <v>1</v>
      </c>
      <c r="AJ1104" s="3" cm="1">
        <f t="array" ref="AJ1104">COUNT(_xlfn.UNIQUE(_xlfn._xlws.FILTER(SrcDB[ID],SrcDB[Dodavatel_ICO]=$K1104)))</f>
        <v>2</v>
      </c>
      <c r="AK1104" s="3">
        <f t="shared" si="1214"/>
        <v>0</v>
      </c>
      <c r="AL1104" s="3">
        <f t="shared" si="1215"/>
        <v>0</v>
      </c>
      <c r="AM1104" s="17" t="str">
        <f>IF(SrcDB[[#This Row],[Pocet zmluv objednavatela]]&gt;3,SrcDB[[#This Row],[Objednavatel]],"Ostatné")</f>
        <v>Ostatné</v>
      </c>
      <c r="AN1104" s="17" t="str">
        <f>IF(SrcDB[[#This Row],[Pocet zmluv dodavatela]]&gt;3,SrcDB[[#This Row],[Dodavatel]],"Ostatné")</f>
        <v>Ostatné</v>
      </c>
    </row>
    <row r="1105" spans="1:40" x14ac:dyDescent="0.3">
      <c r="A1105" s="2" t="s">
        <v>761</v>
      </c>
      <c r="B1105" s="2">
        <v>8137284</v>
      </c>
      <c r="C1105" s="3" t="str">
        <f t="shared" si="1208"/>
        <v>Nejasné</v>
      </c>
      <c r="D1105" s="3" t="str">
        <f t="shared" si="1209"/>
        <v>Nejasné</v>
      </c>
      <c r="E1105" s="3" t="s">
        <v>48</v>
      </c>
      <c r="F1105" s="3" t="s">
        <v>49</v>
      </c>
      <c r="G1105" s="2" t="str">
        <f t="shared" si="1210"/>
        <v>Malé zmluvy</v>
      </c>
      <c r="H1105" s="5">
        <v>31753604</v>
      </c>
      <c r="I1105" s="2" t="s">
        <v>1319</v>
      </c>
      <c r="J1105" s="2" t="s">
        <v>1320</v>
      </c>
      <c r="K1105" s="5">
        <v>36224278</v>
      </c>
      <c r="L1105" s="2" t="s">
        <v>1022</v>
      </c>
      <c r="M1105" s="2" t="s">
        <v>1023</v>
      </c>
      <c r="N1105" s="6">
        <v>45133.645277777781</v>
      </c>
      <c r="O1105" s="4">
        <v>575100.48</v>
      </c>
      <c r="P1105" s="2">
        <v>114535</v>
      </c>
      <c r="Q1105" s="2" t="s">
        <v>1321</v>
      </c>
      <c r="R1105" s="2" t="s">
        <v>1322</v>
      </c>
      <c r="S1105" s="2" t="s">
        <v>56</v>
      </c>
      <c r="T1105" s="2" t="s">
        <v>591</v>
      </c>
      <c r="U1105" s="2" t="s">
        <v>449</v>
      </c>
      <c r="W1105" s="4">
        <v>457.3</v>
      </c>
      <c r="X1105" s="4">
        <v>548.76</v>
      </c>
      <c r="Y1105" s="4">
        <f t="shared" ref="Y1105" si="1228">INDEX(InternalRates,MATCH($S1105,InternalRates01,FALSE),2)</f>
        <v>278.98333333333335</v>
      </c>
      <c r="Z1105" s="3" t="str">
        <f t="shared" si="1173"/>
        <v>Nie</v>
      </c>
      <c r="AA1105" s="3" t="str">
        <f t="shared" si="1174"/>
        <v>SLA</v>
      </c>
      <c r="AB1105" s="4">
        <v>39</v>
      </c>
      <c r="AC1105" s="4">
        <v>19.5</v>
      </c>
      <c r="AD1105" s="3" t="s">
        <v>49</v>
      </c>
      <c r="AE1105" s="6">
        <v>45546</v>
      </c>
      <c r="AF1105" s="3" t="s">
        <v>59</v>
      </c>
      <c r="AG1105" s="3" t="s">
        <v>48</v>
      </c>
      <c r="AH1105" s="3">
        <f>YEAR(SrcDB[[#This Row],[Datum_zverejnenia]])</f>
        <v>2023</v>
      </c>
      <c r="AI1105" s="3" cm="1">
        <f t="array" ref="AI1105">COUNT(_xlfn.UNIQUE(_xlfn._xlws.FILTER(SrcDB[ID],SrcDB[Objednavatel_ICO]=$H1105)))</f>
        <v>1</v>
      </c>
      <c r="AJ1105" s="3" cm="1">
        <f t="array" ref="AJ1105">COUNT(_xlfn.UNIQUE(_xlfn._xlws.FILTER(SrcDB[ID],SrcDB[Dodavatel_ICO]=$K1105)))</f>
        <v>2</v>
      </c>
      <c r="AK1105" s="3">
        <f t="shared" si="1214"/>
        <v>0</v>
      </c>
      <c r="AL1105" s="3">
        <f t="shared" si="1215"/>
        <v>0</v>
      </c>
      <c r="AM1105" s="17" t="str">
        <f>IF(SrcDB[[#This Row],[Pocet zmluv objednavatela]]&gt;3,SrcDB[[#This Row],[Objednavatel]],"Ostatné")</f>
        <v>Ostatné</v>
      </c>
      <c r="AN1105" s="17" t="str">
        <f>IF(SrcDB[[#This Row],[Pocet zmluv dodavatela]]&gt;3,SrcDB[[#This Row],[Dodavatel]],"Ostatné")</f>
        <v>Ostatné</v>
      </c>
    </row>
    <row r="1106" spans="1:40" x14ac:dyDescent="0.3">
      <c r="A1106" s="2" t="s">
        <v>761</v>
      </c>
      <c r="B1106" s="2">
        <v>8137284</v>
      </c>
      <c r="C1106" s="3" t="str">
        <f t="shared" si="1208"/>
        <v>Nejasné</v>
      </c>
      <c r="D1106" s="3" t="str">
        <f t="shared" si="1209"/>
        <v>Nejasné</v>
      </c>
      <c r="E1106" s="3" t="s">
        <v>48</v>
      </c>
      <c r="F1106" s="3" t="s">
        <v>49</v>
      </c>
      <c r="G1106" s="2" t="str">
        <f t="shared" si="1210"/>
        <v>Malé zmluvy</v>
      </c>
      <c r="H1106" s="5">
        <v>31753604</v>
      </c>
      <c r="I1106" s="2" t="s">
        <v>1319</v>
      </c>
      <c r="J1106" s="2" t="s">
        <v>1320</v>
      </c>
      <c r="K1106" s="5">
        <v>36224278</v>
      </c>
      <c r="L1106" s="2" t="s">
        <v>1022</v>
      </c>
      <c r="M1106" s="2" t="s">
        <v>1023</v>
      </c>
      <c r="N1106" s="6">
        <v>45133.645277777781</v>
      </c>
      <c r="O1106" s="4">
        <v>575100.48</v>
      </c>
      <c r="P1106" s="2">
        <v>114535</v>
      </c>
      <c r="Q1106" s="2" t="s">
        <v>1321</v>
      </c>
      <c r="R1106" s="2" t="s">
        <v>1322</v>
      </c>
      <c r="S1106" s="2" t="s">
        <v>56</v>
      </c>
      <c r="T1106" s="2" t="s">
        <v>94</v>
      </c>
      <c r="U1106" s="2" t="s">
        <v>95</v>
      </c>
      <c r="W1106" s="4">
        <v>457.3</v>
      </c>
      <c r="X1106" s="4">
        <v>548.76</v>
      </c>
      <c r="Y1106" s="4">
        <f t="shared" ref="Y1106" si="1229">INDEX(InternalRates,MATCH($S1106,InternalRates01,FALSE),2)</f>
        <v>278.98333333333335</v>
      </c>
      <c r="Z1106" s="3" t="str">
        <f t="shared" si="1173"/>
        <v>Nie</v>
      </c>
      <c r="AA1106" s="3" t="str">
        <f t="shared" si="1174"/>
        <v>SLA</v>
      </c>
      <c r="AB1106" s="4">
        <v>47</v>
      </c>
      <c r="AC1106" s="4">
        <v>23.5</v>
      </c>
      <c r="AD1106" s="3" t="s">
        <v>49</v>
      </c>
      <c r="AE1106" s="6">
        <v>45546</v>
      </c>
      <c r="AF1106" s="3" t="s">
        <v>59</v>
      </c>
      <c r="AG1106" s="3" t="s">
        <v>48</v>
      </c>
      <c r="AH1106" s="3">
        <f>YEAR(SrcDB[[#This Row],[Datum_zverejnenia]])</f>
        <v>2023</v>
      </c>
      <c r="AI1106" s="3" cm="1">
        <f t="array" ref="AI1106">COUNT(_xlfn.UNIQUE(_xlfn._xlws.FILTER(SrcDB[ID],SrcDB[Objednavatel_ICO]=$H1106)))</f>
        <v>1</v>
      </c>
      <c r="AJ1106" s="3" cm="1">
        <f t="array" ref="AJ1106">COUNT(_xlfn.UNIQUE(_xlfn._xlws.FILTER(SrcDB[ID],SrcDB[Dodavatel_ICO]=$K1106)))</f>
        <v>2</v>
      </c>
      <c r="AK1106" s="3">
        <f t="shared" si="1214"/>
        <v>0</v>
      </c>
      <c r="AL1106" s="3">
        <f t="shared" si="1215"/>
        <v>0</v>
      </c>
      <c r="AM1106" s="17" t="str">
        <f>IF(SrcDB[[#This Row],[Pocet zmluv objednavatela]]&gt;3,SrcDB[[#This Row],[Objednavatel]],"Ostatné")</f>
        <v>Ostatné</v>
      </c>
      <c r="AN1106" s="17" t="str">
        <f>IF(SrcDB[[#This Row],[Pocet zmluv dodavatela]]&gt;3,SrcDB[[#This Row],[Dodavatel]],"Ostatné")</f>
        <v>Ostatné</v>
      </c>
    </row>
    <row r="1107" spans="1:40" x14ac:dyDescent="0.3">
      <c r="A1107" s="2" t="s">
        <v>761</v>
      </c>
      <c r="B1107" s="2">
        <v>8137284</v>
      </c>
      <c r="C1107" s="3" t="str">
        <f t="shared" si="1208"/>
        <v>Nejasné</v>
      </c>
      <c r="D1107" s="3" t="str">
        <f t="shared" si="1209"/>
        <v>Nejasné</v>
      </c>
      <c r="E1107" s="3" t="s">
        <v>48</v>
      </c>
      <c r="F1107" s="3" t="s">
        <v>49</v>
      </c>
      <c r="G1107" s="2" t="str">
        <f t="shared" si="1210"/>
        <v>Malé zmluvy</v>
      </c>
      <c r="H1107" s="5">
        <v>31753604</v>
      </c>
      <c r="I1107" s="2" t="s">
        <v>1319</v>
      </c>
      <c r="J1107" s="2" t="s">
        <v>1320</v>
      </c>
      <c r="K1107" s="5">
        <v>36224278</v>
      </c>
      <c r="L1107" s="2" t="s">
        <v>1022</v>
      </c>
      <c r="M1107" s="2" t="s">
        <v>1023</v>
      </c>
      <c r="N1107" s="6">
        <v>45133.645277777781</v>
      </c>
      <c r="O1107" s="4">
        <v>575100.48</v>
      </c>
      <c r="P1107" s="2">
        <v>114535</v>
      </c>
      <c r="Q1107" s="2" t="s">
        <v>1321</v>
      </c>
      <c r="R1107" s="2" t="s">
        <v>1322</v>
      </c>
      <c r="S1107" s="2" t="s">
        <v>56</v>
      </c>
      <c r="T1107" s="2" t="s">
        <v>1301</v>
      </c>
      <c r="U1107" s="2" t="s">
        <v>97</v>
      </c>
      <c r="W1107" s="4">
        <v>457.3</v>
      </c>
      <c r="X1107" s="4">
        <v>548.76</v>
      </c>
      <c r="Y1107" s="4">
        <f t="shared" ref="Y1107" si="1230">INDEX(InternalRates,MATCH($S1107,InternalRates01,FALSE),2)</f>
        <v>278.98333333333335</v>
      </c>
      <c r="Z1107" s="3" t="str">
        <f t="shared" si="1173"/>
        <v>Nie</v>
      </c>
      <c r="AA1107" s="3" t="str">
        <f t="shared" si="1174"/>
        <v>SLA</v>
      </c>
      <c r="AB1107" s="4">
        <v>212</v>
      </c>
      <c r="AC1107" s="4">
        <v>106</v>
      </c>
      <c r="AD1107" s="3" t="s">
        <v>49</v>
      </c>
      <c r="AE1107" s="6">
        <v>45546</v>
      </c>
      <c r="AF1107" s="3" t="s">
        <v>59</v>
      </c>
      <c r="AG1107" s="3" t="s">
        <v>48</v>
      </c>
      <c r="AH1107" s="3">
        <f>YEAR(SrcDB[[#This Row],[Datum_zverejnenia]])</f>
        <v>2023</v>
      </c>
      <c r="AI1107" s="3" cm="1">
        <f t="array" ref="AI1107">COUNT(_xlfn.UNIQUE(_xlfn._xlws.FILTER(SrcDB[ID],SrcDB[Objednavatel_ICO]=$H1107)))</f>
        <v>1</v>
      </c>
      <c r="AJ1107" s="3" cm="1">
        <f t="array" ref="AJ1107">COUNT(_xlfn.UNIQUE(_xlfn._xlws.FILTER(SrcDB[ID],SrcDB[Dodavatel_ICO]=$K1107)))</f>
        <v>2</v>
      </c>
      <c r="AK1107" s="3">
        <f t="shared" si="1214"/>
        <v>0</v>
      </c>
      <c r="AL1107" s="3">
        <f t="shared" si="1215"/>
        <v>0</v>
      </c>
      <c r="AM1107" s="17" t="str">
        <f>IF(SrcDB[[#This Row],[Pocet zmluv objednavatela]]&gt;3,SrcDB[[#This Row],[Objednavatel]],"Ostatné")</f>
        <v>Ostatné</v>
      </c>
      <c r="AN1107" s="17" t="str">
        <f>IF(SrcDB[[#This Row],[Pocet zmluv dodavatela]]&gt;3,SrcDB[[#This Row],[Dodavatel]],"Ostatné")</f>
        <v>Ostatné</v>
      </c>
    </row>
    <row r="1108" spans="1:40" x14ac:dyDescent="0.3">
      <c r="A1108" s="2" t="s">
        <v>761</v>
      </c>
      <c r="B1108" s="2">
        <v>8137284</v>
      </c>
      <c r="C1108" s="3" t="str">
        <f t="shared" si="1208"/>
        <v>Nejasné</v>
      </c>
      <c r="D1108" s="3" t="str">
        <f t="shared" si="1209"/>
        <v>Nejasné</v>
      </c>
      <c r="E1108" s="3" t="s">
        <v>48</v>
      </c>
      <c r="F1108" s="3" t="s">
        <v>49</v>
      </c>
      <c r="G1108" s="2" t="str">
        <f t="shared" si="1210"/>
        <v>Malé zmluvy</v>
      </c>
      <c r="H1108" s="5">
        <v>31753604</v>
      </c>
      <c r="I1108" s="2" t="s">
        <v>1319</v>
      </c>
      <c r="J1108" s="2" t="s">
        <v>1320</v>
      </c>
      <c r="K1108" s="5">
        <v>36224278</v>
      </c>
      <c r="L1108" s="2" t="s">
        <v>1022</v>
      </c>
      <c r="M1108" s="2" t="s">
        <v>1023</v>
      </c>
      <c r="N1108" s="6">
        <v>45133.645277777781</v>
      </c>
      <c r="O1108" s="4">
        <v>575100.48</v>
      </c>
      <c r="P1108" s="2">
        <v>114535</v>
      </c>
      <c r="Q1108" s="2" t="s">
        <v>1321</v>
      </c>
      <c r="R1108" s="2" t="s">
        <v>1322</v>
      </c>
      <c r="S1108" s="2" t="s">
        <v>56</v>
      </c>
      <c r="T1108" s="2" t="s">
        <v>288</v>
      </c>
      <c r="U1108" s="2" t="s">
        <v>289</v>
      </c>
      <c r="W1108" s="4">
        <v>457.3</v>
      </c>
      <c r="X1108" s="4">
        <v>548.76</v>
      </c>
      <c r="Y1108" s="4">
        <f t="shared" ref="Y1108" si="1231">INDEX(InternalRates,MATCH($S1108,InternalRates01,FALSE),2)</f>
        <v>278.98333333333335</v>
      </c>
      <c r="Z1108" s="3" t="str">
        <f t="shared" si="1173"/>
        <v>Nie</v>
      </c>
      <c r="AA1108" s="3" t="str">
        <f t="shared" si="1174"/>
        <v>SLA</v>
      </c>
      <c r="AB1108" s="4">
        <v>131</v>
      </c>
      <c r="AC1108" s="4">
        <v>65.5</v>
      </c>
      <c r="AD1108" s="3" t="s">
        <v>49</v>
      </c>
      <c r="AE1108" s="6">
        <v>45546</v>
      </c>
      <c r="AF1108" s="3" t="s">
        <v>59</v>
      </c>
      <c r="AG1108" s="3" t="s">
        <v>48</v>
      </c>
      <c r="AH1108" s="3">
        <f>YEAR(SrcDB[[#This Row],[Datum_zverejnenia]])</f>
        <v>2023</v>
      </c>
      <c r="AI1108" s="3" cm="1">
        <f t="array" ref="AI1108">COUNT(_xlfn.UNIQUE(_xlfn._xlws.FILTER(SrcDB[ID],SrcDB[Objednavatel_ICO]=$H1108)))</f>
        <v>1</v>
      </c>
      <c r="AJ1108" s="3" cm="1">
        <f t="array" ref="AJ1108">COUNT(_xlfn.UNIQUE(_xlfn._xlws.FILTER(SrcDB[ID],SrcDB[Dodavatel_ICO]=$K1108)))</f>
        <v>2</v>
      </c>
      <c r="AK1108" s="3">
        <f t="shared" si="1214"/>
        <v>0</v>
      </c>
      <c r="AL1108" s="3">
        <f t="shared" si="1215"/>
        <v>0</v>
      </c>
      <c r="AM1108" s="17" t="str">
        <f>IF(SrcDB[[#This Row],[Pocet zmluv objednavatela]]&gt;3,SrcDB[[#This Row],[Objednavatel]],"Ostatné")</f>
        <v>Ostatné</v>
      </c>
      <c r="AN1108" s="17" t="str">
        <f>IF(SrcDB[[#This Row],[Pocet zmluv dodavatela]]&gt;3,SrcDB[[#This Row],[Dodavatel]],"Ostatné")</f>
        <v>Ostatné</v>
      </c>
    </row>
    <row r="1109" spans="1:40" x14ac:dyDescent="0.3">
      <c r="A1109" s="2" t="s">
        <v>761</v>
      </c>
      <c r="B1109" s="2">
        <v>8137284</v>
      </c>
      <c r="C1109" s="3" t="str">
        <f t="shared" si="1208"/>
        <v>Nejasné</v>
      </c>
      <c r="D1109" s="3" t="str">
        <f t="shared" si="1209"/>
        <v>Nejasné</v>
      </c>
      <c r="E1109" s="3" t="s">
        <v>48</v>
      </c>
      <c r="F1109" s="3" t="s">
        <v>49</v>
      </c>
      <c r="G1109" s="2" t="str">
        <f t="shared" si="1210"/>
        <v>Malé zmluvy</v>
      </c>
      <c r="H1109" s="5">
        <v>31753604</v>
      </c>
      <c r="I1109" s="2" t="s">
        <v>1319</v>
      </c>
      <c r="J1109" s="2" t="s">
        <v>1320</v>
      </c>
      <c r="K1109" s="5">
        <v>36224278</v>
      </c>
      <c r="L1109" s="2" t="s">
        <v>1022</v>
      </c>
      <c r="M1109" s="2" t="s">
        <v>1023</v>
      </c>
      <c r="N1109" s="6">
        <v>45133.645277777781</v>
      </c>
      <c r="O1109" s="4">
        <v>575100.48</v>
      </c>
      <c r="P1109" s="2">
        <v>114535</v>
      </c>
      <c r="Q1109" s="2" t="s">
        <v>1321</v>
      </c>
      <c r="R1109" s="2" t="s">
        <v>1322</v>
      </c>
      <c r="S1109" s="2" t="s">
        <v>56</v>
      </c>
      <c r="T1109" s="2" t="s">
        <v>286</v>
      </c>
      <c r="U1109" s="2" t="s">
        <v>129</v>
      </c>
      <c r="W1109" s="4">
        <v>457.3</v>
      </c>
      <c r="X1109" s="4">
        <v>548.76</v>
      </c>
      <c r="Y1109" s="4">
        <f t="shared" ref="Y1109" si="1232">INDEX(InternalRates,MATCH($S1109,InternalRates01,FALSE),2)</f>
        <v>278.98333333333335</v>
      </c>
      <c r="Z1109" s="3" t="str">
        <f t="shared" si="1173"/>
        <v>Nie</v>
      </c>
      <c r="AA1109" s="3" t="str">
        <f t="shared" si="1174"/>
        <v>SLA</v>
      </c>
      <c r="AB1109" s="4">
        <v>12</v>
      </c>
      <c r="AC1109" s="4">
        <v>6</v>
      </c>
      <c r="AD1109" s="3" t="s">
        <v>49</v>
      </c>
      <c r="AE1109" s="6">
        <v>45546</v>
      </c>
      <c r="AF1109" s="3" t="s">
        <v>59</v>
      </c>
      <c r="AG1109" s="3" t="s">
        <v>48</v>
      </c>
      <c r="AH1109" s="3">
        <f>YEAR(SrcDB[[#This Row],[Datum_zverejnenia]])</f>
        <v>2023</v>
      </c>
      <c r="AI1109" s="3" cm="1">
        <f t="array" ref="AI1109">COUNT(_xlfn.UNIQUE(_xlfn._xlws.FILTER(SrcDB[ID],SrcDB[Objednavatel_ICO]=$H1109)))</f>
        <v>1</v>
      </c>
      <c r="AJ1109" s="3" cm="1">
        <f t="array" ref="AJ1109">COUNT(_xlfn.UNIQUE(_xlfn._xlws.FILTER(SrcDB[ID],SrcDB[Dodavatel_ICO]=$K1109)))</f>
        <v>2</v>
      </c>
      <c r="AK1109" s="3">
        <f t="shared" si="1214"/>
        <v>0</v>
      </c>
      <c r="AL1109" s="3">
        <f t="shared" si="1215"/>
        <v>0</v>
      </c>
      <c r="AM1109" s="17" t="str">
        <f>IF(SrcDB[[#This Row],[Pocet zmluv objednavatela]]&gt;3,SrcDB[[#This Row],[Objednavatel]],"Ostatné")</f>
        <v>Ostatné</v>
      </c>
      <c r="AN1109" s="17" t="str">
        <f>IF(SrcDB[[#This Row],[Pocet zmluv dodavatela]]&gt;3,SrcDB[[#This Row],[Dodavatel]],"Ostatné")</f>
        <v>Ostatné</v>
      </c>
    </row>
    <row r="1110" spans="1:40" x14ac:dyDescent="0.3">
      <c r="A1110" s="2" t="s">
        <v>761</v>
      </c>
      <c r="B1110" s="2">
        <v>8137284</v>
      </c>
      <c r="C1110" s="3" t="str">
        <f t="shared" si="1208"/>
        <v>Nejasné</v>
      </c>
      <c r="D1110" s="3" t="str">
        <f t="shared" si="1209"/>
        <v>Nejasné</v>
      </c>
      <c r="E1110" s="3" t="s">
        <v>48</v>
      </c>
      <c r="F1110" s="3" t="s">
        <v>49</v>
      </c>
      <c r="G1110" s="2" t="str">
        <f t="shared" si="1210"/>
        <v>Malé zmluvy</v>
      </c>
      <c r="H1110" s="5">
        <v>31753604</v>
      </c>
      <c r="I1110" s="2" t="s">
        <v>1319</v>
      </c>
      <c r="J1110" s="2" t="s">
        <v>1320</v>
      </c>
      <c r="K1110" s="5">
        <v>36224278</v>
      </c>
      <c r="L1110" s="2" t="s">
        <v>1022</v>
      </c>
      <c r="M1110" s="2" t="s">
        <v>1023</v>
      </c>
      <c r="N1110" s="6">
        <v>45133.645277777781</v>
      </c>
      <c r="O1110" s="4">
        <v>575100.48</v>
      </c>
      <c r="P1110" s="2">
        <v>114535</v>
      </c>
      <c r="Q1110" s="2" t="s">
        <v>1321</v>
      </c>
      <c r="R1110" s="2" t="s">
        <v>1322</v>
      </c>
      <c r="S1110" s="2" t="s">
        <v>79</v>
      </c>
      <c r="T1110" s="2" t="s">
        <v>1265</v>
      </c>
      <c r="W1110" s="4">
        <v>457.3</v>
      </c>
      <c r="X1110" s="4">
        <v>548.76</v>
      </c>
      <c r="Y1110" s="4">
        <f t="shared" ref="Y1110" si="1233">INDEX(InternalRates,MATCH($S1110,InternalRates01,FALSE),2)</f>
        <v>278.98333333333335</v>
      </c>
      <c r="Z1110" s="3" t="str">
        <f t="shared" si="1173"/>
        <v>Nie</v>
      </c>
      <c r="AA1110" s="3" t="str">
        <f t="shared" si="1174"/>
        <v>SLA</v>
      </c>
      <c r="AB1110" s="4">
        <v>80</v>
      </c>
      <c r="AC1110" s="4">
        <v>40</v>
      </c>
      <c r="AD1110" s="3" t="s">
        <v>49</v>
      </c>
      <c r="AE1110" s="6">
        <v>45546</v>
      </c>
      <c r="AF1110" s="3" t="s">
        <v>59</v>
      </c>
      <c r="AG1110" s="3" t="s">
        <v>48</v>
      </c>
      <c r="AH1110" s="3">
        <f>YEAR(SrcDB[[#This Row],[Datum_zverejnenia]])</f>
        <v>2023</v>
      </c>
      <c r="AI1110" s="3" cm="1">
        <f t="array" ref="AI1110">COUNT(_xlfn.UNIQUE(_xlfn._xlws.FILTER(SrcDB[ID],SrcDB[Objednavatel_ICO]=$H1110)))</f>
        <v>1</v>
      </c>
      <c r="AJ1110" s="3" cm="1">
        <f t="array" ref="AJ1110">COUNT(_xlfn.UNIQUE(_xlfn._xlws.FILTER(SrcDB[ID],SrcDB[Dodavatel_ICO]=$K1110)))</f>
        <v>2</v>
      </c>
      <c r="AK1110" s="3">
        <f t="shared" si="1214"/>
        <v>0</v>
      </c>
      <c r="AL1110" s="3">
        <f t="shared" si="1215"/>
        <v>0</v>
      </c>
      <c r="AM1110" s="17" t="str">
        <f>IF(SrcDB[[#This Row],[Pocet zmluv objednavatela]]&gt;3,SrcDB[[#This Row],[Objednavatel]],"Ostatné")</f>
        <v>Ostatné</v>
      </c>
      <c r="AN1110" s="17" t="str">
        <f>IF(SrcDB[[#This Row],[Pocet zmluv dodavatela]]&gt;3,SrcDB[[#This Row],[Dodavatel]],"Ostatné")</f>
        <v>Ostatné</v>
      </c>
    </row>
    <row r="1111" spans="1:40" x14ac:dyDescent="0.3">
      <c r="A1111" s="2" t="s">
        <v>761</v>
      </c>
      <c r="B1111" s="2">
        <v>8137284</v>
      </c>
      <c r="C1111" s="3" t="str">
        <f t="shared" si="1208"/>
        <v>Nejasné</v>
      </c>
      <c r="D1111" s="3" t="str">
        <f t="shared" si="1209"/>
        <v>Nejasné</v>
      </c>
      <c r="E1111" s="3" t="s">
        <v>48</v>
      </c>
      <c r="F1111" s="3" t="s">
        <v>49</v>
      </c>
      <c r="G1111" s="2" t="str">
        <f t="shared" si="1210"/>
        <v>Malé zmluvy</v>
      </c>
      <c r="H1111" s="5">
        <v>31753604</v>
      </c>
      <c r="I1111" s="2" t="s">
        <v>1319</v>
      </c>
      <c r="J1111" s="2" t="s">
        <v>1320</v>
      </c>
      <c r="K1111" s="5">
        <v>36224278</v>
      </c>
      <c r="L1111" s="2" t="s">
        <v>1022</v>
      </c>
      <c r="M1111" s="2" t="s">
        <v>1023</v>
      </c>
      <c r="N1111" s="6">
        <v>45133.645277777781</v>
      </c>
      <c r="O1111" s="4">
        <v>575100.48</v>
      </c>
      <c r="P1111" s="2">
        <v>114535</v>
      </c>
      <c r="Q1111" s="2" t="s">
        <v>1321</v>
      </c>
      <c r="R1111" s="2" t="s">
        <v>1322</v>
      </c>
      <c r="S1111" s="2" t="s">
        <v>77</v>
      </c>
      <c r="T1111" s="2" t="s">
        <v>92</v>
      </c>
      <c r="W1111" s="4">
        <v>457.3</v>
      </c>
      <c r="X1111" s="4">
        <v>548.76</v>
      </c>
      <c r="Y1111" s="4">
        <f t="shared" ref="Y1111" si="1234">INDEX(InternalRates,MATCH($S1111,InternalRates01,FALSE),2)</f>
        <v>278.98333333333335</v>
      </c>
      <c r="Z1111" s="3" t="str">
        <f t="shared" si="1173"/>
        <v>Nie</v>
      </c>
      <c r="AA1111" s="3" t="str">
        <f t="shared" si="1174"/>
        <v>SLA</v>
      </c>
      <c r="AB1111" s="4">
        <v>191</v>
      </c>
      <c r="AC1111" s="4">
        <v>95.5</v>
      </c>
      <c r="AD1111" s="3" t="s">
        <v>49</v>
      </c>
      <c r="AE1111" s="6">
        <v>45546</v>
      </c>
      <c r="AF1111" s="3" t="s">
        <v>59</v>
      </c>
      <c r="AG1111" s="3" t="s">
        <v>48</v>
      </c>
      <c r="AH1111" s="3">
        <f>YEAR(SrcDB[[#This Row],[Datum_zverejnenia]])</f>
        <v>2023</v>
      </c>
      <c r="AI1111" s="3" cm="1">
        <f t="array" ref="AI1111">COUNT(_xlfn.UNIQUE(_xlfn._xlws.FILTER(SrcDB[ID],SrcDB[Objednavatel_ICO]=$H1111)))</f>
        <v>1</v>
      </c>
      <c r="AJ1111" s="3" cm="1">
        <f t="array" ref="AJ1111">COUNT(_xlfn.UNIQUE(_xlfn._xlws.FILTER(SrcDB[ID],SrcDB[Dodavatel_ICO]=$K1111)))</f>
        <v>2</v>
      </c>
      <c r="AK1111" s="3">
        <f t="shared" si="1214"/>
        <v>0</v>
      </c>
      <c r="AL1111" s="3">
        <f t="shared" si="1215"/>
        <v>0</v>
      </c>
      <c r="AM1111" s="17" t="str">
        <f>IF(SrcDB[[#This Row],[Pocet zmluv objednavatela]]&gt;3,SrcDB[[#This Row],[Objednavatel]],"Ostatné")</f>
        <v>Ostatné</v>
      </c>
      <c r="AN1111" s="17" t="str">
        <f>IF(SrcDB[[#This Row],[Pocet zmluv dodavatela]]&gt;3,SrcDB[[#This Row],[Dodavatel]],"Ostatné")</f>
        <v>Ostatné</v>
      </c>
    </row>
    <row r="1112" spans="1:40" x14ac:dyDescent="0.3">
      <c r="A1112" s="2" t="s">
        <v>1323</v>
      </c>
      <c r="B1112" s="2">
        <v>8193622</v>
      </c>
      <c r="C1112" s="3" t="str">
        <f t="shared" si="1208"/>
        <v>Nejasné</v>
      </c>
      <c r="D1112" s="3" t="str">
        <f t="shared" si="1209"/>
        <v>Nejasné</v>
      </c>
      <c r="E1112" s="3" t="s">
        <v>48</v>
      </c>
      <c r="F1112" s="3" t="s">
        <v>49</v>
      </c>
      <c r="G1112" s="2" t="str">
        <f t="shared" si="1210"/>
        <v>Veľké zmluvy</v>
      </c>
      <c r="H1112" s="5" t="s">
        <v>342</v>
      </c>
      <c r="I1112" s="2" t="s">
        <v>343</v>
      </c>
      <c r="J1112" s="2" t="s">
        <v>344</v>
      </c>
      <c r="K1112" s="5">
        <v>36831221</v>
      </c>
      <c r="L1112" s="2" t="s">
        <v>366</v>
      </c>
      <c r="M1112" s="2" t="s">
        <v>367</v>
      </c>
      <c r="N1112" s="6">
        <v>45149.598055555558</v>
      </c>
      <c r="O1112" s="4">
        <v>10907331.359999999</v>
      </c>
      <c r="P1112" s="2">
        <v>114723</v>
      </c>
      <c r="Q1112" s="2" t="s">
        <v>1324</v>
      </c>
      <c r="R1112" s="2" t="s">
        <v>1325</v>
      </c>
      <c r="S1112" s="2" t="s">
        <v>123</v>
      </c>
      <c r="T1112" s="2" t="s">
        <v>1326</v>
      </c>
      <c r="V1112" s="2" t="s">
        <v>583</v>
      </c>
      <c r="W1112" s="4">
        <v>710</v>
      </c>
      <c r="X1112" s="4">
        <v>852</v>
      </c>
      <c r="Y1112" s="4">
        <f t="shared" ref="Y1112" si="1235">INDEX(InternalRates,MATCH($S1112,InternalRates01,FALSE),2)</f>
        <v>231.85833333333335</v>
      </c>
      <c r="Z1112" s="3" t="str">
        <f t="shared" si="1173"/>
        <v>Nie</v>
      </c>
      <c r="AA1112" s="3" t="str">
        <f t="shared" si="1174"/>
        <v>SLA</v>
      </c>
      <c r="AB1112" s="4">
        <v>369</v>
      </c>
      <c r="AC1112" s="4">
        <v>184.5</v>
      </c>
      <c r="AD1112" s="3" t="s">
        <v>49</v>
      </c>
      <c r="AE1112" s="6">
        <v>45546</v>
      </c>
      <c r="AF1112" s="3" t="s">
        <v>59</v>
      </c>
      <c r="AG1112" s="3" t="s">
        <v>49</v>
      </c>
      <c r="AH1112" s="3">
        <f>YEAR(SrcDB[[#This Row],[Datum_zverejnenia]])</f>
        <v>2023</v>
      </c>
      <c r="AI1112" s="3" cm="1">
        <f t="array" ref="AI1112">COUNT(_xlfn.UNIQUE(_xlfn._xlws.FILTER(SrcDB[ID],SrcDB[Objednavatel_ICO]=$H1112)))</f>
        <v>15</v>
      </c>
      <c r="AJ1112" s="3" cm="1">
        <f t="array" ref="AJ1112">COUNT(_xlfn.UNIQUE(_xlfn._xlws.FILTER(SrcDB[ID],SrcDB[Dodavatel_ICO]=$K1112)))</f>
        <v>5</v>
      </c>
      <c r="AK1112" s="3">
        <f t="shared" si="1214"/>
        <v>1</v>
      </c>
      <c r="AL1112" s="3">
        <f t="shared" si="1215"/>
        <v>1</v>
      </c>
      <c r="AM1112" s="17" t="str">
        <f>IF(SrcDB[[#This Row],[Pocet zmluv objednavatela]]&gt;3,SrcDB[[#This Row],[Objednavatel]],"Ostatné")</f>
        <v>Ministerstvo vnútra SR</v>
      </c>
      <c r="AN1112" s="17" t="str">
        <f>IF(SrcDB[[#This Row],[Pocet zmluv dodavatela]]&gt;3,SrcDB[[#This Row],[Dodavatel]],"Ostatné")</f>
        <v>Aliter Technologies, a.s.</v>
      </c>
    </row>
    <row r="1113" spans="1:40" x14ac:dyDescent="0.3">
      <c r="A1113" s="2" t="s">
        <v>1323</v>
      </c>
      <c r="B1113" s="2">
        <v>8193622</v>
      </c>
      <c r="C1113" s="3" t="str">
        <f t="shared" si="1208"/>
        <v>Nejasné</v>
      </c>
      <c r="D1113" s="3" t="str">
        <f t="shared" si="1209"/>
        <v>Nejasné</v>
      </c>
      <c r="E1113" s="3" t="s">
        <v>48</v>
      </c>
      <c r="F1113" s="3" t="s">
        <v>49</v>
      </c>
      <c r="G1113" s="2" t="str">
        <f t="shared" si="1210"/>
        <v>Veľké zmluvy</v>
      </c>
      <c r="H1113" s="5" t="s">
        <v>342</v>
      </c>
      <c r="I1113" s="2" t="s">
        <v>343</v>
      </c>
      <c r="J1113" s="2" t="s">
        <v>344</v>
      </c>
      <c r="K1113" s="5">
        <v>36831221</v>
      </c>
      <c r="L1113" s="2" t="s">
        <v>366</v>
      </c>
      <c r="M1113" s="2" t="s">
        <v>367</v>
      </c>
      <c r="N1113" s="6">
        <v>45149.598055555558</v>
      </c>
      <c r="O1113" s="4">
        <v>10907331.359999999</v>
      </c>
      <c r="P1113" s="2">
        <v>114723</v>
      </c>
      <c r="Q1113" s="2" t="s">
        <v>1324</v>
      </c>
      <c r="R1113" s="2" t="s">
        <v>1325</v>
      </c>
      <c r="S1113" s="2" t="s">
        <v>123</v>
      </c>
      <c r="T1113" s="2" t="s">
        <v>1327</v>
      </c>
      <c r="V1113" s="2" t="s">
        <v>583</v>
      </c>
      <c r="W1113" s="4">
        <v>710</v>
      </c>
      <c r="X1113" s="4">
        <v>852</v>
      </c>
      <c r="Y1113" s="4">
        <f t="shared" ref="Y1113" si="1236">INDEX(InternalRates,MATCH($S1113,InternalRates01,FALSE),2)</f>
        <v>231.85833333333335</v>
      </c>
      <c r="Z1113" s="3" t="str">
        <f t="shared" si="1173"/>
        <v>Nie</v>
      </c>
      <c r="AA1113" s="3" t="str">
        <f t="shared" si="1174"/>
        <v>SLA</v>
      </c>
      <c r="AB1113" s="4">
        <v>510</v>
      </c>
      <c r="AC1113" s="4">
        <v>255</v>
      </c>
      <c r="AD1113" s="3" t="s">
        <v>49</v>
      </c>
      <c r="AE1113" s="6">
        <v>45546</v>
      </c>
      <c r="AF1113" s="3" t="s">
        <v>59</v>
      </c>
      <c r="AG1113" s="3" t="s">
        <v>49</v>
      </c>
      <c r="AH1113" s="3">
        <f>YEAR(SrcDB[[#This Row],[Datum_zverejnenia]])</f>
        <v>2023</v>
      </c>
      <c r="AI1113" s="3" cm="1">
        <f t="array" ref="AI1113">COUNT(_xlfn.UNIQUE(_xlfn._xlws.FILTER(SrcDB[ID],SrcDB[Objednavatel_ICO]=$H1113)))</f>
        <v>15</v>
      </c>
      <c r="AJ1113" s="3" cm="1">
        <f t="array" ref="AJ1113">COUNT(_xlfn.UNIQUE(_xlfn._xlws.FILTER(SrcDB[ID],SrcDB[Dodavatel_ICO]=$K1113)))</f>
        <v>5</v>
      </c>
      <c r="AK1113" s="3">
        <f t="shared" si="1214"/>
        <v>0</v>
      </c>
      <c r="AL1113" s="3">
        <f t="shared" si="1215"/>
        <v>0</v>
      </c>
      <c r="AM1113" s="17" t="str">
        <f>IF(SrcDB[[#This Row],[Pocet zmluv objednavatela]]&gt;3,SrcDB[[#This Row],[Objednavatel]],"Ostatné")</f>
        <v>Ministerstvo vnútra SR</v>
      </c>
      <c r="AN1113" s="17" t="str">
        <f>IF(SrcDB[[#This Row],[Pocet zmluv dodavatela]]&gt;3,SrcDB[[#This Row],[Dodavatel]],"Ostatné")</f>
        <v>Aliter Technologies, a.s.</v>
      </c>
    </row>
    <row r="1114" spans="1:40" x14ac:dyDescent="0.3">
      <c r="A1114" s="2" t="s">
        <v>1323</v>
      </c>
      <c r="B1114" s="2">
        <v>8193622</v>
      </c>
      <c r="C1114" s="3" t="str">
        <f t="shared" si="1208"/>
        <v>Nejasné</v>
      </c>
      <c r="D1114" s="3" t="str">
        <f t="shared" si="1209"/>
        <v>Nejasné</v>
      </c>
      <c r="E1114" s="3" t="s">
        <v>48</v>
      </c>
      <c r="F1114" s="3" t="s">
        <v>49</v>
      </c>
      <c r="G1114" s="2" t="str">
        <f t="shared" si="1210"/>
        <v>Veľké zmluvy</v>
      </c>
      <c r="H1114" s="5" t="s">
        <v>342</v>
      </c>
      <c r="I1114" s="2" t="s">
        <v>343</v>
      </c>
      <c r="J1114" s="2" t="s">
        <v>344</v>
      </c>
      <c r="K1114" s="5">
        <v>36831221</v>
      </c>
      <c r="L1114" s="2" t="s">
        <v>366</v>
      </c>
      <c r="M1114" s="2" t="s">
        <v>367</v>
      </c>
      <c r="N1114" s="6">
        <v>45149.598055555558</v>
      </c>
      <c r="O1114" s="4">
        <v>10907331.359999999</v>
      </c>
      <c r="P1114" s="2">
        <v>114723</v>
      </c>
      <c r="Q1114" s="2" t="s">
        <v>1324</v>
      </c>
      <c r="R1114" s="2" t="s">
        <v>1325</v>
      </c>
      <c r="S1114" s="2" t="s">
        <v>56</v>
      </c>
      <c r="T1114" s="2" t="s">
        <v>1328</v>
      </c>
      <c r="U1114" s="2" t="s">
        <v>76</v>
      </c>
      <c r="W1114" s="4">
        <v>710</v>
      </c>
      <c r="X1114" s="4">
        <v>852</v>
      </c>
      <c r="Y1114" s="4">
        <f t="shared" ref="Y1114" si="1237">INDEX(InternalRates,MATCH($S1114,InternalRates01,FALSE),2)</f>
        <v>278.98333333333335</v>
      </c>
      <c r="Z1114" s="3" t="str">
        <f t="shared" si="1173"/>
        <v>Nie</v>
      </c>
      <c r="AA1114" s="3" t="str">
        <f t="shared" si="1174"/>
        <v>SLA</v>
      </c>
      <c r="AB1114" s="4">
        <v>482</v>
      </c>
      <c r="AC1114" s="4">
        <v>241</v>
      </c>
      <c r="AD1114" s="3" t="s">
        <v>49</v>
      </c>
      <c r="AE1114" s="6">
        <v>45546</v>
      </c>
      <c r="AF1114" s="3" t="s">
        <v>59</v>
      </c>
      <c r="AG1114" s="3" t="s">
        <v>49</v>
      </c>
      <c r="AH1114" s="3">
        <f>YEAR(SrcDB[[#This Row],[Datum_zverejnenia]])</f>
        <v>2023</v>
      </c>
      <c r="AI1114" s="3" cm="1">
        <f t="array" ref="AI1114">COUNT(_xlfn.UNIQUE(_xlfn._xlws.FILTER(SrcDB[ID],SrcDB[Objednavatel_ICO]=$H1114)))</f>
        <v>15</v>
      </c>
      <c r="AJ1114" s="3" cm="1">
        <f t="array" ref="AJ1114">COUNT(_xlfn.UNIQUE(_xlfn._xlws.FILTER(SrcDB[ID],SrcDB[Dodavatel_ICO]=$K1114)))</f>
        <v>5</v>
      </c>
      <c r="AK1114" s="3">
        <f t="shared" si="1214"/>
        <v>0</v>
      </c>
      <c r="AL1114" s="3">
        <f t="shared" si="1215"/>
        <v>0</v>
      </c>
      <c r="AM1114" s="17" t="str">
        <f>IF(SrcDB[[#This Row],[Pocet zmluv objednavatela]]&gt;3,SrcDB[[#This Row],[Objednavatel]],"Ostatné")</f>
        <v>Ministerstvo vnútra SR</v>
      </c>
      <c r="AN1114" s="17" t="str">
        <f>IF(SrcDB[[#This Row],[Pocet zmluv dodavatela]]&gt;3,SrcDB[[#This Row],[Dodavatel]],"Ostatné")</f>
        <v>Aliter Technologies, a.s.</v>
      </c>
    </row>
    <row r="1115" spans="1:40" x14ac:dyDescent="0.3">
      <c r="A1115" s="2" t="s">
        <v>1323</v>
      </c>
      <c r="B1115" s="2">
        <v>8193622</v>
      </c>
      <c r="C1115" s="3" t="str">
        <f t="shared" si="1208"/>
        <v>Nejasné</v>
      </c>
      <c r="D1115" s="3" t="str">
        <f t="shared" si="1209"/>
        <v>Nejasné</v>
      </c>
      <c r="E1115" s="3" t="s">
        <v>48</v>
      </c>
      <c r="F1115" s="3" t="s">
        <v>49</v>
      </c>
      <c r="G1115" s="2" t="str">
        <f t="shared" si="1210"/>
        <v>Veľké zmluvy</v>
      </c>
      <c r="H1115" s="5" t="s">
        <v>342</v>
      </c>
      <c r="I1115" s="2" t="s">
        <v>343</v>
      </c>
      <c r="J1115" s="2" t="s">
        <v>344</v>
      </c>
      <c r="K1115" s="5">
        <v>36831221</v>
      </c>
      <c r="L1115" s="2" t="s">
        <v>366</v>
      </c>
      <c r="M1115" s="2" t="s">
        <v>367</v>
      </c>
      <c r="N1115" s="6">
        <v>45149.598055555558</v>
      </c>
      <c r="O1115" s="4">
        <v>10907331.359999999</v>
      </c>
      <c r="P1115" s="2">
        <v>114723</v>
      </c>
      <c r="Q1115" s="2" t="s">
        <v>1324</v>
      </c>
      <c r="R1115" s="2" t="s">
        <v>1325</v>
      </c>
      <c r="S1115" s="2" t="s">
        <v>1166</v>
      </c>
      <c r="T1115" s="2" t="s">
        <v>1329</v>
      </c>
      <c r="W1115" s="4">
        <v>710</v>
      </c>
      <c r="X1115" s="4">
        <v>852</v>
      </c>
      <c r="Y1115" s="4">
        <f t="shared" ref="Y1115" si="1238">INDEX(InternalRates,MATCH($S1115,InternalRates01,FALSE),2)</f>
        <v>278.98333333333335</v>
      </c>
      <c r="Z1115" s="3" t="str">
        <f t="shared" si="1173"/>
        <v>Nie</v>
      </c>
      <c r="AA1115" s="3" t="str">
        <f t="shared" si="1174"/>
        <v>SLA</v>
      </c>
      <c r="AB1115" s="4">
        <v>850</v>
      </c>
      <c r="AC1115" s="4">
        <v>425</v>
      </c>
      <c r="AD1115" s="3" t="s">
        <v>49</v>
      </c>
      <c r="AE1115" s="6">
        <v>45546</v>
      </c>
      <c r="AF1115" s="3" t="s">
        <v>59</v>
      </c>
      <c r="AG1115" s="3" t="s">
        <v>49</v>
      </c>
      <c r="AH1115" s="3">
        <f>YEAR(SrcDB[[#This Row],[Datum_zverejnenia]])</f>
        <v>2023</v>
      </c>
      <c r="AI1115" s="3" cm="1">
        <f t="array" ref="AI1115">COUNT(_xlfn.UNIQUE(_xlfn._xlws.FILTER(SrcDB[ID],SrcDB[Objednavatel_ICO]=$H1115)))</f>
        <v>15</v>
      </c>
      <c r="AJ1115" s="3" cm="1">
        <f t="array" ref="AJ1115">COUNT(_xlfn.UNIQUE(_xlfn._xlws.FILTER(SrcDB[ID],SrcDB[Dodavatel_ICO]=$K1115)))</f>
        <v>5</v>
      </c>
      <c r="AK1115" s="3">
        <f t="shared" si="1214"/>
        <v>0</v>
      </c>
      <c r="AL1115" s="3">
        <f t="shared" si="1215"/>
        <v>0</v>
      </c>
      <c r="AM1115" s="17" t="str">
        <f>IF(SrcDB[[#This Row],[Pocet zmluv objednavatela]]&gt;3,SrcDB[[#This Row],[Objednavatel]],"Ostatné")</f>
        <v>Ministerstvo vnútra SR</v>
      </c>
      <c r="AN1115" s="17" t="str">
        <f>IF(SrcDB[[#This Row],[Pocet zmluv dodavatela]]&gt;3,SrcDB[[#This Row],[Dodavatel]],"Ostatné")</f>
        <v>Aliter Technologies, a.s.</v>
      </c>
    </row>
    <row r="1116" spans="1:40" x14ac:dyDescent="0.3">
      <c r="A1116" s="2" t="s">
        <v>1330</v>
      </c>
      <c r="B1116" s="2">
        <v>8193719</v>
      </c>
      <c r="C1116" s="3" t="str">
        <f t="shared" si="1208"/>
        <v>Nejasné</v>
      </c>
      <c r="D1116" s="3" t="str">
        <f t="shared" si="1209"/>
        <v>Nejasné</v>
      </c>
      <c r="E1116" s="3" t="s">
        <v>48</v>
      </c>
      <c r="F1116" s="3" t="s">
        <v>49</v>
      </c>
      <c r="G1116" s="2" t="str">
        <f t="shared" si="1210"/>
        <v>Stredné zmluvy</v>
      </c>
      <c r="H1116" s="5" t="s">
        <v>342</v>
      </c>
      <c r="I1116" s="2" t="s">
        <v>343</v>
      </c>
      <c r="J1116" s="2" t="s">
        <v>344</v>
      </c>
      <c r="K1116" s="5">
        <v>35955678</v>
      </c>
      <c r="L1116" s="2" t="s">
        <v>179</v>
      </c>
      <c r="M1116" s="2" t="s">
        <v>180</v>
      </c>
      <c r="N1116" s="6">
        <v>45149.606874999998</v>
      </c>
      <c r="O1116" s="4">
        <v>6857713.25</v>
      </c>
      <c r="P1116" s="2">
        <v>114723</v>
      </c>
      <c r="Q1116" s="2" t="s">
        <v>1331</v>
      </c>
      <c r="R1116" s="2" t="s">
        <v>1332</v>
      </c>
      <c r="S1116" s="2" t="s">
        <v>123</v>
      </c>
      <c r="T1116" s="2" t="s">
        <v>1333</v>
      </c>
      <c r="V1116" s="2" t="s">
        <v>140</v>
      </c>
      <c r="W1116" s="4">
        <v>620</v>
      </c>
      <c r="X1116" s="4">
        <v>744</v>
      </c>
      <c r="Y1116" s="4">
        <f t="shared" ref="Y1116" si="1239">INDEX(InternalRates,MATCH($S1116,InternalRates01,FALSE),2)</f>
        <v>231.85833333333335</v>
      </c>
      <c r="Z1116" s="3" t="str">
        <f t="shared" si="1173"/>
        <v>Nie</v>
      </c>
      <c r="AA1116" s="3" t="str">
        <f t="shared" si="1174"/>
        <v>SLA</v>
      </c>
      <c r="AB1116" s="4">
        <v>668</v>
      </c>
      <c r="AC1116" s="4">
        <v>334</v>
      </c>
      <c r="AD1116" s="3" t="s">
        <v>49</v>
      </c>
      <c r="AE1116" s="6">
        <v>45546</v>
      </c>
      <c r="AF1116" s="3" t="s">
        <v>59</v>
      </c>
      <c r="AG1116" s="3" t="s">
        <v>49</v>
      </c>
      <c r="AH1116" s="3">
        <f>YEAR(SrcDB[[#This Row],[Datum_zverejnenia]])</f>
        <v>2023</v>
      </c>
      <c r="AI1116" s="3" cm="1">
        <f t="array" ref="AI1116">COUNT(_xlfn.UNIQUE(_xlfn._xlws.FILTER(SrcDB[ID],SrcDB[Objednavatel_ICO]=$H1116)))</f>
        <v>15</v>
      </c>
      <c r="AJ1116" s="3" cm="1">
        <f t="array" ref="AJ1116">COUNT(_xlfn.UNIQUE(_xlfn._xlws.FILTER(SrcDB[ID],SrcDB[Dodavatel_ICO]=$K1116)))</f>
        <v>14</v>
      </c>
      <c r="AK1116" s="3">
        <f t="shared" si="1214"/>
        <v>1</v>
      </c>
      <c r="AL1116" s="3">
        <f t="shared" si="1215"/>
        <v>1</v>
      </c>
      <c r="AM1116" s="17" t="str">
        <f>IF(SrcDB[[#This Row],[Pocet zmluv objednavatela]]&gt;3,SrcDB[[#This Row],[Objednavatel]],"Ostatné")</f>
        <v>Ministerstvo vnútra SR</v>
      </c>
      <c r="AN1116" s="17" t="str">
        <f>IF(SrcDB[[#This Row],[Pocet zmluv dodavatela]]&gt;3,SrcDB[[#This Row],[Dodavatel]],"Ostatné")</f>
        <v>SOITRON, s.r.o.</v>
      </c>
    </row>
    <row r="1117" spans="1:40" x14ac:dyDescent="0.3">
      <c r="A1117" s="2" t="s">
        <v>1330</v>
      </c>
      <c r="B1117" s="2">
        <v>8193719</v>
      </c>
      <c r="C1117" s="3" t="str">
        <f t="shared" si="1208"/>
        <v>Nejasné</v>
      </c>
      <c r="D1117" s="3" t="str">
        <f t="shared" si="1209"/>
        <v>Nejasné</v>
      </c>
      <c r="E1117" s="3" t="s">
        <v>48</v>
      </c>
      <c r="F1117" s="3" t="s">
        <v>49</v>
      </c>
      <c r="G1117" s="2" t="str">
        <f t="shared" si="1210"/>
        <v>Stredné zmluvy</v>
      </c>
      <c r="H1117" s="5" t="s">
        <v>342</v>
      </c>
      <c r="I1117" s="2" t="s">
        <v>343</v>
      </c>
      <c r="J1117" s="2" t="s">
        <v>344</v>
      </c>
      <c r="K1117" s="5">
        <v>35955678</v>
      </c>
      <c r="L1117" s="2" t="s">
        <v>179</v>
      </c>
      <c r="M1117" s="2" t="s">
        <v>180</v>
      </c>
      <c r="N1117" s="6">
        <v>45149.606874999998</v>
      </c>
      <c r="O1117" s="4">
        <v>6857713.25</v>
      </c>
      <c r="P1117" s="2">
        <v>114723</v>
      </c>
      <c r="Q1117" s="2" t="s">
        <v>1331</v>
      </c>
      <c r="R1117" s="2" t="s">
        <v>1332</v>
      </c>
      <c r="S1117" s="2" t="s">
        <v>123</v>
      </c>
      <c r="T1117" s="2" t="s">
        <v>1334</v>
      </c>
      <c r="V1117" s="2" t="s">
        <v>583</v>
      </c>
      <c r="W1117" s="4">
        <v>620</v>
      </c>
      <c r="X1117" s="4">
        <v>744</v>
      </c>
      <c r="Y1117" s="4">
        <f t="shared" ref="Y1117" si="1240">INDEX(InternalRates,MATCH($S1117,InternalRates01,FALSE),2)</f>
        <v>231.85833333333335</v>
      </c>
      <c r="Z1117" s="3" t="str">
        <f t="shared" si="1173"/>
        <v>Nie</v>
      </c>
      <c r="AA1117" s="3" t="str">
        <f t="shared" si="1174"/>
        <v>SLA</v>
      </c>
      <c r="AB1117" s="4">
        <v>563</v>
      </c>
      <c r="AC1117" s="4">
        <v>281.5</v>
      </c>
      <c r="AD1117" s="3" t="s">
        <v>49</v>
      </c>
      <c r="AE1117" s="6">
        <v>45546</v>
      </c>
      <c r="AF1117" s="3" t="s">
        <v>59</v>
      </c>
      <c r="AG1117" s="3" t="s">
        <v>49</v>
      </c>
      <c r="AH1117" s="3">
        <f>YEAR(SrcDB[[#This Row],[Datum_zverejnenia]])</f>
        <v>2023</v>
      </c>
      <c r="AI1117" s="3" cm="1">
        <f t="array" ref="AI1117">COUNT(_xlfn.UNIQUE(_xlfn._xlws.FILTER(SrcDB[ID],SrcDB[Objednavatel_ICO]=$H1117)))</f>
        <v>15</v>
      </c>
      <c r="AJ1117" s="3" cm="1">
        <f t="array" ref="AJ1117">COUNT(_xlfn.UNIQUE(_xlfn._xlws.FILTER(SrcDB[ID],SrcDB[Dodavatel_ICO]=$K1117)))</f>
        <v>14</v>
      </c>
      <c r="AK1117" s="3">
        <f t="shared" si="1214"/>
        <v>0</v>
      </c>
      <c r="AL1117" s="3">
        <f t="shared" si="1215"/>
        <v>0</v>
      </c>
      <c r="AM1117" s="17" t="str">
        <f>IF(SrcDB[[#This Row],[Pocet zmluv objednavatela]]&gt;3,SrcDB[[#This Row],[Objednavatel]],"Ostatné")</f>
        <v>Ministerstvo vnútra SR</v>
      </c>
      <c r="AN1117" s="17" t="str">
        <f>IF(SrcDB[[#This Row],[Pocet zmluv dodavatela]]&gt;3,SrcDB[[#This Row],[Dodavatel]],"Ostatné")</f>
        <v>SOITRON, s.r.o.</v>
      </c>
    </row>
    <row r="1118" spans="1:40" x14ac:dyDescent="0.3">
      <c r="A1118" s="2" t="s">
        <v>1335</v>
      </c>
      <c r="B1118" s="2">
        <v>8193775</v>
      </c>
      <c r="C1118" s="3" t="str">
        <f t="shared" si="1208"/>
        <v>Nejasné</v>
      </c>
      <c r="D1118" s="3" t="str">
        <f t="shared" si="1209"/>
        <v>Nejasné</v>
      </c>
      <c r="E1118" s="3" t="s">
        <v>48</v>
      </c>
      <c r="F1118" s="3" t="s">
        <v>49</v>
      </c>
      <c r="G1118" s="2" t="str">
        <f t="shared" si="1210"/>
        <v>Veľké zmluvy</v>
      </c>
      <c r="H1118" s="5" t="s">
        <v>342</v>
      </c>
      <c r="I1118" s="2" t="s">
        <v>343</v>
      </c>
      <c r="J1118" s="2" t="s">
        <v>344</v>
      </c>
      <c r="K1118" s="5">
        <v>35728531</v>
      </c>
      <c r="L1118" s="2" t="s">
        <v>310</v>
      </c>
      <c r="M1118" s="2" t="s">
        <v>311</v>
      </c>
      <c r="N1118" s="6">
        <v>45149.617407407408</v>
      </c>
      <c r="O1118" s="4">
        <v>19059367.199999999</v>
      </c>
      <c r="P1118" s="2">
        <v>114723</v>
      </c>
      <c r="Q1118" s="2" t="s">
        <v>1336</v>
      </c>
      <c r="R1118" s="2" t="s">
        <v>1337</v>
      </c>
      <c r="S1118" s="2" t="s">
        <v>123</v>
      </c>
      <c r="T1118" s="2" t="s">
        <v>1334</v>
      </c>
      <c r="V1118" s="2" t="s">
        <v>583</v>
      </c>
      <c r="W1118" s="4">
        <v>680</v>
      </c>
      <c r="X1118" s="4">
        <v>816</v>
      </c>
      <c r="Y1118" s="4">
        <f t="shared" ref="Y1118" si="1241">INDEX(InternalRates,MATCH($S1118,InternalRates01,FALSE),2)</f>
        <v>231.85833333333335</v>
      </c>
      <c r="Z1118" s="3" t="str">
        <f t="shared" si="1173"/>
        <v>Nie</v>
      </c>
      <c r="AA1118" s="3" t="str">
        <f t="shared" si="1174"/>
        <v>SLA</v>
      </c>
      <c r="AB1118" s="4">
        <v>719</v>
      </c>
      <c r="AC1118" s="4">
        <v>359.5</v>
      </c>
      <c r="AD1118" s="3" t="s">
        <v>49</v>
      </c>
      <c r="AE1118" s="6">
        <v>45546</v>
      </c>
      <c r="AF1118" s="3" t="s">
        <v>59</v>
      </c>
      <c r="AG1118" s="3" t="s">
        <v>49</v>
      </c>
      <c r="AH1118" s="3">
        <f>YEAR(SrcDB[[#This Row],[Datum_zverejnenia]])</f>
        <v>2023</v>
      </c>
      <c r="AI1118" s="3" cm="1">
        <f t="array" ref="AI1118">COUNT(_xlfn.UNIQUE(_xlfn._xlws.FILTER(SrcDB[ID],SrcDB[Objednavatel_ICO]=$H1118)))</f>
        <v>15</v>
      </c>
      <c r="AJ1118" s="3" cm="1">
        <f t="array" ref="AJ1118">COUNT(_xlfn.UNIQUE(_xlfn._xlws.FILTER(SrcDB[ID],SrcDB[Dodavatel_ICO]=$K1118)))</f>
        <v>8</v>
      </c>
      <c r="AK1118" s="3">
        <f t="shared" si="1214"/>
        <v>1</v>
      </c>
      <c r="AL1118" s="3">
        <f t="shared" si="1215"/>
        <v>1</v>
      </c>
      <c r="AM1118" s="17" t="str">
        <f>IF(SrcDB[[#This Row],[Pocet zmluv objednavatela]]&gt;3,SrcDB[[#This Row],[Objednavatel]],"Ostatné")</f>
        <v>Ministerstvo vnútra SR</v>
      </c>
      <c r="AN1118" s="17" t="str">
        <f>IF(SrcDB[[#This Row],[Pocet zmluv dodavatela]]&gt;3,SrcDB[[#This Row],[Dodavatel]],"Ostatné")</f>
        <v>InterWay, a.s.</v>
      </c>
    </row>
    <row r="1119" spans="1:40" x14ac:dyDescent="0.3">
      <c r="A1119" s="2" t="s">
        <v>1338</v>
      </c>
      <c r="B1119" s="2">
        <v>8239053</v>
      </c>
      <c r="C1119" s="3" t="str">
        <f t="shared" si="1208"/>
        <v>Nie</v>
      </c>
      <c r="D1119" s="3" t="str">
        <f t="shared" si="1209"/>
        <v>Áno</v>
      </c>
      <c r="E1119" s="3" t="s">
        <v>48</v>
      </c>
      <c r="F1119" s="3" t="s">
        <v>49</v>
      </c>
      <c r="G1119" s="2" t="str">
        <f t="shared" si="1210"/>
        <v>Stredné zmluvy</v>
      </c>
      <c r="H1119" s="5" t="s">
        <v>417</v>
      </c>
      <c r="I1119" s="2" t="s">
        <v>418</v>
      </c>
      <c r="J1119" s="2" t="s">
        <v>419</v>
      </c>
      <c r="K1119" s="5">
        <v>46117491</v>
      </c>
      <c r="L1119" s="2" t="s">
        <v>707</v>
      </c>
      <c r="M1119" s="2" t="s">
        <v>708</v>
      </c>
      <c r="N1119" s="6">
        <v>45162.633877314816</v>
      </c>
      <c r="O1119" s="4">
        <v>3340800</v>
      </c>
      <c r="P1119" s="2">
        <v>114571</v>
      </c>
      <c r="Q1119" s="2" t="s">
        <v>1339</v>
      </c>
      <c r="R1119" s="2" t="s">
        <v>1340</v>
      </c>
      <c r="S1119" s="2" t="s">
        <v>123</v>
      </c>
      <c r="T1119" s="2" t="s">
        <v>1341</v>
      </c>
      <c r="V1119" s="2" t="s">
        <v>583</v>
      </c>
      <c r="W1119" s="4">
        <v>280</v>
      </c>
      <c r="X1119" s="4">
        <v>336</v>
      </c>
      <c r="Y1119" s="4">
        <f t="shared" ref="Y1119" si="1242">INDEX(InternalRates,MATCH($S1119,InternalRates01,FALSE),2)</f>
        <v>231.85833333333335</v>
      </c>
      <c r="Z1119" s="3" t="str">
        <f t="shared" si="1173"/>
        <v>Nie</v>
      </c>
      <c r="AA1119" s="3" t="str">
        <f t="shared" si="1174"/>
        <v>SLA</v>
      </c>
      <c r="AB1119" s="4">
        <v>4260</v>
      </c>
      <c r="AC1119" s="4">
        <v>1420</v>
      </c>
      <c r="AD1119" s="3" t="s">
        <v>48</v>
      </c>
      <c r="AE1119" s="6">
        <v>45546</v>
      </c>
      <c r="AF1119" s="3" t="s">
        <v>59</v>
      </c>
      <c r="AG1119" s="3" t="s">
        <v>49</v>
      </c>
      <c r="AH1119" s="3">
        <f>YEAR(SrcDB[[#This Row],[Datum_zverejnenia]])</f>
        <v>2023</v>
      </c>
      <c r="AI1119" s="3" cm="1">
        <f t="array" ref="AI1119">COUNT(_xlfn.UNIQUE(_xlfn._xlws.FILTER(SrcDB[ID],SrcDB[Objednavatel_ICO]=$H1119)))</f>
        <v>5</v>
      </c>
      <c r="AJ1119" s="3" cm="1">
        <f t="array" ref="AJ1119">COUNT(_xlfn.UNIQUE(_xlfn._xlws.FILTER(SrcDB[ID],SrcDB[Dodavatel_ICO]=$K1119)))</f>
        <v>7</v>
      </c>
      <c r="AK1119" s="3">
        <f t="shared" si="1214"/>
        <v>1</v>
      </c>
      <c r="AL1119" s="3">
        <f t="shared" si="1215"/>
        <v>1</v>
      </c>
      <c r="AM1119" s="17" t="str">
        <f>IF(SrcDB[[#This Row],[Pocet zmluv objednavatela]]&gt;3,SrcDB[[#This Row],[Objednavatel]],"Ostatné")</f>
        <v>Národné centrum zdravotníckych informácií, Bratislava</v>
      </c>
      <c r="AN1119" s="17" t="str">
        <f>IF(SrcDB[[#This Row],[Pocet zmluv dodavatela]]&gt;3,SrcDB[[#This Row],[Dodavatel]],"Ostatné")</f>
        <v>JUMP soft a.s.</v>
      </c>
    </row>
    <row r="1120" spans="1:40" x14ac:dyDescent="0.3">
      <c r="A1120" s="2" t="s">
        <v>1338</v>
      </c>
      <c r="B1120" s="2">
        <v>8239053</v>
      </c>
      <c r="C1120" s="3" t="str">
        <f t="shared" si="1208"/>
        <v>Nie</v>
      </c>
      <c r="D1120" s="3" t="str">
        <f t="shared" si="1209"/>
        <v>Áno</v>
      </c>
      <c r="E1120" s="3" t="s">
        <v>48</v>
      </c>
      <c r="F1120" s="3" t="s">
        <v>49</v>
      </c>
      <c r="G1120" s="2" t="str">
        <f t="shared" si="1210"/>
        <v>Stredné zmluvy</v>
      </c>
      <c r="H1120" s="5" t="s">
        <v>417</v>
      </c>
      <c r="I1120" s="2" t="s">
        <v>418</v>
      </c>
      <c r="J1120" s="2" t="s">
        <v>419</v>
      </c>
      <c r="K1120" s="5">
        <v>46117491</v>
      </c>
      <c r="L1120" s="2" t="s">
        <v>707</v>
      </c>
      <c r="M1120" s="2" t="s">
        <v>708</v>
      </c>
      <c r="N1120" s="6">
        <v>45162.633877314816</v>
      </c>
      <c r="O1120" s="4">
        <v>3340800</v>
      </c>
      <c r="P1120" s="2">
        <v>114571</v>
      </c>
      <c r="Q1120" s="2" t="s">
        <v>1339</v>
      </c>
      <c r="R1120" s="2" t="s">
        <v>1340</v>
      </c>
      <c r="S1120" s="2" t="s">
        <v>160</v>
      </c>
      <c r="T1120" s="2" t="s">
        <v>426</v>
      </c>
      <c r="W1120" s="4">
        <v>240</v>
      </c>
      <c r="X1120" s="4">
        <v>288</v>
      </c>
      <c r="Y1120" s="4">
        <f t="shared" ref="Y1120" si="1243">INDEX(InternalRates,MATCH($S1120,InternalRates01,FALSE),2)</f>
        <v>231.85833333333335</v>
      </c>
      <c r="Z1120" s="3" t="str">
        <f t="shared" ref="Z1120:Z1183" si="1244">IF(W1120&gt;0,IF(Y1120&gt;W1120,"Áno","Nie"),"Nie")</f>
        <v>Nie</v>
      </c>
      <c r="AA1120" s="3" t="str">
        <f t="shared" ref="AA1120:AA1183" si="1245">IF(E1120="Nie","SLA",IF(F1120="Nie","ZoD","SLA+ZoD"))</f>
        <v>SLA</v>
      </c>
      <c r="AB1120" s="4">
        <v>120</v>
      </c>
      <c r="AC1120" s="4">
        <v>40</v>
      </c>
      <c r="AD1120" s="3" t="s">
        <v>48</v>
      </c>
      <c r="AE1120" s="6">
        <v>45546</v>
      </c>
      <c r="AF1120" s="3" t="s">
        <v>59</v>
      </c>
      <c r="AG1120" s="3" t="s">
        <v>49</v>
      </c>
      <c r="AH1120" s="3">
        <f>YEAR(SrcDB[[#This Row],[Datum_zverejnenia]])</f>
        <v>2023</v>
      </c>
      <c r="AI1120" s="3" cm="1">
        <f t="array" ref="AI1120">COUNT(_xlfn.UNIQUE(_xlfn._xlws.FILTER(SrcDB[ID],SrcDB[Objednavatel_ICO]=$H1120)))</f>
        <v>5</v>
      </c>
      <c r="AJ1120" s="3" cm="1">
        <f t="array" ref="AJ1120">COUNT(_xlfn.UNIQUE(_xlfn._xlws.FILTER(SrcDB[ID],SrcDB[Dodavatel_ICO]=$K1120)))</f>
        <v>7</v>
      </c>
      <c r="AK1120" s="3">
        <f t="shared" si="1214"/>
        <v>0</v>
      </c>
      <c r="AL1120" s="3">
        <f t="shared" si="1215"/>
        <v>0</v>
      </c>
      <c r="AM1120" s="17" t="str">
        <f>IF(SrcDB[[#This Row],[Pocet zmluv objednavatela]]&gt;3,SrcDB[[#This Row],[Objednavatel]],"Ostatné")</f>
        <v>Národné centrum zdravotníckych informácií, Bratislava</v>
      </c>
      <c r="AN1120" s="17" t="str">
        <f>IF(SrcDB[[#This Row],[Pocet zmluv dodavatela]]&gt;3,SrcDB[[#This Row],[Dodavatel]],"Ostatné")</f>
        <v>JUMP soft a.s.</v>
      </c>
    </row>
    <row r="1121" spans="1:40" x14ac:dyDescent="0.3">
      <c r="A1121" s="2" t="s">
        <v>523</v>
      </c>
      <c r="B1121" s="2">
        <v>8242901</v>
      </c>
      <c r="C1121" s="3" t="str">
        <f t="shared" si="1208"/>
        <v>Nejasné</v>
      </c>
      <c r="D1121" s="3" t="str">
        <f t="shared" si="1209"/>
        <v>Nejasné</v>
      </c>
      <c r="E1121" s="3" t="s">
        <v>49</v>
      </c>
      <c r="F1121" s="3" t="s">
        <v>49</v>
      </c>
      <c r="G1121" s="2" t="str">
        <f t="shared" si="1210"/>
        <v>Veľké zmluvy</v>
      </c>
      <c r="H1121" s="5">
        <v>36631124</v>
      </c>
      <c r="I1121" s="2" t="s">
        <v>104</v>
      </c>
      <c r="J1121" s="2" t="s">
        <v>105</v>
      </c>
      <c r="K1121" s="5">
        <v>17316260</v>
      </c>
      <c r="L1121" s="2" t="s">
        <v>1342</v>
      </c>
      <c r="M1121" s="2" t="s">
        <v>500</v>
      </c>
      <c r="N1121" s="6">
        <v>45163.538356481484</v>
      </c>
      <c r="O1121" s="4">
        <v>13541232.119999999</v>
      </c>
      <c r="P1121" s="2">
        <v>114573</v>
      </c>
      <c r="Q1121" s="2" t="s">
        <v>1343</v>
      </c>
      <c r="R1121" s="2" t="s">
        <v>1344</v>
      </c>
      <c r="S1121" s="2" t="s">
        <v>160</v>
      </c>
      <c r="T1121" s="2" t="s">
        <v>1345</v>
      </c>
      <c r="W1121" s="4">
        <v>320</v>
      </c>
      <c r="X1121" s="4">
        <v>384</v>
      </c>
      <c r="Y1121" s="4">
        <f t="shared" ref="Y1121" si="1246">INDEX(InternalRates,MATCH($S1121,InternalRates01,FALSE),2)</f>
        <v>231.85833333333335</v>
      </c>
      <c r="Z1121" s="3" t="str">
        <f t="shared" si="1244"/>
        <v>Nie</v>
      </c>
      <c r="AA1121" s="3" t="str">
        <f t="shared" si="1245"/>
        <v>SLA+ZoD</v>
      </c>
      <c r="AB1121" s="4">
        <v>125</v>
      </c>
      <c r="AC1121" s="4">
        <v>31.25</v>
      </c>
      <c r="AD1121" s="3" t="s">
        <v>48</v>
      </c>
      <c r="AE1121" s="6">
        <v>45546</v>
      </c>
      <c r="AF1121" s="3" t="s">
        <v>59</v>
      </c>
      <c r="AG1121" s="3" t="s">
        <v>49</v>
      </c>
      <c r="AH1121" s="3">
        <f>YEAR(SrcDB[[#This Row],[Datum_zverejnenia]])</f>
        <v>2023</v>
      </c>
      <c r="AI1121" s="3" cm="1">
        <f t="array" ref="AI1121">COUNT(_xlfn.UNIQUE(_xlfn._xlws.FILTER(SrcDB[ID],SrcDB[Objednavatel_ICO]=$H1121)))</f>
        <v>17</v>
      </c>
      <c r="AJ1121" s="3" cm="1">
        <f t="array" ref="AJ1121">COUNT(_xlfn.UNIQUE(_xlfn._xlws.FILTER(SrcDB[ID],SrcDB[Dodavatel_ICO]=$K1121)))</f>
        <v>1</v>
      </c>
      <c r="AK1121" s="3">
        <f t="shared" si="1214"/>
        <v>1</v>
      </c>
      <c r="AL1121" s="3">
        <f t="shared" si="1215"/>
        <v>1</v>
      </c>
      <c r="AM1121" s="17" t="str">
        <f>IF(SrcDB[[#This Row],[Pocet zmluv objednavatela]]&gt;3,SrcDB[[#This Row],[Objednavatel]],"Ostatné")</f>
        <v>Slovenská pošta, a. s.</v>
      </c>
      <c r="AN1121" s="17" t="str">
        <f>IF(SrcDB[[#This Row],[Pocet zmluv dodavatela]]&gt;3,SrcDB[[#This Row],[Dodavatel]],"Ostatné")</f>
        <v>Ostatné</v>
      </c>
    </row>
    <row r="1122" spans="1:40" x14ac:dyDescent="0.3">
      <c r="A1122" s="2" t="s">
        <v>1346</v>
      </c>
      <c r="B1122" s="2">
        <v>8248917</v>
      </c>
      <c r="C1122" s="3" t="str">
        <f t="shared" si="1208"/>
        <v>Áno</v>
      </c>
      <c r="D1122" s="3" t="str">
        <f t="shared" si="1209"/>
        <v>Nie</v>
      </c>
      <c r="E1122" s="3" t="s">
        <v>49</v>
      </c>
      <c r="F1122" s="3" t="s">
        <v>48</v>
      </c>
      <c r="G1122" s="2" t="str">
        <f t="shared" si="1210"/>
        <v>Malé zmluvy</v>
      </c>
      <c r="H1122" s="5" t="s">
        <v>1347</v>
      </c>
      <c r="I1122" s="2" t="s">
        <v>1348</v>
      </c>
      <c r="J1122" s="2" t="s">
        <v>1349</v>
      </c>
      <c r="K1122" s="5">
        <v>35760419</v>
      </c>
      <c r="L1122" s="2" t="s">
        <v>85</v>
      </c>
      <c r="M1122" s="2" t="s">
        <v>961</v>
      </c>
      <c r="N1122" s="6">
        <v>45166.775949074072</v>
      </c>
      <c r="O1122" s="4">
        <v>251326.54</v>
      </c>
      <c r="P1122" s="2">
        <v>6215909</v>
      </c>
      <c r="Q1122" s="2" t="s">
        <v>1350</v>
      </c>
      <c r="R1122" s="2" t="s">
        <v>1351</v>
      </c>
      <c r="S1122" s="2" t="s">
        <v>123</v>
      </c>
      <c r="T1122" s="2" t="s">
        <v>1352</v>
      </c>
      <c r="V1122" s="2" t="s">
        <v>583</v>
      </c>
      <c r="W1122" s="4">
        <v>480</v>
      </c>
      <c r="X1122" s="4">
        <v>576</v>
      </c>
      <c r="Y1122" s="4">
        <f t="shared" ref="Y1122" si="1247">INDEX(InternalRates,MATCH($S1122,InternalRates01,FALSE),2)</f>
        <v>231.85833333333335</v>
      </c>
      <c r="Z1122" s="3" t="str">
        <f t="shared" si="1244"/>
        <v>Nie</v>
      </c>
      <c r="AA1122" s="3" t="str">
        <f t="shared" si="1245"/>
        <v>ZoD</v>
      </c>
      <c r="AB1122" s="4">
        <v>24</v>
      </c>
      <c r="AC1122" s="4">
        <v>96</v>
      </c>
      <c r="AD1122" s="3" t="s">
        <v>49</v>
      </c>
      <c r="AE1122" s="6">
        <v>45546</v>
      </c>
      <c r="AF1122" s="3" t="s">
        <v>59</v>
      </c>
      <c r="AG1122" s="3" t="s">
        <v>49</v>
      </c>
      <c r="AH1122" s="3">
        <f>YEAR(SrcDB[[#This Row],[Datum_zverejnenia]])</f>
        <v>2023</v>
      </c>
      <c r="AI1122" s="3" cm="1">
        <f t="array" ref="AI1122">COUNT(_xlfn.UNIQUE(_xlfn._xlws.FILTER(SrcDB[ID],SrcDB[Objednavatel_ICO]=$H1122)))</f>
        <v>1</v>
      </c>
      <c r="AJ1122" s="3" cm="1">
        <f t="array" ref="AJ1122">COUNT(_xlfn.UNIQUE(_xlfn._xlws.FILTER(SrcDB[ID],SrcDB[Dodavatel_ICO]=$K1122)))</f>
        <v>34</v>
      </c>
      <c r="AK1122" s="3">
        <f t="shared" si="1214"/>
        <v>1</v>
      </c>
      <c r="AL1122" s="3">
        <f t="shared" si="1215"/>
        <v>1</v>
      </c>
      <c r="AM1122" s="17" t="str">
        <f>IF(SrcDB[[#This Row],[Pocet zmluv objednavatela]]&gt;3,SrcDB[[#This Row],[Objednavatel]],"Ostatné")</f>
        <v>Ostatné</v>
      </c>
      <c r="AN1122" s="17" t="str">
        <f>IF(SrcDB[[#This Row],[Pocet zmluv dodavatela]]&gt;3,SrcDB[[#This Row],[Dodavatel]],"Ostatné")</f>
        <v>Asseco Central Europe, a.s.</v>
      </c>
    </row>
    <row r="1123" spans="1:40" x14ac:dyDescent="0.3">
      <c r="A1123" s="2" t="s">
        <v>176</v>
      </c>
      <c r="B1123" s="2">
        <v>8253531</v>
      </c>
      <c r="C1123" s="3" t="str">
        <f t="shared" si="1208"/>
        <v>Áno</v>
      </c>
      <c r="D1123" s="3" t="str">
        <f t="shared" si="1209"/>
        <v>Nie</v>
      </c>
      <c r="E1123" s="3" t="s">
        <v>49</v>
      </c>
      <c r="F1123" s="3" t="s">
        <v>49</v>
      </c>
      <c r="G1123" s="2" t="str">
        <f t="shared" si="1210"/>
        <v>Malé zmluvy</v>
      </c>
      <c r="H1123" s="5">
        <v>42355826</v>
      </c>
      <c r="I1123" s="2" t="s">
        <v>1353</v>
      </c>
      <c r="J1123" s="2" t="s">
        <v>1354</v>
      </c>
      <c r="K1123" s="5">
        <v>36033987</v>
      </c>
      <c r="L1123" s="2" t="s">
        <v>296</v>
      </c>
      <c r="M1123" s="2" t="s">
        <v>1355</v>
      </c>
      <c r="N1123" s="6">
        <v>45168.669351851851</v>
      </c>
      <c r="O1123" s="4">
        <v>300072</v>
      </c>
      <c r="P1123" s="2">
        <v>114573</v>
      </c>
      <c r="Q1123" s="2" t="s">
        <v>1356</v>
      </c>
      <c r="R1123" s="2" t="s">
        <v>1357</v>
      </c>
      <c r="S1123" s="2" t="s">
        <v>123</v>
      </c>
      <c r="T1123" s="2" t="s">
        <v>1358</v>
      </c>
      <c r="V1123" s="2" t="s">
        <v>583</v>
      </c>
      <c r="W1123" s="4">
        <v>500</v>
      </c>
      <c r="X1123" s="4">
        <v>600</v>
      </c>
      <c r="Y1123" s="4">
        <f t="shared" ref="Y1123" si="1248">INDEX(InternalRates,MATCH($S1123,InternalRates01,FALSE),2)</f>
        <v>231.85833333333335</v>
      </c>
      <c r="Z1123" s="3" t="str">
        <f t="shared" si="1244"/>
        <v>Nie</v>
      </c>
      <c r="AA1123" s="3" t="str">
        <f t="shared" si="1245"/>
        <v>SLA+ZoD</v>
      </c>
      <c r="AB1123" s="4">
        <v>37</v>
      </c>
      <c r="AC1123" s="4">
        <v>37</v>
      </c>
      <c r="AD1123" s="3" t="s">
        <v>48</v>
      </c>
      <c r="AE1123" s="6">
        <v>45546</v>
      </c>
      <c r="AF1123" s="3" t="s">
        <v>59</v>
      </c>
      <c r="AG1123" s="3" t="s">
        <v>49</v>
      </c>
      <c r="AH1123" s="3">
        <f>YEAR(SrcDB[[#This Row],[Datum_zverejnenia]])</f>
        <v>2023</v>
      </c>
      <c r="AI1123" s="3" cm="1">
        <f t="array" ref="AI1123">COUNT(_xlfn.UNIQUE(_xlfn._xlws.FILTER(SrcDB[ID],SrcDB[Objednavatel_ICO]=$H1123)))</f>
        <v>1</v>
      </c>
      <c r="AJ1123" s="3" cm="1">
        <f t="array" ref="AJ1123">COUNT(_xlfn.UNIQUE(_xlfn._xlws.FILTER(SrcDB[ID],SrcDB[Dodavatel_ICO]=$K1123)))</f>
        <v>3</v>
      </c>
      <c r="AK1123" s="3">
        <f t="shared" si="1214"/>
        <v>1</v>
      </c>
      <c r="AL1123" s="3">
        <f t="shared" si="1215"/>
        <v>1</v>
      </c>
      <c r="AM1123" s="17" t="str">
        <f>IF(SrcDB[[#This Row],[Pocet zmluv objednavatela]]&gt;3,SrcDB[[#This Row],[Objednavatel]],"Ostatné")</f>
        <v>Ostatné</v>
      </c>
      <c r="AN1123" s="17" t="str">
        <f>IF(SrcDB[[#This Row],[Pocet zmluv dodavatela]]&gt;3,SrcDB[[#This Row],[Dodavatel]],"Ostatné")</f>
        <v>Ostatné</v>
      </c>
    </row>
    <row r="1124" spans="1:40" x14ac:dyDescent="0.3">
      <c r="A1124" s="2" t="s">
        <v>176</v>
      </c>
      <c r="B1124" s="2">
        <v>8253531</v>
      </c>
      <c r="C1124" s="3" t="str">
        <f t="shared" si="1208"/>
        <v>Áno</v>
      </c>
      <c r="D1124" s="3" t="str">
        <f t="shared" si="1209"/>
        <v>Nie</v>
      </c>
      <c r="E1124" s="3" t="s">
        <v>49</v>
      </c>
      <c r="F1124" s="3" t="s">
        <v>49</v>
      </c>
      <c r="G1124" s="2" t="str">
        <f t="shared" si="1210"/>
        <v>Malé zmluvy</v>
      </c>
      <c r="H1124" s="5">
        <v>42355826</v>
      </c>
      <c r="I1124" s="2" t="s">
        <v>1353</v>
      </c>
      <c r="J1124" s="2" t="s">
        <v>1354</v>
      </c>
      <c r="K1124" s="5">
        <v>36033987</v>
      </c>
      <c r="L1124" s="2" t="s">
        <v>296</v>
      </c>
      <c r="M1124" s="2" t="s">
        <v>1355</v>
      </c>
      <c r="N1124" s="6">
        <v>45168.669351851851</v>
      </c>
      <c r="O1124" s="4">
        <v>300072</v>
      </c>
      <c r="P1124" s="2">
        <v>114573</v>
      </c>
      <c r="Q1124" s="2" t="s">
        <v>1356</v>
      </c>
      <c r="R1124" s="2" t="s">
        <v>1357</v>
      </c>
      <c r="S1124" s="2" t="s">
        <v>79</v>
      </c>
      <c r="T1124" s="2" t="s">
        <v>1265</v>
      </c>
      <c r="W1124" s="4">
        <v>450</v>
      </c>
      <c r="X1124" s="4">
        <v>540</v>
      </c>
      <c r="Y1124" s="4">
        <f t="shared" ref="Y1124" si="1249">INDEX(InternalRates,MATCH($S1124,InternalRates01,FALSE),2)</f>
        <v>278.98333333333335</v>
      </c>
      <c r="Z1124" s="3" t="str">
        <f t="shared" si="1244"/>
        <v>Nie</v>
      </c>
      <c r="AA1124" s="3" t="str">
        <f t="shared" si="1245"/>
        <v>SLA+ZoD</v>
      </c>
      <c r="AB1124" s="4">
        <v>3</v>
      </c>
      <c r="AC1124" s="4">
        <v>3</v>
      </c>
      <c r="AD1124" s="3" t="s">
        <v>48</v>
      </c>
      <c r="AE1124" s="6">
        <v>45546</v>
      </c>
      <c r="AF1124" s="3" t="s">
        <v>59</v>
      </c>
      <c r="AG1124" s="3" t="s">
        <v>49</v>
      </c>
      <c r="AH1124" s="3">
        <f>YEAR(SrcDB[[#This Row],[Datum_zverejnenia]])</f>
        <v>2023</v>
      </c>
      <c r="AI1124" s="3" cm="1">
        <f t="array" ref="AI1124">COUNT(_xlfn.UNIQUE(_xlfn._xlws.FILTER(SrcDB[ID],SrcDB[Objednavatel_ICO]=$H1124)))</f>
        <v>1</v>
      </c>
      <c r="AJ1124" s="3" cm="1">
        <f t="array" ref="AJ1124">COUNT(_xlfn.UNIQUE(_xlfn._xlws.FILTER(SrcDB[ID],SrcDB[Dodavatel_ICO]=$K1124)))</f>
        <v>3</v>
      </c>
      <c r="AK1124" s="3">
        <f t="shared" si="1214"/>
        <v>0</v>
      </c>
      <c r="AL1124" s="3">
        <f t="shared" si="1215"/>
        <v>0</v>
      </c>
      <c r="AM1124" s="17" t="str">
        <f>IF(SrcDB[[#This Row],[Pocet zmluv objednavatela]]&gt;3,SrcDB[[#This Row],[Objednavatel]],"Ostatné")</f>
        <v>Ostatné</v>
      </c>
      <c r="AN1124" s="17" t="str">
        <f>IF(SrcDB[[#This Row],[Pocet zmluv dodavatela]]&gt;3,SrcDB[[#This Row],[Dodavatel]],"Ostatné")</f>
        <v>Ostatné</v>
      </c>
    </row>
    <row r="1125" spans="1:40" x14ac:dyDescent="0.3">
      <c r="A1125" s="2" t="s">
        <v>176</v>
      </c>
      <c r="B1125" s="2">
        <v>8253531</v>
      </c>
      <c r="C1125" s="3" t="str">
        <f t="shared" si="1208"/>
        <v>Áno</v>
      </c>
      <c r="D1125" s="3" t="str">
        <f t="shared" si="1209"/>
        <v>Nie</v>
      </c>
      <c r="E1125" s="3" t="s">
        <v>49</v>
      </c>
      <c r="F1125" s="3" t="s">
        <v>49</v>
      </c>
      <c r="G1125" s="2" t="str">
        <f t="shared" si="1210"/>
        <v>Malé zmluvy</v>
      </c>
      <c r="H1125" s="5">
        <v>42355826</v>
      </c>
      <c r="I1125" s="2" t="s">
        <v>1353</v>
      </c>
      <c r="J1125" s="2" t="s">
        <v>1354</v>
      </c>
      <c r="K1125" s="5">
        <v>36033987</v>
      </c>
      <c r="L1125" s="2" t="s">
        <v>296</v>
      </c>
      <c r="M1125" s="2" t="s">
        <v>1355</v>
      </c>
      <c r="N1125" s="6">
        <v>45168.669351851851</v>
      </c>
      <c r="O1125" s="4">
        <v>300072</v>
      </c>
      <c r="P1125" s="2">
        <v>114573</v>
      </c>
      <c r="Q1125" s="2" t="s">
        <v>1356</v>
      </c>
      <c r="R1125" s="2" t="s">
        <v>1357</v>
      </c>
      <c r="S1125" s="2" t="s">
        <v>77</v>
      </c>
      <c r="T1125" s="2" t="s">
        <v>1359</v>
      </c>
      <c r="W1125" s="4">
        <v>500</v>
      </c>
      <c r="X1125" s="4">
        <v>600</v>
      </c>
      <c r="Y1125" s="4">
        <f t="shared" ref="Y1125" si="1250">INDEX(InternalRates,MATCH($S1125,InternalRates01,FALSE),2)</f>
        <v>278.98333333333335</v>
      </c>
      <c r="Z1125" s="3" t="str">
        <f t="shared" si="1244"/>
        <v>Nie</v>
      </c>
      <c r="AA1125" s="3" t="str">
        <f t="shared" si="1245"/>
        <v>SLA+ZoD</v>
      </c>
      <c r="AB1125" s="4">
        <v>3</v>
      </c>
      <c r="AC1125" s="4">
        <v>3</v>
      </c>
      <c r="AD1125" s="3" t="s">
        <v>48</v>
      </c>
      <c r="AE1125" s="6">
        <v>45546</v>
      </c>
      <c r="AF1125" s="3" t="s">
        <v>59</v>
      </c>
      <c r="AG1125" s="3" t="s">
        <v>49</v>
      </c>
      <c r="AH1125" s="3">
        <f>YEAR(SrcDB[[#This Row],[Datum_zverejnenia]])</f>
        <v>2023</v>
      </c>
      <c r="AI1125" s="3" cm="1">
        <f t="array" ref="AI1125">COUNT(_xlfn.UNIQUE(_xlfn._xlws.FILTER(SrcDB[ID],SrcDB[Objednavatel_ICO]=$H1125)))</f>
        <v>1</v>
      </c>
      <c r="AJ1125" s="3" cm="1">
        <f t="array" ref="AJ1125">COUNT(_xlfn.UNIQUE(_xlfn._xlws.FILTER(SrcDB[ID],SrcDB[Dodavatel_ICO]=$K1125)))</f>
        <v>3</v>
      </c>
      <c r="AK1125" s="3">
        <f t="shared" si="1214"/>
        <v>0</v>
      </c>
      <c r="AL1125" s="3">
        <f t="shared" si="1215"/>
        <v>0</v>
      </c>
      <c r="AM1125" s="17" t="str">
        <f>IF(SrcDB[[#This Row],[Pocet zmluv objednavatela]]&gt;3,SrcDB[[#This Row],[Objednavatel]],"Ostatné")</f>
        <v>Ostatné</v>
      </c>
      <c r="AN1125" s="17" t="str">
        <f>IF(SrcDB[[#This Row],[Pocet zmluv dodavatela]]&gt;3,SrcDB[[#This Row],[Dodavatel]],"Ostatné")</f>
        <v>Ostatné</v>
      </c>
    </row>
    <row r="1126" spans="1:40" x14ac:dyDescent="0.3">
      <c r="A1126" s="2" t="s">
        <v>176</v>
      </c>
      <c r="B1126" s="2">
        <v>8253531</v>
      </c>
      <c r="C1126" s="3" t="str">
        <f t="shared" si="1208"/>
        <v>Áno</v>
      </c>
      <c r="D1126" s="3" t="str">
        <f t="shared" si="1209"/>
        <v>Nie</v>
      </c>
      <c r="E1126" s="3" t="s">
        <v>49</v>
      </c>
      <c r="F1126" s="3" t="s">
        <v>49</v>
      </c>
      <c r="G1126" s="2" t="str">
        <f t="shared" si="1210"/>
        <v>Malé zmluvy</v>
      </c>
      <c r="H1126" s="5">
        <v>42355826</v>
      </c>
      <c r="I1126" s="2" t="s">
        <v>1353</v>
      </c>
      <c r="J1126" s="2" t="s">
        <v>1354</v>
      </c>
      <c r="K1126" s="5">
        <v>36033987</v>
      </c>
      <c r="L1126" s="2" t="s">
        <v>296</v>
      </c>
      <c r="M1126" s="2" t="s">
        <v>1355</v>
      </c>
      <c r="N1126" s="6">
        <v>45168.669351851851</v>
      </c>
      <c r="O1126" s="4">
        <v>300072</v>
      </c>
      <c r="P1126" s="2">
        <v>114573</v>
      </c>
      <c r="Q1126" s="2" t="s">
        <v>1356</v>
      </c>
      <c r="R1126" s="2" t="s">
        <v>1357</v>
      </c>
      <c r="S1126" s="2" t="s">
        <v>69</v>
      </c>
      <c r="T1126" s="2" t="s">
        <v>1360</v>
      </c>
      <c r="W1126" s="4">
        <v>600</v>
      </c>
      <c r="X1126" s="4">
        <v>720</v>
      </c>
      <c r="Y1126" s="4">
        <f t="shared" ref="Y1126" si="1251">INDEX(InternalRates,MATCH($S1126,InternalRates01,FALSE),2)</f>
        <v>278.98333333333335</v>
      </c>
      <c r="Z1126" s="3" t="str">
        <f t="shared" si="1244"/>
        <v>Nie</v>
      </c>
      <c r="AA1126" s="3" t="str">
        <f t="shared" si="1245"/>
        <v>SLA+ZoD</v>
      </c>
      <c r="AB1126" s="4">
        <v>2.5</v>
      </c>
      <c r="AC1126" s="4">
        <v>2.5</v>
      </c>
      <c r="AD1126" s="3" t="s">
        <v>48</v>
      </c>
      <c r="AE1126" s="6">
        <v>45546</v>
      </c>
      <c r="AF1126" s="3" t="s">
        <v>59</v>
      </c>
      <c r="AG1126" s="3" t="s">
        <v>49</v>
      </c>
      <c r="AH1126" s="3">
        <f>YEAR(SrcDB[[#This Row],[Datum_zverejnenia]])</f>
        <v>2023</v>
      </c>
      <c r="AI1126" s="3" cm="1">
        <f t="array" ref="AI1126">COUNT(_xlfn.UNIQUE(_xlfn._xlws.FILTER(SrcDB[ID],SrcDB[Objednavatel_ICO]=$H1126)))</f>
        <v>1</v>
      </c>
      <c r="AJ1126" s="3" cm="1">
        <f t="array" ref="AJ1126">COUNT(_xlfn.UNIQUE(_xlfn._xlws.FILTER(SrcDB[ID],SrcDB[Dodavatel_ICO]=$K1126)))</f>
        <v>3</v>
      </c>
      <c r="AK1126" s="3">
        <f t="shared" si="1214"/>
        <v>0</v>
      </c>
      <c r="AL1126" s="3">
        <f t="shared" si="1215"/>
        <v>0</v>
      </c>
      <c r="AM1126" s="17" t="str">
        <f>IF(SrcDB[[#This Row],[Pocet zmluv objednavatela]]&gt;3,SrcDB[[#This Row],[Objednavatel]],"Ostatné")</f>
        <v>Ostatné</v>
      </c>
      <c r="AN1126" s="17" t="str">
        <f>IF(SrcDB[[#This Row],[Pocet zmluv dodavatela]]&gt;3,SrcDB[[#This Row],[Dodavatel]],"Ostatné")</f>
        <v>Ostatné</v>
      </c>
    </row>
    <row r="1127" spans="1:40" x14ac:dyDescent="0.3">
      <c r="A1127" s="2" t="s">
        <v>176</v>
      </c>
      <c r="B1127" s="2">
        <v>8253531</v>
      </c>
      <c r="C1127" s="3" t="str">
        <f t="shared" si="1208"/>
        <v>Áno</v>
      </c>
      <c r="D1127" s="3" t="str">
        <f t="shared" si="1209"/>
        <v>Nie</v>
      </c>
      <c r="E1127" s="3" t="s">
        <v>49</v>
      </c>
      <c r="F1127" s="3" t="s">
        <v>49</v>
      </c>
      <c r="G1127" s="2" t="str">
        <f t="shared" si="1210"/>
        <v>Malé zmluvy</v>
      </c>
      <c r="H1127" s="5">
        <v>42355826</v>
      </c>
      <c r="I1127" s="2" t="s">
        <v>1353</v>
      </c>
      <c r="J1127" s="2" t="s">
        <v>1354</v>
      </c>
      <c r="K1127" s="5">
        <v>36033987</v>
      </c>
      <c r="L1127" s="2" t="s">
        <v>296</v>
      </c>
      <c r="M1127" s="2" t="s">
        <v>1355</v>
      </c>
      <c r="N1127" s="6">
        <v>45168.669351851851</v>
      </c>
      <c r="O1127" s="4">
        <v>300072</v>
      </c>
      <c r="P1127" s="2">
        <v>114573</v>
      </c>
      <c r="Q1127" s="2" t="s">
        <v>1356</v>
      </c>
      <c r="R1127" s="2" t="s">
        <v>1357</v>
      </c>
      <c r="S1127" s="2" t="s">
        <v>56</v>
      </c>
      <c r="T1127" s="2" t="s">
        <v>448</v>
      </c>
      <c r="U1127" s="2" t="s">
        <v>449</v>
      </c>
      <c r="W1127" s="4">
        <v>600</v>
      </c>
      <c r="X1127" s="4">
        <v>720</v>
      </c>
      <c r="Y1127" s="4">
        <f t="shared" ref="Y1127" si="1252">INDEX(InternalRates,MATCH($S1127,InternalRates01,FALSE),2)</f>
        <v>278.98333333333335</v>
      </c>
      <c r="Z1127" s="3" t="str">
        <f t="shared" si="1244"/>
        <v>Nie</v>
      </c>
      <c r="AA1127" s="3" t="str">
        <f t="shared" si="1245"/>
        <v>SLA+ZoD</v>
      </c>
      <c r="AB1127" s="4">
        <v>2.5</v>
      </c>
      <c r="AC1127" s="4">
        <v>2.5</v>
      </c>
      <c r="AD1127" s="3" t="s">
        <v>48</v>
      </c>
      <c r="AE1127" s="6">
        <v>45546</v>
      </c>
      <c r="AF1127" s="3" t="s">
        <v>59</v>
      </c>
      <c r="AG1127" s="3" t="s">
        <v>49</v>
      </c>
      <c r="AH1127" s="3">
        <f>YEAR(SrcDB[[#This Row],[Datum_zverejnenia]])</f>
        <v>2023</v>
      </c>
      <c r="AI1127" s="3" cm="1">
        <f t="array" ref="AI1127">COUNT(_xlfn.UNIQUE(_xlfn._xlws.FILTER(SrcDB[ID],SrcDB[Objednavatel_ICO]=$H1127)))</f>
        <v>1</v>
      </c>
      <c r="AJ1127" s="3" cm="1">
        <f t="array" ref="AJ1127">COUNT(_xlfn.UNIQUE(_xlfn._xlws.FILTER(SrcDB[ID],SrcDB[Dodavatel_ICO]=$K1127)))</f>
        <v>3</v>
      </c>
      <c r="AK1127" s="3">
        <f t="shared" si="1214"/>
        <v>0</v>
      </c>
      <c r="AL1127" s="3">
        <f t="shared" si="1215"/>
        <v>0</v>
      </c>
      <c r="AM1127" s="17" t="str">
        <f>IF(SrcDB[[#This Row],[Pocet zmluv objednavatela]]&gt;3,SrcDB[[#This Row],[Objednavatel]],"Ostatné")</f>
        <v>Ostatné</v>
      </c>
      <c r="AN1127" s="17" t="str">
        <f>IF(SrcDB[[#This Row],[Pocet zmluv dodavatela]]&gt;3,SrcDB[[#This Row],[Dodavatel]],"Ostatné")</f>
        <v>Ostatné</v>
      </c>
    </row>
    <row r="1128" spans="1:40" x14ac:dyDescent="0.3">
      <c r="A1128" s="2" t="s">
        <v>176</v>
      </c>
      <c r="B1128" s="2">
        <v>8253531</v>
      </c>
      <c r="C1128" s="3" t="str">
        <f t="shared" si="1208"/>
        <v>Áno</v>
      </c>
      <c r="D1128" s="3" t="str">
        <f t="shared" si="1209"/>
        <v>Nie</v>
      </c>
      <c r="E1128" s="3" t="s">
        <v>49</v>
      </c>
      <c r="F1128" s="3" t="s">
        <v>49</v>
      </c>
      <c r="G1128" s="2" t="str">
        <f t="shared" si="1210"/>
        <v>Malé zmluvy</v>
      </c>
      <c r="H1128" s="5">
        <v>42355826</v>
      </c>
      <c r="I1128" s="2" t="s">
        <v>1353</v>
      </c>
      <c r="J1128" s="2" t="s">
        <v>1354</v>
      </c>
      <c r="K1128" s="5">
        <v>36033987</v>
      </c>
      <c r="L1128" s="2" t="s">
        <v>296</v>
      </c>
      <c r="M1128" s="2" t="s">
        <v>1355</v>
      </c>
      <c r="N1128" s="6">
        <v>45168.669351851851</v>
      </c>
      <c r="O1128" s="4">
        <v>300072</v>
      </c>
      <c r="P1128" s="2">
        <v>114573</v>
      </c>
      <c r="Q1128" s="2" t="s">
        <v>1356</v>
      </c>
      <c r="R1128" s="2" t="s">
        <v>1357</v>
      </c>
      <c r="S1128" s="2" t="s">
        <v>56</v>
      </c>
      <c r="T1128" s="2" t="s">
        <v>1361</v>
      </c>
      <c r="U1128" s="2" t="s">
        <v>97</v>
      </c>
      <c r="W1128" s="4">
        <v>500</v>
      </c>
      <c r="X1128" s="4">
        <v>600</v>
      </c>
      <c r="Y1128" s="4">
        <f t="shared" ref="Y1128" si="1253">INDEX(InternalRates,MATCH($S1128,InternalRates01,FALSE),2)</f>
        <v>278.98333333333335</v>
      </c>
      <c r="Z1128" s="3" t="str">
        <f t="shared" si="1244"/>
        <v>Nie</v>
      </c>
      <c r="AA1128" s="3" t="str">
        <f t="shared" si="1245"/>
        <v>SLA+ZoD</v>
      </c>
      <c r="AB1128" s="4">
        <v>14</v>
      </c>
      <c r="AC1128" s="4">
        <v>14</v>
      </c>
      <c r="AD1128" s="3" t="s">
        <v>48</v>
      </c>
      <c r="AE1128" s="6">
        <v>45546</v>
      </c>
      <c r="AF1128" s="3" t="s">
        <v>59</v>
      </c>
      <c r="AG1128" s="3" t="s">
        <v>49</v>
      </c>
      <c r="AH1128" s="3">
        <f>YEAR(SrcDB[[#This Row],[Datum_zverejnenia]])</f>
        <v>2023</v>
      </c>
      <c r="AI1128" s="3" cm="1">
        <f t="array" ref="AI1128">COUNT(_xlfn.UNIQUE(_xlfn._xlws.FILTER(SrcDB[ID],SrcDB[Objednavatel_ICO]=$H1128)))</f>
        <v>1</v>
      </c>
      <c r="AJ1128" s="3" cm="1">
        <f t="array" ref="AJ1128">COUNT(_xlfn.UNIQUE(_xlfn._xlws.FILTER(SrcDB[ID],SrcDB[Dodavatel_ICO]=$K1128)))</f>
        <v>3</v>
      </c>
      <c r="AK1128" s="3">
        <f t="shared" si="1214"/>
        <v>0</v>
      </c>
      <c r="AL1128" s="3">
        <f t="shared" si="1215"/>
        <v>0</v>
      </c>
      <c r="AM1128" s="17" t="str">
        <f>IF(SrcDB[[#This Row],[Pocet zmluv objednavatela]]&gt;3,SrcDB[[#This Row],[Objednavatel]],"Ostatné")</f>
        <v>Ostatné</v>
      </c>
      <c r="AN1128" s="17" t="str">
        <f>IF(SrcDB[[#This Row],[Pocet zmluv dodavatela]]&gt;3,SrcDB[[#This Row],[Dodavatel]],"Ostatné")</f>
        <v>Ostatné</v>
      </c>
    </row>
    <row r="1129" spans="1:40" x14ac:dyDescent="0.3">
      <c r="A1129" s="2" t="s">
        <v>176</v>
      </c>
      <c r="B1129" s="2">
        <v>8253531</v>
      </c>
      <c r="C1129" s="3" t="str">
        <f t="shared" si="1208"/>
        <v>Áno</v>
      </c>
      <c r="D1129" s="3" t="str">
        <f t="shared" si="1209"/>
        <v>Nie</v>
      </c>
      <c r="E1129" s="3" t="s">
        <v>49</v>
      </c>
      <c r="F1129" s="3" t="s">
        <v>49</v>
      </c>
      <c r="G1129" s="2" t="str">
        <f t="shared" si="1210"/>
        <v>Malé zmluvy</v>
      </c>
      <c r="H1129" s="5">
        <v>42355826</v>
      </c>
      <c r="I1129" s="2" t="s">
        <v>1353</v>
      </c>
      <c r="J1129" s="2" t="s">
        <v>1354</v>
      </c>
      <c r="K1129" s="5">
        <v>36033987</v>
      </c>
      <c r="L1129" s="2" t="s">
        <v>296</v>
      </c>
      <c r="M1129" s="2" t="s">
        <v>1355</v>
      </c>
      <c r="N1129" s="6">
        <v>45168.669351851851</v>
      </c>
      <c r="O1129" s="4">
        <v>300072</v>
      </c>
      <c r="P1129" s="2">
        <v>114573</v>
      </c>
      <c r="Q1129" s="2" t="s">
        <v>1356</v>
      </c>
      <c r="R1129" s="2" t="s">
        <v>1357</v>
      </c>
      <c r="S1129" s="2" t="s">
        <v>98</v>
      </c>
      <c r="T1129" s="2" t="s">
        <v>287</v>
      </c>
      <c r="W1129" s="4">
        <v>450</v>
      </c>
      <c r="X1129" s="4">
        <v>540</v>
      </c>
      <c r="Y1129" s="4">
        <f t="shared" ref="Y1129" si="1254">INDEX(InternalRates,MATCH($S1129,InternalRates01,FALSE),2)</f>
        <v>278.98333333333335</v>
      </c>
      <c r="Z1129" s="3" t="str">
        <f t="shared" si="1244"/>
        <v>Nie</v>
      </c>
      <c r="AA1129" s="3" t="str">
        <f t="shared" si="1245"/>
        <v>SLA+ZoD</v>
      </c>
      <c r="AB1129" s="4">
        <v>2</v>
      </c>
      <c r="AC1129" s="4">
        <v>2</v>
      </c>
      <c r="AD1129" s="3" t="s">
        <v>48</v>
      </c>
      <c r="AE1129" s="6">
        <v>45546</v>
      </c>
      <c r="AF1129" s="3" t="s">
        <v>59</v>
      </c>
      <c r="AG1129" s="3" t="s">
        <v>49</v>
      </c>
      <c r="AH1129" s="3">
        <f>YEAR(SrcDB[[#This Row],[Datum_zverejnenia]])</f>
        <v>2023</v>
      </c>
      <c r="AI1129" s="3" cm="1">
        <f t="array" ref="AI1129">COUNT(_xlfn.UNIQUE(_xlfn._xlws.FILTER(SrcDB[ID],SrcDB[Objednavatel_ICO]=$H1129)))</f>
        <v>1</v>
      </c>
      <c r="AJ1129" s="3" cm="1">
        <f t="array" ref="AJ1129">COUNT(_xlfn.UNIQUE(_xlfn._xlws.FILTER(SrcDB[ID],SrcDB[Dodavatel_ICO]=$K1129)))</f>
        <v>3</v>
      </c>
      <c r="AK1129" s="3">
        <f t="shared" si="1214"/>
        <v>0</v>
      </c>
      <c r="AL1129" s="3">
        <f t="shared" si="1215"/>
        <v>0</v>
      </c>
      <c r="AM1129" s="17" t="str">
        <f>IF(SrcDB[[#This Row],[Pocet zmluv objednavatela]]&gt;3,SrcDB[[#This Row],[Objednavatel]],"Ostatné")</f>
        <v>Ostatné</v>
      </c>
      <c r="AN1129" s="17" t="str">
        <f>IF(SrcDB[[#This Row],[Pocet zmluv dodavatela]]&gt;3,SrcDB[[#This Row],[Dodavatel]],"Ostatné")</f>
        <v>Ostatné</v>
      </c>
    </row>
    <row r="1130" spans="1:40" x14ac:dyDescent="0.3">
      <c r="A1130" s="2" t="s">
        <v>1362</v>
      </c>
      <c r="B1130" s="2">
        <v>8283486</v>
      </c>
      <c r="C1130" s="3" t="str">
        <f t="shared" si="1208"/>
        <v>Nejasné</v>
      </c>
      <c r="D1130" s="3" t="str">
        <f t="shared" si="1209"/>
        <v>Nejasné</v>
      </c>
      <c r="E1130" s="3" t="s">
        <v>48</v>
      </c>
      <c r="F1130" s="3" t="s">
        <v>49</v>
      </c>
      <c r="G1130" s="2" t="str">
        <f t="shared" si="1210"/>
        <v>Malé zmluvy</v>
      </c>
      <c r="H1130" s="5">
        <v>35850370</v>
      </c>
      <c r="I1130" s="2" t="s">
        <v>854</v>
      </c>
      <c r="J1130" s="2" t="s">
        <v>855</v>
      </c>
      <c r="K1130" s="5">
        <v>46928073</v>
      </c>
      <c r="L1130" s="2" t="s">
        <v>900</v>
      </c>
      <c r="M1130" s="2" t="s">
        <v>1078</v>
      </c>
      <c r="N1130" s="6">
        <v>45176.697858796295</v>
      </c>
      <c r="O1130" s="4">
        <v>462540</v>
      </c>
      <c r="P1130" s="2">
        <v>6215909</v>
      </c>
      <c r="Q1130" s="2" t="s">
        <v>1363</v>
      </c>
      <c r="R1130" s="2" t="s">
        <v>1364</v>
      </c>
      <c r="S1130" s="2" t="s">
        <v>160</v>
      </c>
      <c r="T1130" s="2" t="s">
        <v>1365</v>
      </c>
      <c r="W1130" s="4">
        <v>280</v>
      </c>
      <c r="X1130" s="4">
        <v>336</v>
      </c>
      <c r="Y1130" s="4">
        <f t="shared" ref="Y1130" si="1255">INDEX(InternalRates,MATCH($S1130,InternalRates01,FALSE),2)</f>
        <v>231.85833333333335</v>
      </c>
      <c r="Z1130" s="3" t="str">
        <f t="shared" si="1244"/>
        <v>Nie</v>
      </c>
      <c r="AA1130" s="3" t="str">
        <f t="shared" si="1245"/>
        <v>SLA</v>
      </c>
      <c r="AB1130" s="4">
        <v>37.5</v>
      </c>
      <c r="AC1130" s="4">
        <v>18.75</v>
      </c>
      <c r="AD1130" s="3" t="s">
        <v>48</v>
      </c>
      <c r="AE1130" s="6">
        <v>45546</v>
      </c>
      <c r="AF1130" s="3" t="s">
        <v>59</v>
      </c>
      <c r="AG1130" s="3" t="s">
        <v>49</v>
      </c>
      <c r="AH1130" s="3">
        <f>YEAR(SrcDB[[#This Row],[Datum_zverejnenia]])</f>
        <v>2023</v>
      </c>
      <c r="AI1130" s="3" cm="1">
        <f t="array" ref="AI1130">COUNT(_xlfn.UNIQUE(_xlfn._xlws.FILTER(SrcDB[ID],SrcDB[Objednavatel_ICO]=$H1130)))</f>
        <v>5</v>
      </c>
      <c r="AJ1130" s="3" cm="1">
        <f t="array" ref="AJ1130">COUNT(_xlfn.UNIQUE(_xlfn._xlws.FILTER(SrcDB[ID],SrcDB[Dodavatel_ICO]=$K1130)))</f>
        <v>4</v>
      </c>
      <c r="AK1130" s="3">
        <f t="shared" si="1214"/>
        <v>1</v>
      </c>
      <c r="AL1130" s="3">
        <f t="shared" si="1215"/>
        <v>1</v>
      </c>
      <c r="AM1130" s="17" t="str">
        <f>IF(SrcDB[[#This Row],[Pocet zmluv objednavatela]]&gt;3,SrcDB[[#This Row],[Objednavatel]],"Ostatné")</f>
        <v>Bratislavská vodárenská spoločnosť, a. s.</v>
      </c>
      <c r="AN1130" s="17" t="str">
        <f>IF(SrcDB[[#This Row],[Pocet zmluv dodavatela]]&gt;3,SrcDB[[#This Row],[Dodavatel]],"Ostatné")</f>
        <v>Synergon a.s.</v>
      </c>
    </row>
    <row r="1131" spans="1:40" x14ac:dyDescent="0.3">
      <c r="A1131" s="2" t="s">
        <v>1366</v>
      </c>
      <c r="B1131" s="2">
        <v>8319945</v>
      </c>
      <c r="C1131" s="3" t="str">
        <f t="shared" si="1208"/>
        <v>Nie</v>
      </c>
      <c r="D1131" s="3" t="str">
        <f t="shared" si="1209"/>
        <v>Áno</v>
      </c>
      <c r="E1131" s="3" t="s">
        <v>48</v>
      </c>
      <c r="F1131" s="3" t="s">
        <v>49</v>
      </c>
      <c r="G1131" s="2" t="str">
        <f t="shared" si="1210"/>
        <v>Stredné zmluvy</v>
      </c>
      <c r="H1131" s="5">
        <v>50349287</v>
      </c>
      <c r="I1131" s="2" t="s">
        <v>200</v>
      </c>
      <c r="J1131" s="2" t="s">
        <v>1027</v>
      </c>
      <c r="K1131" s="5">
        <v>46117491</v>
      </c>
      <c r="L1131" s="2" t="s">
        <v>707</v>
      </c>
      <c r="M1131" s="2" t="s">
        <v>708</v>
      </c>
      <c r="N1131" s="6">
        <v>45187.438310185185</v>
      </c>
      <c r="O1131" s="4">
        <v>2160000</v>
      </c>
      <c r="P1131" s="2">
        <v>2473554</v>
      </c>
      <c r="Q1131" s="2" t="s">
        <v>1367</v>
      </c>
      <c r="R1131" s="2" t="s">
        <v>1368</v>
      </c>
      <c r="S1131" s="2" t="s">
        <v>160</v>
      </c>
      <c r="T1131" s="2" t="s">
        <v>1365</v>
      </c>
      <c r="W1131" s="4">
        <v>380</v>
      </c>
      <c r="X1131" s="4">
        <v>456</v>
      </c>
      <c r="Y1131" s="4">
        <f t="shared" ref="Y1131" si="1256">INDEX(InternalRates,MATCH($S1131,InternalRates01,FALSE),2)</f>
        <v>231.85833333333335</v>
      </c>
      <c r="Z1131" s="3" t="str">
        <f t="shared" si="1244"/>
        <v>Nie</v>
      </c>
      <c r="AA1131" s="3" t="str">
        <f t="shared" si="1245"/>
        <v>SLA</v>
      </c>
      <c r="AB1131" s="4">
        <v>2488</v>
      </c>
      <c r="AC1131" s="4">
        <v>1244</v>
      </c>
      <c r="AD1131" s="3" t="s">
        <v>48</v>
      </c>
      <c r="AE1131" s="6">
        <v>45546</v>
      </c>
      <c r="AF1131" s="3" t="s">
        <v>59</v>
      </c>
      <c r="AG1131" s="3" t="s">
        <v>49</v>
      </c>
      <c r="AH1131" s="3">
        <f>YEAR(SrcDB[[#This Row],[Datum_zverejnenia]])</f>
        <v>2023</v>
      </c>
      <c r="AI1131" s="3" cm="1">
        <f t="array" ref="AI1131">COUNT(_xlfn.UNIQUE(_xlfn._xlws.FILTER(SrcDB[ID],SrcDB[Objednavatel_ICO]=$H1131)))</f>
        <v>7</v>
      </c>
      <c r="AJ1131" s="3" cm="1">
        <f t="array" ref="AJ1131">COUNT(_xlfn.UNIQUE(_xlfn._xlws.FILTER(SrcDB[ID],SrcDB[Dodavatel_ICO]=$K1131)))</f>
        <v>7</v>
      </c>
      <c r="AK1131" s="3">
        <f t="shared" si="1214"/>
        <v>1</v>
      </c>
      <c r="AL1131" s="3">
        <f t="shared" si="1215"/>
        <v>1</v>
      </c>
      <c r="AM1131" s="17" t="str">
        <f>IF(SrcDB[[#This Row],[Pocet zmluv objednavatela]]&gt;3,SrcDB[[#This Row],[Objednavatel]],"Ostatné")</f>
        <v>Ministerstvo investícií, regionálneho rozvoja a informatizácie Slovenskej republiky</v>
      </c>
      <c r="AN1131" s="17" t="str">
        <f>IF(SrcDB[[#This Row],[Pocet zmluv dodavatela]]&gt;3,SrcDB[[#This Row],[Dodavatel]],"Ostatné")</f>
        <v>JUMP soft a.s.</v>
      </c>
    </row>
    <row r="1132" spans="1:40" x14ac:dyDescent="0.3">
      <c r="A1132" s="2" t="s">
        <v>103</v>
      </c>
      <c r="B1132" s="2">
        <v>8355897</v>
      </c>
      <c r="C1132" s="3" t="str">
        <f t="shared" si="1208"/>
        <v>Nie</v>
      </c>
      <c r="D1132" s="3" t="str">
        <f t="shared" si="1209"/>
        <v>Áno</v>
      </c>
      <c r="E1132" s="3" t="s">
        <v>48</v>
      </c>
      <c r="F1132" s="3" t="s">
        <v>49</v>
      </c>
      <c r="G1132" s="2" t="str">
        <f t="shared" si="1210"/>
        <v>Malé zmluvy</v>
      </c>
      <c r="H1132" s="5">
        <v>36631124</v>
      </c>
      <c r="I1132" s="2" t="s">
        <v>104</v>
      </c>
      <c r="J1132" s="2" t="s">
        <v>105</v>
      </c>
      <c r="K1132" s="5">
        <v>31625410</v>
      </c>
      <c r="L1132" s="2" t="s">
        <v>106</v>
      </c>
      <c r="M1132" s="2" t="s">
        <v>107</v>
      </c>
      <c r="N1132" s="6">
        <v>45195.430486111109</v>
      </c>
      <c r="O1132" s="4">
        <v>429920</v>
      </c>
      <c r="P1132" s="2">
        <v>114573</v>
      </c>
      <c r="Q1132" s="2" t="s">
        <v>1369</v>
      </c>
      <c r="R1132" s="2" t="s">
        <v>1370</v>
      </c>
      <c r="S1132" s="2" t="s">
        <v>160</v>
      </c>
      <c r="T1132" s="2" t="s">
        <v>1371</v>
      </c>
      <c r="W1132" s="4">
        <v>600</v>
      </c>
      <c r="X1132" s="4">
        <v>720</v>
      </c>
      <c r="Y1132" s="4">
        <f t="shared" ref="Y1132" si="1257">INDEX(InternalRates,MATCH($S1132,InternalRates01,FALSE),2)</f>
        <v>231.85833333333335</v>
      </c>
      <c r="Z1132" s="3" t="str">
        <f t="shared" si="1244"/>
        <v>Nie</v>
      </c>
      <c r="AA1132" s="3" t="str">
        <f t="shared" si="1245"/>
        <v>SLA</v>
      </c>
      <c r="AB1132" s="4">
        <v>472</v>
      </c>
      <c r="AC1132" s="4">
        <v>1416</v>
      </c>
      <c r="AD1132" s="3" t="s">
        <v>48</v>
      </c>
      <c r="AE1132" s="6">
        <v>45546</v>
      </c>
      <c r="AF1132" s="3" t="s">
        <v>59</v>
      </c>
      <c r="AG1132" s="3" t="s">
        <v>60</v>
      </c>
      <c r="AH1132" s="3">
        <f>YEAR(SrcDB[[#This Row],[Datum_zverejnenia]])</f>
        <v>2023</v>
      </c>
      <c r="AI1132" s="3" cm="1">
        <f t="array" ref="AI1132">COUNT(_xlfn.UNIQUE(_xlfn._xlws.FILTER(SrcDB[ID],SrcDB[Objednavatel_ICO]=$H1132)))</f>
        <v>17</v>
      </c>
      <c r="AJ1132" s="3" cm="1">
        <f t="array" ref="AJ1132">COUNT(_xlfn.UNIQUE(_xlfn._xlws.FILTER(SrcDB[ID],SrcDB[Dodavatel_ICO]=$K1132)))</f>
        <v>2</v>
      </c>
      <c r="AK1132" s="3">
        <f t="shared" si="1214"/>
        <v>1</v>
      </c>
      <c r="AL1132" s="3">
        <f t="shared" si="1215"/>
        <v>1</v>
      </c>
      <c r="AM1132" s="17" t="str">
        <f>IF(SrcDB[[#This Row],[Pocet zmluv objednavatela]]&gt;3,SrcDB[[#This Row],[Objednavatel]],"Ostatné")</f>
        <v>Slovenská pošta, a. s.</v>
      </c>
      <c r="AN1132" s="17" t="str">
        <f>IF(SrcDB[[#This Row],[Pocet zmluv dodavatela]]&gt;3,SrcDB[[#This Row],[Dodavatel]],"Ostatné")</f>
        <v>Ostatné</v>
      </c>
    </row>
    <row r="1133" spans="1:40" x14ac:dyDescent="0.3">
      <c r="A1133" s="2" t="s">
        <v>1372</v>
      </c>
      <c r="B1133" s="2">
        <v>8320904</v>
      </c>
      <c r="C1133" s="3" t="str">
        <f t="shared" si="1208"/>
        <v>Nejasné</v>
      </c>
      <c r="D1133" s="3" t="str">
        <f t="shared" si="1209"/>
        <v>Nejasné</v>
      </c>
      <c r="E1133" s="3" t="s">
        <v>48</v>
      </c>
      <c r="F1133" s="3" t="s">
        <v>49</v>
      </c>
      <c r="G1133" s="2" t="str">
        <f t="shared" si="1210"/>
        <v>Malé zmluvy</v>
      </c>
      <c r="H1133" s="5">
        <v>35829141</v>
      </c>
      <c r="I1133" s="2" t="s">
        <v>177</v>
      </c>
      <c r="J1133" s="2" t="s">
        <v>178</v>
      </c>
      <c r="K1133" s="5">
        <v>47894458</v>
      </c>
      <c r="L1133" s="2" t="s">
        <v>1373</v>
      </c>
      <c r="M1133" s="2" t="s">
        <v>1374</v>
      </c>
      <c r="N1133" s="6">
        <v>45195.515879629631</v>
      </c>
      <c r="O1133" s="4">
        <v>221685</v>
      </c>
      <c r="P1133" s="2">
        <v>358672</v>
      </c>
      <c r="Q1133" s="2" t="s">
        <v>1375</v>
      </c>
      <c r="R1133" s="2" t="s">
        <v>1376</v>
      </c>
      <c r="S1133" s="2" t="s">
        <v>73</v>
      </c>
      <c r="T1133" s="2" t="s">
        <v>1377</v>
      </c>
      <c r="W1133" s="4">
        <v>350</v>
      </c>
      <c r="X1133" s="4">
        <v>420</v>
      </c>
      <c r="Y1133" s="4">
        <f t="shared" ref="Y1133" si="1258">INDEX(InternalRates,MATCH($S1133,InternalRates01,FALSE),2)</f>
        <v>278.98333333333335</v>
      </c>
      <c r="Z1133" s="3" t="str">
        <f t="shared" si="1244"/>
        <v>Nie</v>
      </c>
      <c r="AA1133" s="3" t="str">
        <f t="shared" si="1245"/>
        <v>SLA</v>
      </c>
      <c r="AB1133" s="4">
        <v>250</v>
      </c>
      <c r="AC1133" s="4">
        <v>50</v>
      </c>
      <c r="AD1133" s="3" t="s">
        <v>48</v>
      </c>
      <c r="AE1133" s="6">
        <v>45546</v>
      </c>
      <c r="AF1133" s="3" t="s">
        <v>59</v>
      </c>
      <c r="AG1133" s="3" t="s">
        <v>48</v>
      </c>
      <c r="AH1133" s="3">
        <f>YEAR(SrcDB[[#This Row],[Datum_zverejnenia]])</f>
        <v>2023</v>
      </c>
      <c r="AI1133" s="3" cm="1">
        <f t="array" ref="AI1133">COUNT(_xlfn.UNIQUE(_xlfn._xlws.FILTER(SrcDB[ID],SrcDB[Objednavatel_ICO]=$H1133)))</f>
        <v>8</v>
      </c>
      <c r="AJ1133" s="3" cm="1">
        <f t="array" ref="AJ1133">COUNT(_xlfn.UNIQUE(_xlfn._xlws.FILTER(SrcDB[ID],SrcDB[Dodavatel_ICO]=$K1133)))</f>
        <v>1</v>
      </c>
      <c r="AK1133" s="3">
        <f t="shared" si="1214"/>
        <v>1</v>
      </c>
      <c r="AL1133" s="3">
        <f t="shared" si="1215"/>
        <v>1</v>
      </c>
      <c r="AM1133" s="17" t="str">
        <f>IF(SrcDB[[#This Row],[Pocet zmluv objednavatela]]&gt;3,SrcDB[[#This Row],[Objednavatel]],"Ostatné")</f>
        <v>Slovenská elektrizačná prenosová sústava, a.s.</v>
      </c>
      <c r="AN1133" s="17" t="str">
        <f>IF(SrcDB[[#This Row],[Pocet zmluv dodavatela]]&gt;3,SrcDB[[#This Row],[Dodavatel]],"Ostatné")</f>
        <v>Ostatné</v>
      </c>
    </row>
    <row r="1134" spans="1:40" x14ac:dyDescent="0.3">
      <c r="A1134" s="2" t="s">
        <v>1372</v>
      </c>
      <c r="B1134" s="2">
        <v>8320904</v>
      </c>
      <c r="C1134" s="3" t="str">
        <f t="shared" si="1208"/>
        <v>Nejasné</v>
      </c>
      <c r="D1134" s="3" t="str">
        <f t="shared" si="1209"/>
        <v>Nejasné</v>
      </c>
      <c r="E1134" s="3" t="s">
        <v>48</v>
      </c>
      <c r="F1134" s="3" t="s">
        <v>49</v>
      </c>
      <c r="G1134" s="2" t="str">
        <f t="shared" si="1210"/>
        <v>Malé zmluvy</v>
      </c>
      <c r="H1134" s="5">
        <v>35829141</v>
      </c>
      <c r="I1134" s="2" t="s">
        <v>177</v>
      </c>
      <c r="J1134" s="2" t="s">
        <v>178</v>
      </c>
      <c r="K1134" s="5">
        <v>47894458</v>
      </c>
      <c r="L1134" s="2" t="s">
        <v>1373</v>
      </c>
      <c r="M1134" s="2" t="s">
        <v>1374</v>
      </c>
      <c r="N1134" s="6">
        <v>45195.515879629631</v>
      </c>
      <c r="O1134" s="4">
        <v>221685</v>
      </c>
      <c r="P1134" s="2">
        <v>358672</v>
      </c>
      <c r="Q1134" s="2" t="s">
        <v>1375</v>
      </c>
      <c r="R1134" s="2" t="s">
        <v>1376</v>
      </c>
      <c r="S1134" s="2" t="s">
        <v>102</v>
      </c>
      <c r="T1134" s="2" t="s">
        <v>1378</v>
      </c>
      <c r="W1134" s="4">
        <v>350</v>
      </c>
      <c r="X1134" s="4">
        <v>420</v>
      </c>
      <c r="Y1134" s="4">
        <f t="shared" ref="Y1134" si="1259">INDEX(InternalRates,MATCH($S1134,InternalRates01,FALSE),2)</f>
        <v>278.98333333333335</v>
      </c>
      <c r="Z1134" s="3" t="str">
        <f t="shared" si="1244"/>
        <v>Nie</v>
      </c>
      <c r="AA1134" s="3" t="str">
        <f t="shared" si="1245"/>
        <v>SLA</v>
      </c>
      <c r="AB1134" s="4">
        <v>856.25</v>
      </c>
      <c r="AC1134" s="4">
        <v>171.25</v>
      </c>
      <c r="AD1134" s="3" t="s">
        <v>48</v>
      </c>
      <c r="AE1134" s="6">
        <v>45546</v>
      </c>
      <c r="AF1134" s="3" t="s">
        <v>59</v>
      </c>
      <c r="AG1134" s="3" t="s">
        <v>48</v>
      </c>
      <c r="AH1134" s="3">
        <f>YEAR(SrcDB[[#This Row],[Datum_zverejnenia]])</f>
        <v>2023</v>
      </c>
      <c r="AI1134" s="3" cm="1">
        <f t="array" ref="AI1134">COUNT(_xlfn.UNIQUE(_xlfn._xlws.FILTER(SrcDB[ID],SrcDB[Objednavatel_ICO]=$H1134)))</f>
        <v>8</v>
      </c>
      <c r="AJ1134" s="3" cm="1">
        <f t="array" ref="AJ1134">COUNT(_xlfn.UNIQUE(_xlfn._xlws.FILTER(SrcDB[ID],SrcDB[Dodavatel_ICO]=$K1134)))</f>
        <v>1</v>
      </c>
      <c r="AK1134" s="3">
        <f t="shared" si="1214"/>
        <v>0</v>
      </c>
      <c r="AL1134" s="3">
        <f t="shared" si="1215"/>
        <v>0</v>
      </c>
      <c r="AM1134" s="17" t="str">
        <f>IF(SrcDB[[#This Row],[Pocet zmluv objednavatela]]&gt;3,SrcDB[[#This Row],[Objednavatel]],"Ostatné")</f>
        <v>Slovenská elektrizačná prenosová sústava, a.s.</v>
      </c>
      <c r="AN1134" s="17" t="str">
        <f>IF(SrcDB[[#This Row],[Pocet zmluv dodavatela]]&gt;3,SrcDB[[#This Row],[Dodavatel]],"Ostatné")</f>
        <v>Ostatné</v>
      </c>
    </row>
    <row r="1135" spans="1:40" x14ac:dyDescent="0.3">
      <c r="A1135" s="2" t="s">
        <v>1372</v>
      </c>
      <c r="B1135" s="2">
        <v>8320904</v>
      </c>
      <c r="C1135" s="3" t="str">
        <f t="shared" si="1208"/>
        <v>Nejasné</v>
      </c>
      <c r="D1135" s="3" t="str">
        <f t="shared" si="1209"/>
        <v>Nejasné</v>
      </c>
      <c r="E1135" s="3" t="s">
        <v>48</v>
      </c>
      <c r="F1135" s="3" t="s">
        <v>49</v>
      </c>
      <c r="G1135" s="2" t="str">
        <f t="shared" si="1210"/>
        <v>Malé zmluvy</v>
      </c>
      <c r="H1135" s="5">
        <v>35829141</v>
      </c>
      <c r="I1135" s="2" t="s">
        <v>177</v>
      </c>
      <c r="J1135" s="2" t="s">
        <v>178</v>
      </c>
      <c r="K1135" s="5">
        <v>47894458</v>
      </c>
      <c r="L1135" s="2" t="s">
        <v>1373</v>
      </c>
      <c r="M1135" s="2" t="s">
        <v>1374</v>
      </c>
      <c r="N1135" s="6">
        <v>45195.515879629631</v>
      </c>
      <c r="O1135" s="4">
        <v>221685</v>
      </c>
      <c r="P1135" s="2">
        <v>358672</v>
      </c>
      <c r="Q1135" s="2" t="s">
        <v>1375</v>
      </c>
      <c r="R1135" s="2" t="s">
        <v>1376</v>
      </c>
      <c r="S1135" s="2" t="s">
        <v>98</v>
      </c>
      <c r="T1135" s="2" t="s">
        <v>1379</v>
      </c>
      <c r="W1135" s="4">
        <v>350</v>
      </c>
      <c r="X1135" s="4">
        <v>420</v>
      </c>
      <c r="Y1135" s="4">
        <f t="shared" ref="Y1135" si="1260">INDEX(InternalRates,MATCH($S1135,InternalRates01,FALSE),2)</f>
        <v>278.98333333333335</v>
      </c>
      <c r="Z1135" s="3" t="str">
        <f t="shared" si="1244"/>
        <v>Nie</v>
      </c>
      <c r="AA1135" s="3" t="str">
        <f t="shared" si="1245"/>
        <v>SLA</v>
      </c>
      <c r="AB1135" s="4">
        <v>15</v>
      </c>
      <c r="AC1135" s="4">
        <v>3</v>
      </c>
      <c r="AD1135" s="3" t="s">
        <v>48</v>
      </c>
      <c r="AE1135" s="6">
        <v>45546</v>
      </c>
      <c r="AF1135" s="3" t="s">
        <v>59</v>
      </c>
      <c r="AG1135" s="3" t="s">
        <v>48</v>
      </c>
      <c r="AH1135" s="3">
        <f>YEAR(SrcDB[[#This Row],[Datum_zverejnenia]])</f>
        <v>2023</v>
      </c>
      <c r="AI1135" s="3" cm="1">
        <f t="array" ref="AI1135">COUNT(_xlfn.UNIQUE(_xlfn._xlws.FILTER(SrcDB[ID],SrcDB[Objednavatel_ICO]=$H1135)))</f>
        <v>8</v>
      </c>
      <c r="AJ1135" s="3" cm="1">
        <f t="array" ref="AJ1135">COUNT(_xlfn.UNIQUE(_xlfn._xlws.FILTER(SrcDB[ID],SrcDB[Dodavatel_ICO]=$K1135)))</f>
        <v>1</v>
      </c>
      <c r="AK1135" s="3">
        <f t="shared" si="1214"/>
        <v>0</v>
      </c>
      <c r="AL1135" s="3">
        <f t="shared" si="1215"/>
        <v>0</v>
      </c>
      <c r="AM1135" s="17" t="str">
        <f>IF(SrcDB[[#This Row],[Pocet zmluv objednavatela]]&gt;3,SrcDB[[#This Row],[Objednavatel]],"Ostatné")</f>
        <v>Slovenská elektrizačná prenosová sústava, a.s.</v>
      </c>
      <c r="AN1135" s="17" t="str">
        <f>IF(SrcDB[[#This Row],[Pocet zmluv dodavatela]]&gt;3,SrcDB[[#This Row],[Dodavatel]],"Ostatné")</f>
        <v>Ostatné</v>
      </c>
    </row>
    <row r="1136" spans="1:40" x14ac:dyDescent="0.3">
      <c r="A1136" s="2" t="s">
        <v>1372</v>
      </c>
      <c r="B1136" s="2">
        <v>8320904</v>
      </c>
      <c r="C1136" s="3" t="str">
        <f t="shared" si="1208"/>
        <v>Nejasné</v>
      </c>
      <c r="D1136" s="3" t="str">
        <f t="shared" si="1209"/>
        <v>Nejasné</v>
      </c>
      <c r="E1136" s="3" t="s">
        <v>48</v>
      </c>
      <c r="F1136" s="3" t="s">
        <v>49</v>
      </c>
      <c r="G1136" s="2" t="str">
        <f t="shared" si="1210"/>
        <v>Malé zmluvy</v>
      </c>
      <c r="H1136" s="5">
        <v>35829141</v>
      </c>
      <c r="I1136" s="2" t="s">
        <v>177</v>
      </c>
      <c r="J1136" s="2" t="s">
        <v>178</v>
      </c>
      <c r="K1136" s="5">
        <v>47894458</v>
      </c>
      <c r="L1136" s="2" t="s">
        <v>1373</v>
      </c>
      <c r="M1136" s="2" t="s">
        <v>1374</v>
      </c>
      <c r="N1136" s="6">
        <v>45195.515879629631</v>
      </c>
      <c r="O1136" s="4">
        <v>221685</v>
      </c>
      <c r="P1136" s="2">
        <v>358672</v>
      </c>
      <c r="Q1136" s="2" t="s">
        <v>1375</v>
      </c>
      <c r="R1136" s="2" t="s">
        <v>1376</v>
      </c>
      <c r="S1136" s="2" t="s">
        <v>56</v>
      </c>
      <c r="T1136" s="2" t="s">
        <v>1380</v>
      </c>
      <c r="U1136" s="2" t="s">
        <v>76</v>
      </c>
      <c r="W1136" s="4">
        <v>350</v>
      </c>
      <c r="X1136" s="4">
        <v>420</v>
      </c>
      <c r="Y1136" s="4">
        <f t="shared" ref="Y1136" si="1261">INDEX(InternalRates,MATCH($S1136,InternalRates01,FALSE),2)</f>
        <v>278.98333333333335</v>
      </c>
      <c r="Z1136" s="3" t="str">
        <f t="shared" si="1244"/>
        <v>Nie</v>
      </c>
      <c r="AA1136" s="3" t="str">
        <f t="shared" si="1245"/>
        <v>SLA</v>
      </c>
      <c r="AB1136" s="4">
        <v>375</v>
      </c>
      <c r="AC1136" s="4">
        <v>75</v>
      </c>
      <c r="AD1136" s="3" t="s">
        <v>48</v>
      </c>
      <c r="AE1136" s="6">
        <v>45546</v>
      </c>
      <c r="AF1136" s="3" t="s">
        <v>59</v>
      </c>
      <c r="AG1136" s="3" t="s">
        <v>48</v>
      </c>
      <c r="AH1136" s="3">
        <f>YEAR(SrcDB[[#This Row],[Datum_zverejnenia]])</f>
        <v>2023</v>
      </c>
      <c r="AI1136" s="3" cm="1">
        <f t="array" ref="AI1136">COUNT(_xlfn.UNIQUE(_xlfn._xlws.FILTER(SrcDB[ID],SrcDB[Objednavatel_ICO]=$H1136)))</f>
        <v>8</v>
      </c>
      <c r="AJ1136" s="3" cm="1">
        <f t="array" ref="AJ1136">COUNT(_xlfn.UNIQUE(_xlfn._xlws.FILTER(SrcDB[ID],SrcDB[Dodavatel_ICO]=$K1136)))</f>
        <v>1</v>
      </c>
      <c r="AK1136" s="3">
        <f t="shared" si="1214"/>
        <v>0</v>
      </c>
      <c r="AL1136" s="3">
        <f t="shared" si="1215"/>
        <v>0</v>
      </c>
      <c r="AM1136" s="17" t="str">
        <f>IF(SrcDB[[#This Row],[Pocet zmluv objednavatela]]&gt;3,SrcDB[[#This Row],[Objednavatel]],"Ostatné")</f>
        <v>Slovenská elektrizačná prenosová sústava, a.s.</v>
      </c>
      <c r="AN1136" s="17" t="str">
        <f>IF(SrcDB[[#This Row],[Pocet zmluv dodavatela]]&gt;3,SrcDB[[#This Row],[Dodavatel]],"Ostatné")</f>
        <v>Ostatné</v>
      </c>
    </row>
    <row r="1137" spans="1:40" x14ac:dyDescent="0.3">
      <c r="A1137" s="2" t="s">
        <v>1381</v>
      </c>
      <c r="B1137" s="2">
        <v>8359337</v>
      </c>
      <c r="C1137" s="3" t="str">
        <f t="shared" si="1208"/>
        <v>Áno</v>
      </c>
      <c r="D1137" s="3" t="str">
        <f t="shared" si="1209"/>
        <v>Nie</v>
      </c>
      <c r="E1137" s="3" t="s">
        <v>49</v>
      </c>
      <c r="F1137" s="3" t="s">
        <v>48</v>
      </c>
      <c r="G1137" s="2" t="str">
        <f t="shared" si="1210"/>
        <v>Malé zmluvy</v>
      </c>
      <c r="H1137" s="5">
        <v>35778458</v>
      </c>
      <c r="I1137" s="2" t="s">
        <v>1039</v>
      </c>
      <c r="J1137" s="2" t="s">
        <v>1040</v>
      </c>
      <c r="K1137" s="5">
        <v>31365078</v>
      </c>
      <c r="L1137" s="2" t="s">
        <v>877</v>
      </c>
      <c r="M1137" s="2" t="s">
        <v>878</v>
      </c>
      <c r="N1137" s="6">
        <v>45195.704016203701</v>
      </c>
      <c r="O1137" s="4">
        <v>222201.48</v>
      </c>
      <c r="P1137" s="2">
        <v>114573</v>
      </c>
      <c r="Q1137" s="2" t="s">
        <v>1382</v>
      </c>
      <c r="R1137" s="2" t="s">
        <v>1383</v>
      </c>
      <c r="S1137" s="2" t="s">
        <v>56</v>
      </c>
      <c r="T1137" s="2" t="s">
        <v>1384</v>
      </c>
      <c r="U1137" s="2" t="s">
        <v>460</v>
      </c>
      <c r="W1137" s="4">
        <v>651.08000000000004</v>
      </c>
      <c r="X1137" s="4">
        <v>781.29600000000005</v>
      </c>
      <c r="Y1137" s="4">
        <f t="shared" ref="Y1137" si="1262">INDEX(InternalRates,MATCH($S1137,InternalRates01,FALSE),2)</f>
        <v>278.98333333333335</v>
      </c>
      <c r="Z1137" s="3" t="str">
        <f t="shared" si="1244"/>
        <v>Nie</v>
      </c>
      <c r="AA1137" s="3" t="str">
        <f t="shared" si="1245"/>
        <v>ZoD</v>
      </c>
      <c r="AB1137" s="4">
        <v>22.5</v>
      </c>
      <c r="AC1137" s="4">
        <v>34.090909090909086</v>
      </c>
      <c r="AD1137" s="3" t="s">
        <v>48</v>
      </c>
      <c r="AE1137" s="6">
        <v>45546</v>
      </c>
      <c r="AF1137" s="3" t="s">
        <v>59</v>
      </c>
      <c r="AG1137" s="3" t="s">
        <v>48</v>
      </c>
      <c r="AH1137" s="3">
        <f>YEAR(SrcDB[[#This Row],[Datum_zverejnenia]])</f>
        <v>2023</v>
      </c>
      <c r="AI1137" s="3" cm="1">
        <f t="array" ref="AI1137">COUNT(_xlfn.UNIQUE(_xlfn._xlws.FILTER(SrcDB[ID],SrcDB[Objednavatel_ICO]=$H1137)))</f>
        <v>3</v>
      </c>
      <c r="AJ1137" s="3" cm="1">
        <f t="array" ref="AJ1137">COUNT(_xlfn.UNIQUE(_xlfn._xlws.FILTER(SrcDB[ID],SrcDB[Dodavatel_ICO]=$K1137)))</f>
        <v>2</v>
      </c>
      <c r="AK1137" s="3">
        <f t="shared" si="1214"/>
        <v>1</v>
      </c>
      <c r="AL1137" s="3">
        <f t="shared" si="1215"/>
        <v>1</v>
      </c>
      <c r="AM1137" s="17" t="str">
        <f>IF(SrcDB[[#This Row],[Pocet zmluv objednavatela]]&gt;3,SrcDB[[#This Row],[Objednavatel]],"Ostatné")</f>
        <v>Ostatné</v>
      </c>
      <c r="AN1137" s="17" t="str">
        <f>IF(SrcDB[[#This Row],[Pocet zmluv dodavatela]]&gt;3,SrcDB[[#This Row],[Dodavatel]],"Ostatné")</f>
        <v>Ostatné</v>
      </c>
    </row>
    <row r="1138" spans="1:40" x14ac:dyDescent="0.3">
      <c r="A1138" s="2" t="s">
        <v>1381</v>
      </c>
      <c r="B1138" s="2">
        <v>8359337</v>
      </c>
      <c r="C1138" s="3" t="str">
        <f t="shared" si="1208"/>
        <v>Áno</v>
      </c>
      <c r="D1138" s="3" t="str">
        <f t="shared" si="1209"/>
        <v>Nie</v>
      </c>
      <c r="E1138" s="3" t="s">
        <v>49</v>
      </c>
      <c r="F1138" s="3" t="s">
        <v>48</v>
      </c>
      <c r="G1138" s="2" t="str">
        <f t="shared" si="1210"/>
        <v>Malé zmluvy</v>
      </c>
      <c r="H1138" s="5">
        <v>35778458</v>
      </c>
      <c r="I1138" s="2" t="s">
        <v>1039</v>
      </c>
      <c r="J1138" s="2" t="s">
        <v>1040</v>
      </c>
      <c r="K1138" s="5">
        <v>31365078</v>
      </c>
      <c r="L1138" s="2" t="s">
        <v>877</v>
      </c>
      <c r="M1138" s="2" t="s">
        <v>878</v>
      </c>
      <c r="N1138" s="6">
        <v>45195.704016203701</v>
      </c>
      <c r="O1138" s="4">
        <v>222201.48</v>
      </c>
      <c r="P1138" s="2">
        <v>114573</v>
      </c>
      <c r="Q1138" s="2" t="s">
        <v>1382</v>
      </c>
      <c r="R1138" s="2" t="s">
        <v>1383</v>
      </c>
      <c r="S1138" s="2" t="s">
        <v>123</v>
      </c>
      <c r="T1138" s="2" t="s">
        <v>1385</v>
      </c>
      <c r="V1138" s="2" t="s">
        <v>583</v>
      </c>
      <c r="W1138" s="4">
        <v>527.9</v>
      </c>
      <c r="X1138" s="4">
        <v>633.4799999999999</v>
      </c>
      <c r="Y1138" s="4">
        <f t="shared" ref="Y1138" si="1263">INDEX(InternalRates,MATCH($S1138,InternalRates01,FALSE),2)</f>
        <v>231.85833333333335</v>
      </c>
      <c r="Z1138" s="3" t="str">
        <f t="shared" si="1244"/>
        <v>Nie</v>
      </c>
      <c r="AA1138" s="3" t="str">
        <f t="shared" si="1245"/>
        <v>ZoD</v>
      </c>
      <c r="AB1138" s="4">
        <v>115</v>
      </c>
      <c r="AC1138" s="4">
        <v>174.24242424242422</v>
      </c>
      <c r="AD1138" s="3" t="s">
        <v>48</v>
      </c>
      <c r="AE1138" s="6">
        <v>45546</v>
      </c>
      <c r="AF1138" s="3" t="s">
        <v>59</v>
      </c>
      <c r="AG1138" s="3" t="s">
        <v>48</v>
      </c>
      <c r="AH1138" s="3">
        <f>YEAR(SrcDB[[#This Row],[Datum_zverejnenia]])</f>
        <v>2023</v>
      </c>
      <c r="AI1138" s="3" cm="1">
        <f t="array" ref="AI1138">COUNT(_xlfn.UNIQUE(_xlfn._xlws.FILTER(SrcDB[ID],SrcDB[Objednavatel_ICO]=$H1138)))</f>
        <v>3</v>
      </c>
      <c r="AJ1138" s="3" cm="1">
        <f t="array" ref="AJ1138">COUNT(_xlfn.UNIQUE(_xlfn._xlws.FILTER(SrcDB[ID],SrcDB[Dodavatel_ICO]=$K1138)))</f>
        <v>2</v>
      </c>
      <c r="AK1138" s="3">
        <f t="shared" si="1214"/>
        <v>0</v>
      </c>
      <c r="AL1138" s="3">
        <f t="shared" si="1215"/>
        <v>0</v>
      </c>
      <c r="AM1138" s="17" t="str">
        <f>IF(SrcDB[[#This Row],[Pocet zmluv objednavatela]]&gt;3,SrcDB[[#This Row],[Objednavatel]],"Ostatné")</f>
        <v>Ostatné</v>
      </c>
      <c r="AN1138" s="17" t="str">
        <f>IF(SrcDB[[#This Row],[Pocet zmluv dodavatela]]&gt;3,SrcDB[[#This Row],[Dodavatel]],"Ostatné")</f>
        <v>Ostatné</v>
      </c>
    </row>
    <row r="1139" spans="1:40" x14ac:dyDescent="0.3">
      <c r="A1139" s="2" t="s">
        <v>1381</v>
      </c>
      <c r="B1139" s="2">
        <v>8359337</v>
      </c>
      <c r="C1139" s="3" t="str">
        <f t="shared" si="1208"/>
        <v>Áno</v>
      </c>
      <c r="D1139" s="3" t="str">
        <f t="shared" si="1209"/>
        <v>Nie</v>
      </c>
      <c r="E1139" s="3" t="s">
        <v>49</v>
      </c>
      <c r="F1139" s="3" t="s">
        <v>48</v>
      </c>
      <c r="G1139" s="2" t="str">
        <f t="shared" si="1210"/>
        <v>Malé zmluvy</v>
      </c>
      <c r="H1139" s="5">
        <v>35778458</v>
      </c>
      <c r="I1139" s="2" t="s">
        <v>1039</v>
      </c>
      <c r="J1139" s="2" t="s">
        <v>1040</v>
      </c>
      <c r="K1139" s="5">
        <v>31365078</v>
      </c>
      <c r="L1139" s="2" t="s">
        <v>877</v>
      </c>
      <c r="M1139" s="2" t="s">
        <v>878</v>
      </c>
      <c r="N1139" s="6">
        <v>45195.704016203701</v>
      </c>
      <c r="O1139" s="4">
        <v>222201.48</v>
      </c>
      <c r="P1139" s="2">
        <v>114573</v>
      </c>
      <c r="Q1139" s="2" t="s">
        <v>1382</v>
      </c>
      <c r="R1139" s="2" t="s">
        <v>1383</v>
      </c>
      <c r="S1139" s="2" t="s">
        <v>79</v>
      </c>
      <c r="T1139" s="2" t="s">
        <v>1386</v>
      </c>
      <c r="W1139" s="4">
        <v>389.05</v>
      </c>
      <c r="X1139" s="4">
        <v>466.86</v>
      </c>
      <c r="Y1139" s="4">
        <f t="shared" ref="Y1139" si="1264">INDEX(InternalRates,MATCH($S1139,InternalRates01,FALSE),2)</f>
        <v>278.98333333333335</v>
      </c>
      <c r="Z1139" s="3" t="str">
        <f t="shared" si="1244"/>
        <v>Nie</v>
      </c>
      <c r="AA1139" s="3" t="str">
        <f t="shared" si="1245"/>
        <v>ZoD</v>
      </c>
      <c r="AB1139" s="4">
        <v>29</v>
      </c>
      <c r="AC1139" s="4">
        <v>43.939393939393938</v>
      </c>
      <c r="AD1139" s="3" t="s">
        <v>48</v>
      </c>
      <c r="AE1139" s="6">
        <v>45546</v>
      </c>
      <c r="AF1139" s="3" t="s">
        <v>59</v>
      </c>
      <c r="AG1139" s="3" t="s">
        <v>48</v>
      </c>
      <c r="AH1139" s="3">
        <f>YEAR(SrcDB[[#This Row],[Datum_zverejnenia]])</f>
        <v>2023</v>
      </c>
      <c r="AI1139" s="3" cm="1">
        <f t="array" ref="AI1139">COUNT(_xlfn.UNIQUE(_xlfn._xlws.FILTER(SrcDB[ID],SrcDB[Objednavatel_ICO]=$H1139)))</f>
        <v>3</v>
      </c>
      <c r="AJ1139" s="3" cm="1">
        <f t="array" ref="AJ1139">COUNT(_xlfn.UNIQUE(_xlfn._xlws.FILTER(SrcDB[ID],SrcDB[Dodavatel_ICO]=$K1139)))</f>
        <v>2</v>
      </c>
      <c r="AK1139" s="3">
        <f t="shared" si="1214"/>
        <v>0</v>
      </c>
      <c r="AL1139" s="3">
        <f t="shared" si="1215"/>
        <v>0</v>
      </c>
      <c r="AM1139" s="17" t="str">
        <f>IF(SrcDB[[#This Row],[Pocet zmluv objednavatela]]&gt;3,SrcDB[[#This Row],[Objednavatel]],"Ostatné")</f>
        <v>Ostatné</v>
      </c>
      <c r="AN1139" s="17" t="str">
        <f>IF(SrcDB[[#This Row],[Pocet zmluv dodavatela]]&gt;3,SrcDB[[#This Row],[Dodavatel]],"Ostatné")</f>
        <v>Ostatné</v>
      </c>
    </row>
    <row r="1140" spans="1:40" x14ac:dyDescent="0.3">
      <c r="A1140" s="2" t="s">
        <v>1381</v>
      </c>
      <c r="B1140" s="2">
        <v>8359337</v>
      </c>
      <c r="C1140" s="3" t="str">
        <f t="shared" si="1208"/>
        <v>Áno</v>
      </c>
      <c r="D1140" s="3" t="str">
        <f t="shared" si="1209"/>
        <v>Nie</v>
      </c>
      <c r="E1140" s="3" t="s">
        <v>49</v>
      </c>
      <c r="F1140" s="3" t="s">
        <v>48</v>
      </c>
      <c r="G1140" s="2" t="str">
        <f t="shared" si="1210"/>
        <v>Malé zmluvy</v>
      </c>
      <c r="H1140" s="5">
        <v>35778458</v>
      </c>
      <c r="I1140" s="2" t="s">
        <v>1039</v>
      </c>
      <c r="J1140" s="2" t="s">
        <v>1040</v>
      </c>
      <c r="K1140" s="5">
        <v>31365078</v>
      </c>
      <c r="L1140" s="2" t="s">
        <v>877</v>
      </c>
      <c r="M1140" s="2" t="s">
        <v>878</v>
      </c>
      <c r="N1140" s="6">
        <v>45195.704016203701</v>
      </c>
      <c r="O1140" s="4">
        <v>222201.48</v>
      </c>
      <c r="P1140" s="2">
        <v>114573</v>
      </c>
      <c r="Q1140" s="2" t="s">
        <v>1382</v>
      </c>
      <c r="R1140" s="2" t="s">
        <v>1383</v>
      </c>
      <c r="S1140" s="2" t="s">
        <v>123</v>
      </c>
      <c r="T1140" s="2" t="s">
        <v>1387</v>
      </c>
      <c r="V1140" s="2" t="s">
        <v>58</v>
      </c>
      <c r="W1140" s="4">
        <v>458.96</v>
      </c>
      <c r="X1140" s="4">
        <v>550.75199999999995</v>
      </c>
      <c r="Y1140" s="4">
        <f t="shared" ref="Y1140" si="1265">INDEX(InternalRates,MATCH($S1140,InternalRates01,FALSE),2)</f>
        <v>231.85833333333335</v>
      </c>
      <c r="Z1140" s="3" t="str">
        <f t="shared" si="1244"/>
        <v>Nie</v>
      </c>
      <c r="AA1140" s="3" t="str">
        <f t="shared" si="1245"/>
        <v>ZoD</v>
      </c>
      <c r="AB1140" s="4">
        <v>4</v>
      </c>
      <c r="AC1140" s="4">
        <v>6.0606060606060606</v>
      </c>
      <c r="AD1140" s="3" t="s">
        <v>48</v>
      </c>
      <c r="AE1140" s="6">
        <v>45546</v>
      </c>
      <c r="AF1140" s="3" t="s">
        <v>59</v>
      </c>
      <c r="AG1140" s="3" t="s">
        <v>48</v>
      </c>
      <c r="AH1140" s="3">
        <f>YEAR(SrcDB[[#This Row],[Datum_zverejnenia]])</f>
        <v>2023</v>
      </c>
      <c r="AI1140" s="3" cm="1">
        <f t="array" ref="AI1140">COUNT(_xlfn.UNIQUE(_xlfn._xlws.FILTER(SrcDB[ID],SrcDB[Objednavatel_ICO]=$H1140)))</f>
        <v>3</v>
      </c>
      <c r="AJ1140" s="3" cm="1">
        <f t="array" ref="AJ1140">COUNT(_xlfn.UNIQUE(_xlfn._xlws.FILTER(SrcDB[ID],SrcDB[Dodavatel_ICO]=$K1140)))</f>
        <v>2</v>
      </c>
      <c r="AK1140" s="3">
        <f t="shared" si="1214"/>
        <v>0</v>
      </c>
      <c r="AL1140" s="3">
        <f t="shared" si="1215"/>
        <v>0</v>
      </c>
      <c r="AM1140" s="17" t="str">
        <f>IF(SrcDB[[#This Row],[Pocet zmluv objednavatela]]&gt;3,SrcDB[[#This Row],[Objednavatel]],"Ostatné")</f>
        <v>Ostatné</v>
      </c>
      <c r="AN1140" s="17" t="str">
        <f>IF(SrcDB[[#This Row],[Pocet zmluv dodavatela]]&gt;3,SrcDB[[#This Row],[Dodavatel]],"Ostatné")</f>
        <v>Ostatné</v>
      </c>
    </row>
    <row r="1141" spans="1:40" x14ac:dyDescent="0.3">
      <c r="A1141" s="2" t="s">
        <v>1381</v>
      </c>
      <c r="B1141" s="2">
        <v>8359337</v>
      </c>
      <c r="C1141" s="3" t="str">
        <f t="shared" si="1208"/>
        <v>Áno</v>
      </c>
      <c r="D1141" s="3" t="str">
        <f t="shared" si="1209"/>
        <v>Nie</v>
      </c>
      <c r="E1141" s="3" t="s">
        <v>49</v>
      </c>
      <c r="F1141" s="3" t="s">
        <v>48</v>
      </c>
      <c r="G1141" s="2" t="str">
        <f t="shared" si="1210"/>
        <v>Malé zmluvy</v>
      </c>
      <c r="H1141" s="5">
        <v>35778458</v>
      </c>
      <c r="I1141" s="2" t="s">
        <v>1039</v>
      </c>
      <c r="J1141" s="2" t="s">
        <v>1040</v>
      </c>
      <c r="K1141" s="5">
        <v>31365078</v>
      </c>
      <c r="L1141" s="2" t="s">
        <v>877</v>
      </c>
      <c r="M1141" s="2" t="s">
        <v>878</v>
      </c>
      <c r="N1141" s="6">
        <v>45195.704016203701</v>
      </c>
      <c r="O1141" s="4">
        <v>222201.48</v>
      </c>
      <c r="P1141" s="2">
        <v>114573</v>
      </c>
      <c r="Q1141" s="2" t="s">
        <v>1382</v>
      </c>
      <c r="R1141" s="2" t="s">
        <v>1383</v>
      </c>
      <c r="S1141" s="2" t="s">
        <v>69</v>
      </c>
      <c r="T1141" s="2" t="s">
        <v>1388</v>
      </c>
      <c r="W1141" s="4">
        <v>716.29</v>
      </c>
      <c r="X1141" s="4">
        <v>859.54799999999989</v>
      </c>
      <c r="Y1141" s="4">
        <f t="shared" ref="Y1141" si="1266">INDEX(InternalRates,MATCH($S1141,InternalRates01,FALSE),2)</f>
        <v>278.98333333333335</v>
      </c>
      <c r="Z1141" s="3" t="str">
        <f t="shared" si="1244"/>
        <v>Nie</v>
      </c>
      <c r="AA1141" s="3" t="str">
        <f t="shared" si="1245"/>
        <v>ZoD</v>
      </c>
      <c r="AB1141" s="4">
        <v>22.75</v>
      </c>
      <c r="AC1141" s="4">
        <v>34.469696969696969</v>
      </c>
      <c r="AD1141" s="3" t="s">
        <v>48</v>
      </c>
      <c r="AE1141" s="6">
        <v>45546</v>
      </c>
      <c r="AF1141" s="3" t="s">
        <v>59</v>
      </c>
      <c r="AG1141" s="3" t="s">
        <v>48</v>
      </c>
      <c r="AH1141" s="3">
        <f>YEAR(SrcDB[[#This Row],[Datum_zverejnenia]])</f>
        <v>2023</v>
      </c>
      <c r="AI1141" s="3" cm="1">
        <f t="array" ref="AI1141">COUNT(_xlfn.UNIQUE(_xlfn._xlws.FILTER(SrcDB[ID],SrcDB[Objednavatel_ICO]=$H1141)))</f>
        <v>3</v>
      </c>
      <c r="AJ1141" s="3" cm="1">
        <f t="array" ref="AJ1141">COUNT(_xlfn.UNIQUE(_xlfn._xlws.FILTER(SrcDB[ID],SrcDB[Dodavatel_ICO]=$K1141)))</f>
        <v>2</v>
      </c>
      <c r="AK1141" s="3">
        <f t="shared" si="1214"/>
        <v>0</v>
      </c>
      <c r="AL1141" s="3">
        <f t="shared" si="1215"/>
        <v>0</v>
      </c>
      <c r="AM1141" s="17" t="str">
        <f>IF(SrcDB[[#This Row],[Pocet zmluv objednavatela]]&gt;3,SrcDB[[#This Row],[Objednavatel]],"Ostatné")</f>
        <v>Ostatné</v>
      </c>
      <c r="AN1141" s="17" t="str">
        <f>IF(SrcDB[[#This Row],[Pocet zmluv dodavatela]]&gt;3,SrcDB[[#This Row],[Dodavatel]],"Ostatné")</f>
        <v>Ostatné</v>
      </c>
    </row>
    <row r="1142" spans="1:40" x14ac:dyDescent="0.3">
      <c r="A1142" s="2" t="s">
        <v>1381</v>
      </c>
      <c r="B1142" s="2">
        <v>8359337</v>
      </c>
      <c r="C1142" s="3" t="str">
        <f t="shared" si="1208"/>
        <v>Áno</v>
      </c>
      <c r="D1142" s="3" t="str">
        <f t="shared" si="1209"/>
        <v>Nie</v>
      </c>
      <c r="E1142" s="3" t="s">
        <v>49</v>
      </c>
      <c r="F1142" s="3" t="s">
        <v>48</v>
      </c>
      <c r="G1142" s="2" t="str">
        <f t="shared" si="1210"/>
        <v>Malé zmluvy</v>
      </c>
      <c r="H1142" s="5">
        <v>35778458</v>
      </c>
      <c r="I1142" s="2" t="s">
        <v>1039</v>
      </c>
      <c r="J1142" s="2" t="s">
        <v>1040</v>
      </c>
      <c r="K1142" s="5">
        <v>31365078</v>
      </c>
      <c r="L1142" s="2" t="s">
        <v>877</v>
      </c>
      <c r="M1142" s="2" t="s">
        <v>878</v>
      </c>
      <c r="N1142" s="6">
        <v>45195.704016203701</v>
      </c>
      <c r="O1142" s="4">
        <v>222201.48</v>
      </c>
      <c r="P1142" s="2">
        <v>114573</v>
      </c>
      <c r="Q1142" s="2" t="s">
        <v>1382</v>
      </c>
      <c r="R1142" s="2" t="s">
        <v>1383</v>
      </c>
      <c r="S1142" s="2" t="s">
        <v>160</v>
      </c>
      <c r="T1142" s="2" t="s">
        <v>1389</v>
      </c>
      <c r="W1142" s="4">
        <v>684.61</v>
      </c>
      <c r="X1142" s="4">
        <v>821.53200000000004</v>
      </c>
      <c r="Y1142" s="4">
        <f t="shared" ref="Y1142" si="1267">INDEX(InternalRates,MATCH($S1142,InternalRates01,FALSE),2)</f>
        <v>231.85833333333335</v>
      </c>
      <c r="Z1142" s="3" t="str">
        <f t="shared" si="1244"/>
        <v>Nie</v>
      </c>
      <c r="AA1142" s="3" t="str">
        <f t="shared" si="1245"/>
        <v>ZoD</v>
      </c>
      <c r="AB1142" s="4">
        <v>30.25</v>
      </c>
      <c r="AC1142" s="4">
        <v>45.833333333333329</v>
      </c>
      <c r="AD1142" s="3" t="s">
        <v>48</v>
      </c>
      <c r="AE1142" s="6">
        <v>45546</v>
      </c>
      <c r="AF1142" s="3" t="s">
        <v>59</v>
      </c>
      <c r="AG1142" s="3" t="s">
        <v>48</v>
      </c>
      <c r="AH1142" s="3">
        <f>YEAR(SrcDB[[#This Row],[Datum_zverejnenia]])</f>
        <v>2023</v>
      </c>
      <c r="AI1142" s="3" cm="1">
        <f t="array" ref="AI1142">COUNT(_xlfn.UNIQUE(_xlfn._xlws.FILTER(SrcDB[ID],SrcDB[Objednavatel_ICO]=$H1142)))</f>
        <v>3</v>
      </c>
      <c r="AJ1142" s="3" cm="1">
        <f t="array" ref="AJ1142">COUNT(_xlfn.UNIQUE(_xlfn._xlws.FILTER(SrcDB[ID],SrcDB[Dodavatel_ICO]=$K1142)))</f>
        <v>2</v>
      </c>
      <c r="AK1142" s="3">
        <f t="shared" si="1214"/>
        <v>0</v>
      </c>
      <c r="AL1142" s="3">
        <f t="shared" si="1215"/>
        <v>0</v>
      </c>
      <c r="AM1142" s="17" t="str">
        <f>IF(SrcDB[[#This Row],[Pocet zmluv objednavatela]]&gt;3,SrcDB[[#This Row],[Objednavatel]],"Ostatné")</f>
        <v>Ostatné</v>
      </c>
      <c r="AN1142" s="17" t="str">
        <f>IF(SrcDB[[#This Row],[Pocet zmluv dodavatela]]&gt;3,SrcDB[[#This Row],[Dodavatel]],"Ostatné")</f>
        <v>Ostatné</v>
      </c>
    </row>
    <row r="1143" spans="1:40" x14ac:dyDescent="0.3">
      <c r="A1143" s="2" t="s">
        <v>176</v>
      </c>
      <c r="B1143" s="2">
        <v>8391307</v>
      </c>
      <c r="C1143" s="3" t="str">
        <f t="shared" si="1208"/>
        <v>Áno</v>
      </c>
      <c r="D1143" s="3" t="str">
        <f t="shared" si="1209"/>
        <v>Nie</v>
      </c>
      <c r="E1143" s="3" t="s">
        <v>49</v>
      </c>
      <c r="F1143" s="3" t="s">
        <v>48</v>
      </c>
      <c r="G1143" s="2" t="str">
        <f t="shared" si="1210"/>
        <v>Stredné zmluvy</v>
      </c>
      <c r="H1143" s="5">
        <v>30807484</v>
      </c>
      <c r="I1143" s="2" t="s">
        <v>50</v>
      </c>
      <c r="J1143" s="2" t="s">
        <v>51</v>
      </c>
      <c r="K1143" s="5">
        <v>45919887</v>
      </c>
      <c r="L1143" s="2" t="s">
        <v>1390</v>
      </c>
      <c r="M1143" s="2" t="s">
        <v>1391</v>
      </c>
      <c r="N1143" s="6">
        <v>45202.570115740738</v>
      </c>
      <c r="O1143" s="4">
        <v>1052256</v>
      </c>
      <c r="P1143" s="2">
        <v>114493</v>
      </c>
      <c r="Q1143" s="2" t="s">
        <v>1392</v>
      </c>
      <c r="R1143" s="2" t="s">
        <v>1393</v>
      </c>
      <c r="S1143" s="2" t="s">
        <v>73</v>
      </c>
      <c r="T1143" s="2" t="s">
        <v>1394</v>
      </c>
      <c r="W1143" s="4">
        <v>320</v>
      </c>
      <c r="X1143" s="4">
        <v>384</v>
      </c>
      <c r="Y1143" s="4">
        <f t="shared" ref="Y1143" si="1268">INDEX(InternalRates,MATCH($S1143,InternalRates01,FALSE),2)</f>
        <v>278.98333333333335</v>
      </c>
      <c r="Z1143" s="3" t="str">
        <f t="shared" si="1244"/>
        <v>Nie</v>
      </c>
      <c r="AA1143" s="3" t="str">
        <f t="shared" si="1245"/>
        <v>ZoD</v>
      </c>
      <c r="AB1143" s="4">
        <v>759</v>
      </c>
      <c r="AC1143" s="4">
        <v>379.5</v>
      </c>
      <c r="AD1143" s="3" t="s">
        <v>48</v>
      </c>
      <c r="AE1143" s="6">
        <v>45546</v>
      </c>
      <c r="AF1143" s="3" t="s">
        <v>59</v>
      </c>
      <c r="AG1143" s="3" t="s">
        <v>48</v>
      </c>
      <c r="AH1143" s="3">
        <f>YEAR(SrcDB[[#This Row],[Datum_zverejnenia]])</f>
        <v>2023</v>
      </c>
      <c r="AI1143" s="3" cm="1">
        <f t="array" ref="AI1143">COUNT(_xlfn.UNIQUE(_xlfn._xlws.FILTER(SrcDB[ID],SrcDB[Objednavatel_ICO]=$H1143)))</f>
        <v>14</v>
      </c>
      <c r="AJ1143" s="3" cm="1">
        <f t="array" ref="AJ1143">COUNT(_xlfn.UNIQUE(_xlfn._xlws.FILTER(SrcDB[ID],SrcDB[Dodavatel_ICO]=$K1143)))</f>
        <v>3</v>
      </c>
      <c r="AK1143" s="3">
        <f t="shared" si="1214"/>
        <v>1</v>
      </c>
      <c r="AL1143" s="3">
        <f t="shared" si="1215"/>
        <v>1</v>
      </c>
      <c r="AM1143" s="17" t="str">
        <f>IF(SrcDB[[#This Row],[Pocet zmluv objednavatela]]&gt;3,SrcDB[[#This Row],[Objednavatel]],"Ostatné")</f>
        <v>Sociálna poisťovňa, ústredie</v>
      </c>
      <c r="AN1143" s="17" t="str">
        <f>IF(SrcDB[[#This Row],[Pocet zmluv dodavatela]]&gt;3,SrcDB[[#This Row],[Dodavatel]],"Ostatné")</f>
        <v>Ostatné</v>
      </c>
    </row>
    <row r="1144" spans="1:40" x14ac:dyDescent="0.3">
      <c r="A1144" s="2" t="s">
        <v>176</v>
      </c>
      <c r="B1144" s="2">
        <v>8391307</v>
      </c>
      <c r="C1144" s="3" t="str">
        <f t="shared" si="1208"/>
        <v>Áno</v>
      </c>
      <c r="D1144" s="3" t="str">
        <f t="shared" si="1209"/>
        <v>Nie</v>
      </c>
      <c r="E1144" s="3" t="s">
        <v>49</v>
      </c>
      <c r="F1144" s="3" t="s">
        <v>48</v>
      </c>
      <c r="G1144" s="2" t="str">
        <f t="shared" si="1210"/>
        <v>Stredné zmluvy</v>
      </c>
      <c r="H1144" s="5">
        <v>30807484</v>
      </c>
      <c r="I1144" s="2" t="s">
        <v>50</v>
      </c>
      <c r="J1144" s="2" t="s">
        <v>51</v>
      </c>
      <c r="K1144" s="5">
        <v>45919887</v>
      </c>
      <c r="L1144" s="2" t="s">
        <v>1390</v>
      </c>
      <c r="M1144" s="2" t="s">
        <v>1391</v>
      </c>
      <c r="N1144" s="6">
        <v>45202.570115740738</v>
      </c>
      <c r="O1144" s="4">
        <v>1052256</v>
      </c>
      <c r="P1144" s="2">
        <v>114493</v>
      </c>
      <c r="Q1144" s="2" t="s">
        <v>1392</v>
      </c>
      <c r="R1144" s="2" t="s">
        <v>1393</v>
      </c>
      <c r="S1144" s="2" t="s">
        <v>183</v>
      </c>
      <c r="T1144" s="2" t="s">
        <v>183</v>
      </c>
      <c r="W1144" s="4">
        <v>320</v>
      </c>
      <c r="X1144" s="4">
        <v>384</v>
      </c>
      <c r="Y1144" s="4">
        <f t="shared" ref="Y1144" si="1269">INDEX(InternalRates,MATCH($S1144,InternalRates01,FALSE),2)</f>
        <v>278.98333333333335</v>
      </c>
      <c r="Z1144" s="3" t="str">
        <f t="shared" si="1244"/>
        <v>Nie</v>
      </c>
      <c r="AA1144" s="3" t="str">
        <f t="shared" si="1245"/>
        <v>ZoD</v>
      </c>
      <c r="AB1144" s="4">
        <v>1950</v>
      </c>
      <c r="AC1144" s="4">
        <v>975</v>
      </c>
      <c r="AD1144" s="3" t="s">
        <v>48</v>
      </c>
      <c r="AE1144" s="6">
        <v>45546</v>
      </c>
      <c r="AF1144" s="3" t="s">
        <v>59</v>
      </c>
      <c r="AG1144" s="3" t="s">
        <v>48</v>
      </c>
      <c r="AH1144" s="3">
        <f>YEAR(SrcDB[[#This Row],[Datum_zverejnenia]])</f>
        <v>2023</v>
      </c>
      <c r="AI1144" s="3" cm="1">
        <f t="array" ref="AI1144">COUNT(_xlfn.UNIQUE(_xlfn._xlws.FILTER(SrcDB[ID],SrcDB[Objednavatel_ICO]=$H1144)))</f>
        <v>14</v>
      </c>
      <c r="AJ1144" s="3" cm="1">
        <f t="array" ref="AJ1144">COUNT(_xlfn.UNIQUE(_xlfn._xlws.FILTER(SrcDB[ID],SrcDB[Dodavatel_ICO]=$K1144)))</f>
        <v>3</v>
      </c>
      <c r="AK1144" s="3">
        <f t="shared" si="1214"/>
        <v>0</v>
      </c>
      <c r="AL1144" s="3">
        <f t="shared" si="1215"/>
        <v>0</v>
      </c>
      <c r="AM1144" s="17" t="str">
        <f>IF(SrcDB[[#This Row],[Pocet zmluv objednavatela]]&gt;3,SrcDB[[#This Row],[Objednavatel]],"Ostatné")</f>
        <v>Sociálna poisťovňa, ústredie</v>
      </c>
      <c r="AN1144" s="17" t="str">
        <f>IF(SrcDB[[#This Row],[Pocet zmluv dodavatela]]&gt;3,SrcDB[[#This Row],[Dodavatel]],"Ostatné")</f>
        <v>Ostatné</v>
      </c>
    </row>
    <row r="1145" spans="1:40" x14ac:dyDescent="0.3">
      <c r="A1145" s="2" t="s">
        <v>1151</v>
      </c>
      <c r="B1145" s="2">
        <v>8391361</v>
      </c>
      <c r="C1145" s="3" t="str">
        <f t="shared" si="1208"/>
        <v>Nejasné</v>
      </c>
      <c r="D1145" s="3" t="str">
        <f t="shared" si="1209"/>
        <v>Nejasné</v>
      </c>
      <c r="E1145" s="3" t="s">
        <v>48</v>
      </c>
      <c r="F1145" s="3" t="s">
        <v>49</v>
      </c>
      <c r="G1145" s="2" t="str">
        <f t="shared" si="1210"/>
        <v>Stredné zmluvy</v>
      </c>
      <c r="H1145" s="5">
        <v>30807484</v>
      </c>
      <c r="I1145" s="2" t="s">
        <v>50</v>
      </c>
      <c r="J1145" s="2" t="s">
        <v>51</v>
      </c>
      <c r="K1145" s="5">
        <v>45919887</v>
      </c>
      <c r="L1145" s="2" t="s">
        <v>1390</v>
      </c>
      <c r="M1145" s="2" t="s">
        <v>1395</v>
      </c>
      <c r="N1145" s="6">
        <v>45202.572870370372</v>
      </c>
      <c r="O1145" s="4">
        <v>1891200</v>
      </c>
      <c r="P1145" s="2">
        <v>114493</v>
      </c>
      <c r="Q1145" s="2" t="s">
        <v>1396</v>
      </c>
      <c r="R1145" s="2" t="s">
        <v>1397</v>
      </c>
      <c r="S1145" s="2" t="s">
        <v>183</v>
      </c>
      <c r="T1145" s="2" t="s">
        <v>183</v>
      </c>
      <c r="W1145" s="4">
        <v>304</v>
      </c>
      <c r="X1145" s="4">
        <v>364.8</v>
      </c>
      <c r="Y1145" s="4">
        <f t="shared" ref="Y1145" si="1270">INDEX(InternalRates,MATCH($S1145,InternalRates01,FALSE),2)</f>
        <v>278.98333333333335</v>
      </c>
      <c r="Z1145" s="3" t="str">
        <f t="shared" si="1244"/>
        <v>Nie</v>
      </c>
      <c r="AA1145" s="3" t="str">
        <f t="shared" si="1245"/>
        <v>SLA</v>
      </c>
      <c r="AB1145" s="4">
        <v>4000</v>
      </c>
      <c r="AC1145" s="4">
        <v>1000</v>
      </c>
      <c r="AD1145" s="3" t="s">
        <v>48</v>
      </c>
      <c r="AE1145" s="6">
        <v>45546</v>
      </c>
      <c r="AF1145" s="3" t="s">
        <v>59</v>
      </c>
      <c r="AG1145" s="3" t="s">
        <v>48</v>
      </c>
      <c r="AH1145" s="3">
        <f>YEAR(SrcDB[[#This Row],[Datum_zverejnenia]])</f>
        <v>2023</v>
      </c>
      <c r="AI1145" s="3" cm="1">
        <f t="array" ref="AI1145">COUNT(_xlfn.UNIQUE(_xlfn._xlws.FILTER(SrcDB[ID],SrcDB[Objednavatel_ICO]=$H1145)))</f>
        <v>14</v>
      </c>
      <c r="AJ1145" s="3" cm="1">
        <f t="array" ref="AJ1145">COUNT(_xlfn.UNIQUE(_xlfn._xlws.FILTER(SrcDB[ID],SrcDB[Dodavatel_ICO]=$K1145)))</f>
        <v>3</v>
      </c>
      <c r="AK1145" s="3">
        <f t="shared" si="1214"/>
        <v>1</v>
      </c>
      <c r="AL1145" s="3">
        <f t="shared" si="1215"/>
        <v>1</v>
      </c>
      <c r="AM1145" s="17" t="str">
        <f>IF(SrcDB[[#This Row],[Pocet zmluv objednavatela]]&gt;3,SrcDB[[#This Row],[Objednavatel]],"Ostatné")</f>
        <v>Sociálna poisťovňa, ústredie</v>
      </c>
      <c r="AN1145" s="17" t="str">
        <f>IF(SrcDB[[#This Row],[Pocet zmluv dodavatela]]&gt;3,SrcDB[[#This Row],[Dodavatel]],"Ostatné")</f>
        <v>Ostatné</v>
      </c>
    </row>
    <row r="1146" spans="1:40" x14ac:dyDescent="0.3">
      <c r="A1146" s="2" t="s">
        <v>1151</v>
      </c>
      <c r="B1146" s="2">
        <v>8534933</v>
      </c>
      <c r="C1146" s="3" t="str">
        <f t="shared" si="1208"/>
        <v>Nejasné</v>
      </c>
      <c r="D1146" s="3" t="str">
        <f t="shared" si="1209"/>
        <v>Nejasné</v>
      </c>
      <c r="E1146" s="3" t="s">
        <v>48</v>
      </c>
      <c r="F1146" s="3" t="s">
        <v>49</v>
      </c>
      <c r="G1146" s="2" t="str">
        <f t="shared" si="1210"/>
        <v>Veľké zmluvy</v>
      </c>
      <c r="H1146" s="5">
        <v>30807484</v>
      </c>
      <c r="I1146" s="2" t="s">
        <v>50</v>
      </c>
      <c r="J1146" s="2" t="s">
        <v>51</v>
      </c>
      <c r="K1146" s="5">
        <v>45919887</v>
      </c>
      <c r="L1146" s="2" t="s">
        <v>1390</v>
      </c>
      <c r="M1146" s="2" t="s">
        <v>1395</v>
      </c>
      <c r="N1146" s="6">
        <v>45236.71738425926</v>
      </c>
      <c r="O1146" s="4">
        <v>15300406.27</v>
      </c>
      <c r="P1146" s="2">
        <v>114493</v>
      </c>
      <c r="Q1146" s="2" t="s">
        <v>1398</v>
      </c>
      <c r="R1146" s="2" t="s">
        <v>1399</v>
      </c>
      <c r="S1146" s="2" t="s">
        <v>183</v>
      </c>
      <c r="T1146" s="2" t="s">
        <v>183</v>
      </c>
      <c r="W1146" s="4">
        <v>760.69</v>
      </c>
      <c r="X1146" s="4">
        <v>912.82800000000009</v>
      </c>
      <c r="Y1146" s="4">
        <f t="shared" ref="Y1146" si="1271">INDEX(InternalRates,MATCH($S1146,InternalRates01,FALSE),2)</f>
        <v>278.98333333333335</v>
      </c>
      <c r="Z1146" s="3" t="str">
        <f t="shared" si="1244"/>
        <v>Nie</v>
      </c>
      <c r="AA1146" s="3" t="str">
        <f t="shared" si="1245"/>
        <v>SLA</v>
      </c>
      <c r="AB1146" s="4">
        <v>2900</v>
      </c>
      <c r="AC1146" s="4">
        <v>725</v>
      </c>
      <c r="AD1146" s="3" t="s">
        <v>48</v>
      </c>
      <c r="AE1146" s="6">
        <v>45539</v>
      </c>
      <c r="AF1146" s="3" t="s">
        <v>59</v>
      </c>
      <c r="AG1146" s="3" t="s">
        <v>49</v>
      </c>
      <c r="AH1146" s="3">
        <f>YEAR(SrcDB[[#This Row],[Datum_zverejnenia]])</f>
        <v>2023</v>
      </c>
      <c r="AI1146" s="3" cm="1">
        <f t="array" ref="AI1146">COUNT(_xlfn.UNIQUE(_xlfn._xlws.FILTER(SrcDB[ID],SrcDB[Objednavatel_ICO]=$H1146)))</f>
        <v>14</v>
      </c>
      <c r="AJ1146" s="3" cm="1">
        <f t="array" ref="AJ1146">COUNT(_xlfn.UNIQUE(_xlfn._xlws.FILTER(SrcDB[ID],SrcDB[Dodavatel_ICO]=$K1146)))</f>
        <v>3</v>
      </c>
      <c r="AK1146" s="3">
        <f t="shared" si="1214"/>
        <v>1</v>
      </c>
      <c r="AL1146" s="3">
        <f t="shared" si="1215"/>
        <v>1</v>
      </c>
      <c r="AM1146" s="17" t="str">
        <f>IF(SrcDB[[#This Row],[Pocet zmluv objednavatela]]&gt;3,SrcDB[[#This Row],[Objednavatel]],"Ostatné")</f>
        <v>Sociálna poisťovňa, ústredie</v>
      </c>
      <c r="AN1146" s="17" t="str">
        <f>IF(SrcDB[[#This Row],[Pocet zmluv dodavatela]]&gt;3,SrcDB[[#This Row],[Dodavatel]],"Ostatné")</f>
        <v>Ostatné</v>
      </c>
    </row>
    <row r="1147" spans="1:40" x14ac:dyDescent="0.3">
      <c r="A1147" s="2" t="s">
        <v>1400</v>
      </c>
      <c r="B1147" s="2">
        <v>8554544</v>
      </c>
      <c r="C1147" s="3" t="str">
        <f t="shared" si="1208"/>
        <v>Nejasné</v>
      </c>
      <c r="D1147" s="3" t="str">
        <f t="shared" si="1209"/>
        <v>Nejasné</v>
      </c>
      <c r="E1147" s="3" t="s">
        <v>48</v>
      </c>
      <c r="F1147" s="3" t="s">
        <v>49</v>
      </c>
      <c r="G1147" s="2" t="str">
        <f t="shared" si="1210"/>
        <v>Malé zmluvy</v>
      </c>
      <c r="H1147" s="5">
        <v>42499500</v>
      </c>
      <c r="I1147" s="2" t="s">
        <v>464</v>
      </c>
      <c r="J1147" s="2" t="s">
        <v>465</v>
      </c>
      <c r="K1147" s="5">
        <v>35760419</v>
      </c>
      <c r="L1147" s="2" t="s">
        <v>85</v>
      </c>
      <c r="N1147" s="6">
        <v>45239.483055555553</v>
      </c>
      <c r="O1147" s="4">
        <v>225895.97</v>
      </c>
      <c r="P1147" s="2">
        <v>114725</v>
      </c>
      <c r="Q1147" s="2" t="s">
        <v>1401</v>
      </c>
      <c r="R1147" s="2" t="s">
        <v>1402</v>
      </c>
      <c r="S1147" s="2" t="s">
        <v>73</v>
      </c>
      <c r="T1147" s="2" t="s">
        <v>73</v>
      </c>
      <c r="W1147" s="4">
        <v>642.48</v>
      </c>
      <c r="X1147" s="4">
        <v>770.976</v>
      </c>
      <c r="Y1147" s="4">
        <f t="shared" ref="Y1147" si="1272">INDEX(InternalRates,MATCH($S1147,InternalRates01,FALSE),2)</f>
        <v>278.98333333333335</v>
      </c>
      <c r="Z1147" s="3" t="str">
        <f t="shared" si="1244"/>
        <v>Nie</v>
      </c>
      <c r="AA1147" s="3" t="str">
        <f t="shared" si="1245"/>
        <v>SLA</v>
      </c>
      <c r="AB1147" s="4">
        <v>65</v>
      </c>
      <c r="AC1147" s="4">
        <v>196.96969696969697</v>
      </c>
      <c r="AD1147" s="3" t="s">
        <v>49</v>
      </c>
      <c r="AE1147" s="6">
        <v>45539</v>
      </c>
      <c r="AF1147" s="3" t="s">
        <v>59</v>
      </c>
      <c r="AG1147" s="3" t="s">
        <v>49</v>
      </c>
      <c r="AH1147" s="3">
        <f>YEAR(SrcDB[[#This Row],[Datum_zverejnenia]])</f>
        <v>2023</v>
      </c>
      <c r="AI1147" s="3" cm="1">
        <f t="array" ref="AI1147">COUNT(_xlfn.UNIQUE(_xlfn._xlws.FILTER(SrcDB[ID],SrcDB[Objednavatel_ICO]=$H1147)))</f>
        <v>25</v>
      </c>
      <c r="AJ1147" s="3" cm="1">
        <f t="array" ref="AJ1147">COUNT(_xlfn.UNIQUE(_xlfn._xlws.FILTER(SrcDB[ID],SrcDB[Dodavatel_ICO]=$K1147)))</f>
        <v>34</v>
      </c>
      <c r="AK1147" s="3">
        <f t="shared" si="1214"/>
        <v>1</v>
      </c>
      <c r="AL1147" s="3">
        <f t="shared" si="1215"/>
        <v>1</v>
      </c>
      <c r="AM1147" s="17" t="str">
        <f>IF(SrcDB[[#This Row],[Pocet zmluv objednavatela]]&gt;3,SrcDB[[#This Row],[Objednavatel]],"Ostatné")</f>
        <v>Finančné riaditeľstvo SR</v>
      </c>
      <c r="AN1147" s="17" t="str">
        <f>IF(SrcDB[[#This Row],[Pocet zmluv dodavatela]]&gt;3,SrcDB[[#This Row],[Dodavatel]],"Ostatné")</f>
        <v>Asseco Central Europe, a.s.</v>
      </c>
    </row>
    <row r="1148" spans="1:40" x14ac:dyDescent="0.3">
      <c r="A1148" s="2" t="s">
        <v>1400</v>
      </c>
      <c r="B1148" s="2">
        <v>8554544</v>
      </c>
      <c r="C1148" s="3" t="str">
        <f t="shared" si="1208"/>
        <v>Nejasné</v>
      </c>
      <c r="D1148" s="3" t="str">
        <f t="shared" si="1209"/>
        <v>Nejasné</v>
      </c>
      <c r="E1148" s="3" t="s">
        <v>48</v>
      </c>
      <c r="F1148" s="3" t="s">
        <v>49</v>
      </c>
      <c r="G1148" s="2" t="str">
        <f t="shared" si="1210"/>
        <v>Malé zmluvy</v>
      </c>
      <c r="H1148" s="5">
        <v>42499500</v>
      </c>
      <c r="I1148" s="2" t="s">
        <v>464</v>
      </c>
      <c r="J1148" s="2" t="s">
        <v>465</v>
      </c>
      <c r="K1148" s="5">
        <v>35760419</v>
      </c>
      <c r="L1148" s="2" t="s">
        <v>85</v>
      </c>
      <c r="N1148" s="6">
        <v>45239.483055555553</v>
      </c>
      <c r="O1148" s="4">
        <v>225895.97</v>
      </c>
      <c r="P1148" s="2">
        <v>114725</v>
      </c>
      <c r="Q1148" s="2" t="s">
        <v>1401</v>
      </c>
      <c r="R1148" s="2" t="s">
        <v>1402</v>
      </c>
      <c r="S1148" s="2" t="s">
        <v>56</v>
      </c>
      <c r="T1148" s="2" t="s">
        <v>460</v>
      </c>
      <c r="U1148" s="2" t="s">
        <v>460</v>
      </c>
      <c r="W1148" s="4">
        <v>642.48</v>
      </c>
      <c r="X1148" s="4">
        <v>770.976</v>
      </c>
      <c r="Y1148" s="4">
        <f t="shared" ref="Y1148" si="1273">INDEX(InternalRates,MATCH($S1148,InternalRates01,FALSE),2)</f>
        <v>278.98333333333335</v>
      </c>
      <c r="Z1148" s="3" t="str">
        <f t="shared" si="1244"/>
        <v>Nie</v>
      </c>
      <c r="AA1148" s="3" t="str">
        <f t="shared" si="1245"/>
        <v>SLA</v>
      </c>
      <c r="AB1148" s="4">
        <v>44.875</v>
      </c>
      <c r="AC1148" s="4">
        <v>135.98484848484847</v>
      </c>
      <c r="AD1148" s="3" t="s">
        <v>49</v>
      </c>
      <c r="AE1148" s="6">
        <v>45539</v>
      </c>
      <c r="AF1148" s="3" t="s">
        <v>59</v>
      </c>
      <c r="AG1148" s="3" t="s">
        <v>49</v>
      </c>
      <c r="AH1148" s="3">
        <f>YEAR(SrcDB[[#This Row],[Datum_zverejnenia]])</f>
        <v>2023</v>
      </c>
      <c r="AI1148" s="3" cm="1">
        <f t="array" ref="AI1148">COUNT(_xlfn.UNIQUE(_xlfn._xlws.FILTER(SrcDB[ID],SrcDB[Objednavatel_ICO]=$H1148)))</f>
        <v>25</v>
      </c>
      <c r="AJ1148" s="3" cm="1">
        <f t="array" ref="AJ1148">COUNT(_xlfn.UNIQUE(_xlfn._xlws.FILTER(SrcDB[ID],SrcDB[Dodavatel_ICO]=$K1148)))</f>
        <v>34</v>
      </c>
      <c r="AK1148" s="3">
        <f t="shared" si="1214"/>
        <v>0</v>
      </c>
      <c r="AL1148" s="3">
        <f t="shared" si="1215"/>
        <v>0</v>
      </c>
      <c r="AM1148" s="17" t="str">
        <f>IF(SrcDB[[#This Row],[Pocet zmluv objednavatela]]&gt;3,SrcDB[[#This Row],[Objednavatel]],"Ostatné")</f>
        <v>Finančné riaditeľstvo SR</v>
      </c>
      <c r="AN1148" s="17" t="str">
        <f>IF(SrcDB[[#This Row],[Pocet zmluv dodavatela]]&gt;3,SrcDB[[#This Row],[Dodavatel]],"Ostatné")</f>
        <v>Asseco Central Europe, a.s.</v>
      </c>
    </row>
    <row r="1149" spans="1:40" x14ac:dyDescent="0.3">
      <c r="A1149" s="2" t="s">
        <v>1400</v>
      </c>
      <c r="B1149" s="2">
        <v>8554544</v>
      </c>
      <c r="C1149" s="3" t="str">
        <f t="shared" si="1208"/>
        <v>Nejasné</v>
      </c>
      <c r="D1149" s="3" t="str">
        <f t="shared" si="1209"/>
        <v>Nejasné</v>
      </c>
      <c r="E1149" s="3" t="s">
        <v>48</v>
      </c>
      <c r="F1149" s="3" t="s">
        <v>49</v>
      </c>
      <c r="G1149" s="2" t="str">
        <f t="shared" si="1210"/>
        <v>Malé zmluvy</v>
      </c>
      <c r="H1149" s="5">
        <v>42499500</v>
      </c>
      <c r="I1149" s="2" t="s">
        <v>464</v>
      </c>
      <c r="J1149" s="2" t="s">
        <v>465</v>
      </c>
      <c r="K1149" s="5">
        <v>35760419</v>
      </c>
      <c r="L1149" s="2" t="s">
        <v>85</v>
      </c>
      <c r="N1149" s="6">
        <v>45239.483055555553</v>
      </c>
      <c r="O1149" s="4">
        <v>225895.97</v>
      </c>
      <c r="P1149" s="2">
        <v>114725</v>
      </c>
      <c r="Q1149" s="2" t="s">
        <v>1401</v>
      </c>
      <c r="R1149" s="2" t="s">
        <v>1402</v>
      </c>
      <c r="S1149" s="2" t="s">
        <v>77</v>
      </c>
      <c r="T1149" s="2" t="s">
        <v>77</v>
      </c>
      <c r="W1149" s="4">
        <v>642.48</v>
      </c>
      <c r="X1149" s="4">
        <v>770.976</v>
      </c>
      <c r="Y1149" s="4">
        <f t="shared" ref="Y1149" si="1274">INDEX(InternalRates,MATCH($S1149,InternalRates01,FALSE),2)</f>
        <v>278.98333333333335</v>
      </c>
      <c r="Z1149" s="3" t="str">
        <f t="shared" si="1244"/>
        <v>Nie</v>
      </c>
      <c r="AA1149" s="3" t="str">
        <f t="shared" si="1245"/>
        <v>SLA</v>
      </c>
      <c r="AB1149" s="4">
        <v>85.875</v>
      </c>
      <c r="AC1149" s="4">
        <v>260.22727272727269</v>
      </c>
      <c r="AD1149" s="3" t="s">
        <v>49</v>
      </c>
      <c r="AE1149" s="6">
        <v>45539</v>
      </c>
      <c r="AF1149" s="3" t="s">
        <v>59</v>
      </c>
      <c r="AG1149" s="3" t="s">
        <v>49</v>
      </c>
      <c r="AH1149" s="3">
        <f>YEAR(SrcDB[[#This Row],[Datum_zverejnenia]])</f>
        <v>2023</v>
      </c>
      <c r="AI1149" s="3" cm="1">
        <f t="array" ref="AI1149">COUNT(_xlfn.UNIQUE(_xlfn._xlws.FILTER(SrcDB[ID],SrcDB[Objednavatel_ICO]=$H1149)))</f>
        <v>25</v>
      </c>
      <c r="AJ1149" s="3" cm="1">
        <f t="array" ref="AJ1149">COUNT(_xlfn.UNIQUE(_xlfn._xlws.FILTER(SrcDB[ID],SrcDB[Dodavatel_ICO]=$K1149)))</f>
        <v>34</v>
      </c>
      <c r="AK1149" s="3">
        <f t="shared" si="1214"/>
        <v>0</v>
      </c>
      <c r="AL1149" s="3">
        <f t="shared" si="1215"/>
        <v>0</v>
      </c>
      <c r="AM1149" s="17" t="str">
        <f>IF(SrcDB[[#This Row],[Pocet zmluv objednavatela]]&gt;3,SrcDB[[#This Row],[Objednavatel]],"Ostatné")</f>
        <v>Finančné riaditeľstvo SR</v>
      </c>
      <c r="AN1149" s="17" t="str">
        <f>IF(SrcDB[[#This Row],[Pocet zmluv dodavatela]]&gt;3,SrcDB[[#This Row],[Dodavatel]],"Ostatné")</f>
        <v>Asseco Central Europe, a.s.</v>
      </c>
    </row>
    <row r="1150" spans="1:40" x14ac:dyDescent="0.3">
      <c r="A1150" s="2" t="s">
        <v>1400</v>
      </c>
      <c r="B1150" s="2">
        <v>8554544</v>
      </c>
      <c r="C1150" s="3" t="str">
        <f t="shared" si="1208"/>
        <v>Nejasné</v>
      </c>
      <c r="D1150" s="3" t="str">
        <f t="shared" si="1209"/>
        <v>Nejasné</v>
      </c>
      <c r="E1150" s="3" t="s">
        <v>48</v>
      </c>
      <c r="F1150" s="3" t="s">
        <v>49</v>
      </c>
      <c r="G1150" s="2" t="str">
        <f t="shared" si="1210"/>
        <v>Malé zmluvy</v>
      </c>
      <c r="H1150" s="5">
        <v>42499500</v>
      </c>
      <c r="I1150" s="2" t="s">
        <v>464</v>
      </c>
      <c r="J1150" s="2" t="s">
        <v>465</v>
      </c>
      <c r="K1150" s="5">
        <v>35760419</v>
      </c>
      <c r="L1150" s="2" t="s">
        <v>85</v>
      </c>
      <c r="N1150" s="6">
        <v>45239.483055555553</v>
      </c>
      <c r="O1150" s="4">
        <v>225895.97</v>
      </c>
      <c r="P1150" s="2">
        <v>114725</v>
      </c>
      <c r="Q1150" s="2" t="s">
        <v>1401</v>
      </c>
      <c r="R1150" s="2" t="s">
        <v>1402</v>
      </c>
      <c r="S1150" s="2" t="s">
        <v>79</v>
      </c>
      <c r="T1150" s="2" t="s">
        <v>79</v>
      </c>
      <c r="W1150" s="4">
        <v>642.48</v>
      </c>
      <c r="X1150" s="4">
        <v>770.976</v>
      </c>
      <c r="Y1150" s="4">
        <f t="shared" ref="Y1150" si="1275">INDEX(InternalRates,MATCH($S1150,InternalRates01,FALSE),2)</f>
        <v>278.98333333333335</v>
      </c>
      <c r="Z1150" s="3" t="str">
        <f t="shared" si="1244"/>
        <v>Nie</v>
      </c>
      <c r="AA1150" s="3" t="str">
        <f t="shared" si="1245"/>
        <v>SLA</v>
      </c>
      <c r="AB1150" s="4">
        <v>45.375</v>
      </c>
      <c r="AC1150" s="4">
        <v>137.5</v>
      </c>
      <c r="AD1150" s="3" t="s">
        <v>49</v>
      </c>
      <c r="AE1150" s="6">
        <v>45539</v>
      </c>
      <c r="AF1150" s="3" t="s">
        <v>59</v>
      </c>
      <c r="AG1150" s="3" t="s">
        <v>49</v>
      </c>
      <c r="AH1150" s="3">
        <f>YEAR(SrcDB[[#This Row],[Datum_zverejnenia]])</f>
        <v>2023</v>
      </c>
      <c r="AI1150" s="3" cm="1">
        <f t="array" ref="AI1150">COUNT(_xlfn.UNIQUE(_xlfn._xlws.FILTER(SrcDB[ID],SrcDB[Objednavatel_ICO]=$H1150)))</f>
        <v>25</v>
      </c>
      <c r="AJ1150" s="3" cm="1">
        <f t="array" ref="AJ1150">COUNT(_xlfn.UNIQUE(_xlfn._xlws.FILTER(SrcDB[ID],SrcDB[Dodavatel_ICO]=$K1150)))</f>
        <v>34</v>
      </c>
      <c r="AK1150" s="3">
        <f t="shared" si="1214"/>
        <v>0</v>
      </c>
      <c r="AL1150" s="3">
        <f t="shared" si="1215"/>
        <v>0</v>
      </c>
      <c r="AM1150" s="17" t="str">
        <f>IF(SrcDB[[#This Row],[Pocet zmluv objednavatela]]&gt;3,SrcDB[[#This Row],[Objednavatel]],"Ostatné")</f>
        <v>Finančné riaditeľstvo SR</v>
      </c>
      <c r="AN1150" s="17" t="str">
        <f>IF(SrcDB[[#This Row],[Pocet zmluv dodavatela]]&gt;3,SrcDB[[#This Row],[Dodavatel]],"Ostatné")</f>
        <v>Asseco Central Europe, a.s.</v>
      </c>
    </row>
    <row r="1151" spans="1:40" x14ac:dyDescent="0.3">
      <c r="A1151" s="2" t="s">
        <v>1400</v>
      </c>
      <c r="B1151" s="2">
        <v>8554544</v>
      </c>
      <c r="C1151" s="3" t="str">
        <f t="shared" si="1208"/>
        <v>Nejasné</v>
      </c>
      <c r="D1151" s="3" t="str">
        <f t="shared" si="1209"/>
        <v>Nejasné</v>
      </c>
      <c r="E1151" s="3" t="s">
        <v>48</v>
      </c>
      <c r="F1151" s="3" t="s">
        <v>49</v>
      </c>
      <c r="G1151" s="2" t="str">
        <f t="shared" si="1210"/>
        <v>Malé zmluvy</v>
      </c>
      <c r="H1151" s="5">
        <v>42499500</v>
      </c>
      <c r="I1151" s="2" t="s">
        <v>464</v>
      </c>
      <c r="J1151" s="2" t="s">
        <v>465</v>
      </c>
      <c r="K1151" s="5">
        <v>35760419</v>
      </c>
      <c r="L1151" s="2" t="s">
        <v>85</v>
      </c>
      <c r="N1151" s="6">
        <v>45239.483055555553</v>
      </c>
      <c r="O1151" s="4">
        <v>225895.97</v>
      </c>
      <c r="P1151" s="2">
        <v>114725</v>
      </c>
      <c r="Q1151" s="2" t="s">
        <v>1401</v>
      </c>
      <c r="R1151" s="2" t="s">
        <v>1402</v>
      </c>
      <c r="S1151" s="2" t="s">
        <v>102</v>
      </c>
      <c r="T1151" s="2" t="s">
        <v>102</v>
      </c>
      <c r="W1151" s="4">
        <v>642.48</v>
      </c>
      <c r="X1151" s="4">
        <v>770.976</v>
      </c>
      <c r="Y1151" s="4">
        <f t="shared" ref="Y1151" si="1276">INDEX(InternalRates,MATCH($S1151,InternalRates01,FALSE),2)</f>
        <v>278.98333333333335</v>
      </c>
      <c r="Z1151" s="3" t="str">
        <f t="shared" si="1244"/>
        <v>Nie</v>
      </c>
      <c r="AA1151" s="3" t="str">
        <f t="shared" si="1245"/>
        <v>SLA</v>
      </c>
      <c r="AB1151" s="4">
        <v>7.25</v>
      </c>
      <c r="AC1151" s="4">
        <v>21.969696969696969</v>
      </c>
      <c r="AD1151" s="3" t="s">
        <v>49</v>
      </c>
      <c r="AE1151" s="6">
        <v>45539</v>
      </c>
      <c r="AF1151" s="3" t="s">
        <v>59</v>
      </c>
      <c r="AG1151" s="3" t="s">
        <v>49</v>
      </c>
      <c r="AH1151" s="3">
        <f>YEAR(SrcDB[[#This Row],[Datum_zverejnenia]])</f>
        <v>2023</v>
      </c>
      <c r="AI1151" s="3" cm="1">
        <f t="array" ref="AI1151">COUNT(_xlfn.UNIQUE(_xlfn._xlws.FILTER(SrcDB[ID],SrcDB[Objednavatel_ICO]=$H1151)))</f>
        <v>25</v>
      </c>
      <c r="AJ1151" s="3" cm="1">
        <f t="array" ref="AJ1151">COUNT(_xlfn.UNIQUE(_xlfn._xlws.FILTER(SrcDB[ID],SrcDB[Dodavatel_ICO]=$K1151)))</f>
        <v>34</v>
      </c>
      <c r="AK1151" s="3">
        <f t="shared" si="1214"/>
        <v>0</v>
      </c>
      <c r="AL1151" s="3">
        <f t="shared" si="1215"/>
        <v>0</v>
      </c>
      <c r="AM1151" s="17" t="str">
        <f>IF(SrcDB[[#This Row],[Pocet zmluv objednavatela]]&gt;3,SrcDB[[#This Row],[Objednavatel]],"Ostatné")</f>
        <v>Finančné riaditeľstvo SR</v>
      </c>
      <c r="AN1151" s="17" t="str">
        <f>IF(SrcDB[[#This Row],[Pocet zmluv dodavatela]]&gt;3,SrcDB[[#This Row],[Dodavatel]],"Ostatné")</f>
        <v>Asseco Central Europe, a.s.</v>
      </c>
    </row>
    <row r="1152" spans="1:40" x14ac:dyDescent="0.3">
      <c r="A1152" s="2" t="s">
        <v>1400</v>
      </c>
      <c r="B1152" s="2">
        <v>8554544</v>
      </c>
      <c r="C1152" s="3" t="str">
        <f t="shared" si="1208"/>
        <v>Nejasné</v>
      </c>
      <c r="D1152" s="3" t="str">
        <f t="shared" si="1209"/>
        <v>Nejasné</v>
      </c>
      <c r="E1152" s="3" t="s">
        <v>48</v>
      </c>
      <c r="F1152" s="3" t="s">
        <v>49</v>
      </c>
      <c r="G1152" s="2" t="str">
        <f t="shared" si="1210"/>
        <v>Malé zmluvy</v>
      </c>
      <c r="H1152" s="5">
        <v>42499500</v>
      </c>
      <c r="I1152" s="2" t="s">
        <v>464</v>
      </c>
      <c r="J1152" s="2" t="s">
        <v>465</v>
      </c>
      <c r="K1152" s="5">
        <v>35760419</v>
      </c>
      <c r="L1152" s="2" t="s">
        <v>85</v>
      </c>
      <c r="N1152" s="6">
        <v>45239.483055555553</v>
      </c>
      <c r="O1152" s="4">
        <v>225895.97</v>
      </c>
      <c r="P1152" s="2">
        <v>114725</v>
      </c>
      <c r="Q1152" s="2" t="s">
        <v>1401</v>
      </c>
      <c r="R1152" s="2" t="s">
        <v>1402</v>
      </c>
      <c r="S1152" s="2" t="s">
        <v>160</v>
      </c>
      <c r="T1152" s="2" t="s">
        <v>160</v>
      </c>
      <c r="W1152" s="4">
        <v>642.48</v>
      </c>
      <c r="X1152" s="4">
        <v>770.976</v>
      </c>
      <c r="Y1152" s="4">
        <f t="shared" ref="Y1152" si="1277">INDEX(InternalRates,MATCH($S1152,InternalRates01,FALSE),2)</f>
        <v>231.85833333333335</v>
      </c>
      <c r="Z1152" s="3" t="str">
        <f t="shared" si="1244"/>
        <v>Nie</v>
      </c>
      <c r="AA1152" s="3" t="str">
        <f t="shared" si="1245"/>
        <v>SLA</v>
      </c>
      <c r="AB1152" s="4">
        <v>24</v>
      </c>
      <c r="AC1152" s="4">
        <v>72.72727272727272</v>
      </c>
      <c r="AD1152" s="3" t="s">
        <v>49</v>
      </c>
      <c r="AE1152" s="6">
        <v>45539</v>
      </c>
      <c r="AF1152" s="3" t="s">
        <v>59</v>
      </c>
      <c r="AG1152" s="3" t="s">
        <v>49</v>
      </c>
      <c r="AH1152" s="3">
        <f>YEAR(SrcDB[[#This Row],[Datum_zverejnenia]])</f>
        <v>2023</v>
      </c>
      <c r="AI1152" s="3" cm="1">
        <f t="array" ref="AI1152">COUNT(_xlfn.UNIQUE(_xlfn._xlws.FILTER(SrcDB[ID],SrcDB[Objednavatel_ICO]=$H1152)))</f>
        <v>25</v>
      </c>
      <c r="AJ1152" s="3" cm="1">
        <f t="array" ref="AJ1152">COUNT(_xlfn.UNIQUE(_xlfn._xlws.FILTER(SrcDB[ID],SrcDB[Dodavatel_ICO]=$K1152)))</f>
        <v>34</v>
      </c>
      <c r="AK1152" s="3">
        <f t="shared" si="1214"/>
        <v>0</v>
      </c>
      <c r="AL1152" s="3">
        <f t="shared" si="1215"/>
        <v>0</v>
      </c>
      <c r="AM1152" s="17" t="str">
        <f>IF(SrcDB[[#This Row],[Pocet zmluv objednavatela]]&gt;3,SrcDB[[#This Row],[Objednavatel]],"Ostatné")</f>
        <v>Finančné riaditeľstvo SR</v>
      </c>
      <c r="AN1152" s="17" t="str">
        <f>IF(SrcDB[[#This Row],[Pocet zmluv dodavatela]]&gt;3,SrcDB[[#This Row],[Dodavatel]],"Ostatné")</f>
        <v>Asseco Central Europe, a.s.</v>
      </c>
    </row>
    <row r="1153" spans="1:40" x14ac:dyDescent="0.3">
      <c r="A1153" s="2" t="s">
        <v>1400</v>
      </c>
      <c r="B1153" s="2">
        <v>8554544</v>
      </c>
      <c r="C1153" s="3" t="str">
        <f t="shared" si="1208"/>
        <v>Nejasné</v>
      </c>
      <c r="D1153" s="3" t="str">
        <f t="shared" si="1209"/>
        <v>Nejasné</v>
      </c>
      <c r="E1153" s="3" t="s">
        <v>48</v>
      </c>
      <c r="F1153" s="3" t="s">
        <v>49</v>
      </c>
      <c r="G1153" s="2" t="str">
        <f t="shared" si="1210"/>
        <v>Malé zmluvy</v>
      </c>
      <c r="H1153" s="5">
        <v>42499500</v>
      </c>
      <c r="I1153" s="2" t="s">
        <v>464</v>
      </c>
      <c r="J1153" s="2" t="s">
        <v>465</v>
      </c>
      <c r="K1153" s="5">
        <v>35760419</v>
      </c>
      <c r="L1153" s="2" t="s">
        <v>85</v>
      </c>
      <c r="N1153" s="6">
        <v>45239.483055555553</v>
      </c>
      <c r="O1153" s="4">
        <v>225895.97</v>
      </c>
      <c r="P1153" s="2">
        <v>114725</v>
      </c>
      <c r="Q1153" s="2" t="s">
        <v>1401</v>
      </c>
      <c r="R1153" s="2" t="s">
        <v>1402</v>
      </c>
      <c r="S1153" s="2" t="s">
        <v>69</v>
      </c>
      <c r="T1153" s="2" t="s">
        <v>70</v>
      </c>
      <c r="W1153" s="4">
        <v>642.48</v>
      </c>
      <c r="X1153" s="4">
        <v>770.976</v>
      </c>
      <c r="Y1153" s="4">
        <f t="shared" ref="Y1153" si="1278">INDEX(InternalRates,MATCH($S1153,InternalRates01,FALSE),2)</f>
        <v>278.98333333333335</v>
      </c>
      <c r="Z1153" s="3" t="str">
        <f t="shared" si="1244"/>
        <v>Nie</v>
      </c>
      <c r="AA1153" s="3" t="str">
        <f t="shared" si="1245"/>
        <v>SLA</v>
      </c>
      <c r="AB1153" s="4">
        <v>20.625</v>
      </c>
      <c r="AC1153" s="4">
        <v>62.5</v>
      </c>
      <c r="AD1153" s="3" t="s">
        <v>49</v>
      </c>
      <c r="AE1153" s="6">
        <v>45539</v>
      </c>
      <c r="AF1153" s="3" t="s">
        <v>59</v>
      </c>
      <c r="AG1153" s="3" t="s">
        <v>49</v>
      </c>
      <c r="AH1153" s="3">
        <f>YEAR(SrcDB[[#This Row],[Datum_zverejnenia]])</f>
        <v>2023</v>
      </c>
      <c r="AI1153" s="3" cm="1">
        <f t="array" ref="AI1153">COUNT(_xlfn.UNIQUE(_xlfn._xlws.FILTER(SrcDB[ID],SrcDB[Objednavatel_ICO]=$H1153)))</f>
        <v>25</v>
      </c>
      <c r="AJ1153" s="3" cm="1">
        <f t="array" ref="AJ1153">COUNT(_xlfn.UNIQUE(_xlfn._xlws.FILTER(SrcDB[ID],SrcDB[Dodavatel_ICO]=$K1153)))</f>
        <v>34</v>
      </c>
      <c r="AK1153" s="3">
        <f t="shared" si="1214"/>
        <v>0</v>
      </c>
      <c r="AL1153" s="3">
        <f t="shared" si="1215"/>
        <v>0</v>
      </c>
      <c r="AM1153" s="17" t="str">
        <f>IF(SrcDB[[#This Row],[Pocet zmluv objednavatela]]&gt;3,SrcDB[[#This Row],[Objednavatel]],"Ostatné")</f>
        <v>Finančné riaditeľstvo SR</v>
      </c>
      <c r="AN1153" s="17" t="str">
        <f>IF(SrcDB[[#This Row],[Pocet zmluv dodavatela]]&gt;3,SrcDB[[#This Row],[Dodavatel]],"Ostatné")</f>
        <v>Asseco Central Europe, a.s.</v>
      </c>
    </row>
    <row r="1154" spans="1:40" x14ac:dyDescent="0.3">
      <c r="A1154" s="2" t="s">
        <v>268</v>
      </c>
      <c r="B1154" s="2">
        <v>8632989</v>
      </c>
      <c r="C1154" s="3" t="str">
        <f t="shared" ref="C1154:C1217" si="1279">IF(OR(NOT(ISERROR(FIND("O DIEL",UPPER($A1154)))),NOT(ISERROR(FIND("O IMPLEM",UPPER($A1154)))))=TRUE,"Áno",IF(OR(NOT(ISERROR(FIND("PODPOR",UPPER($A1154)))),NOT(ISERROR(FIND("SLA",UPPER($A1154)))),NOT(ISERROR(FIND("SERVIS",UPPER($A1154)))))=TRUE,"Nie","Nejasné"))</f>
        <v>Nejasné</v>
      </c>
      <c r="D1154" s="3" t="str">
        <f t="shared" ref="D1154:D1217" si="1280">IF(OR(NOT(ISERROR(FIND("PODPOR",UPPER($A1154)))),NOT(ISERROR(FIND("SLA",UPPER($A1154)))),NOT(ISERROR(FIND("SERVIS",UPPER($A1154)))))=TRUE,"Áno",IF(OR(NOT(ISERROR(FIND("O DIEL",UPPER($A1154)))),NOT(ISERROR(FIND("O IMPLEM",UPPER($A1154)))))=TRUE,"Nie","Nejasné"))</f>
        <v>Nejasné</v>
      </c>
      <c r="E1154" s="3" t="s">
        <v>48</v>
      </c>
      <c r="F1154" s="3" t="s">
        <v>49</v>
      </c>
      <c r="G1154" s="2" t="str">
        <f t="shared" ref="G1154:G1217" si="1281">IF($O1154&gt;=8000000,"Veľké zmluvy",IF($O1154&gt;=1000000,"Stredné zmluvy","Malé zmluvy"))</f>
        <v>Stredné zmluvy</v>
      </c>
      <c r="H1154" s="5" t="s">
        <v>153</v>
      </c>
      <c r="I1154" s="2" t="s">
        <v>154</v>
      </c>
      <c r="J1154" s="2" t="s">
        <v>1403</v>
      </c>
      <c r="K1154" s="5">
        <v>36395820</v>
      </c>
      <c r="L1154" s="2" t="s">
        <v>1404</v>
      </c>
      <c r="M1154" s="2" t="s">
        <v>1405</v>
      </c>
      <c r="N1154" s="6">
        <v>45258.359652777777</v>
      </c>
      <c r="O1154" s="4">
        <v>1050624</v>
      </c>
      <c r="P1154" s="2">
        <v>6215909</v>
      </c>
      <c r="Q1154" s="2" t="s">
        <v>1406</v>
      </c>
      <c r="R1154" s="2" t="s">
        <v>1407</v>
      </c>
      <c r="S1154" s="2" t="s">
        <v>73</v>
      </c>
      <c r="T1154" s="2" t="s">
        <v>1408</v>
      </c>
      <c r="W1154" s="4">
        <v>570</v>
      </c>
      <c r="X1154" s="4">
        <v>684</v>
      </c>
      <c r="Y1154" s="4">
        <f t="shared" ref="Y1154" si="1282">INDEX(InternalRates,MATCH($S1154,InternalRates01,FALSE),2)</f>
        <v>278.98333333333335</v>
      </c>
      <c r="Z1154" s="3" t="str">
        <f t="shared" si="1244"/>
        <v>Nie</v>
      </c>
      <c r="AA1154" s="3" t="str">
        <f t="shared" si="1245"/>
        <v>SLA</v>
      </c>
      <c r="AB1154" s="4">
        <v>480</v>
      </c>
      <c r="AC1154" s="4">
        <v>120</v>
      </c>
      <c r="AD1154" s="3" t="s">
        <v>48</v>
      </c>
      <c r="AE1154" s="6">
        <v>45539</v>
      </c>
      <c r="AF1154" s="3" t="s">
        <v>59</v>
      </c>
      <c r="AG1154" s="3" t="s">
        <v>49</v>
      </c>
      <c r="AH1154" s="3">
        <f>YEAR(SrcDB[[#This Row],[Datum_zverejnenia]])</f>
        <v>2023</v>
      </c>
      <c r="AI1154" s="3" cm="1">
        <f t="array" ref="AI1154">COUNT(_xlfn.UNIQUE(_xlfn._xlws.FILTER(SrcDB[ID],SrcDB[Objednavatel_ICO]=$H1154)))</f>
        <v>4</v>
      </c>
      <c r="AJ1154" s="3" cm="1">
        <f t="array" ref="AJ1154">COUNT(_xlfn.UNIQUE(_xlfn._xlws.FILTER(SrcDB[ID],SrcDB[Dodavatel_ICO]=$K1154)))</f>
        <v>1</v>
      </c>
      <c r="AK1154" s="3">
        <f t="shared" si="1214"/>
        <v>1</v>
      </c>
      <c r="AL1154" s="3">
        <f t="shared" si="1215"/>
        <v>1</v>
      </c>
      <c r="AM1154" s="17" t="str">
        <f>IF(SrcDB[[#This Row],[Pocet zmluv objednavatela]]&gt;3,SrcDB[[#This Row],[Objednavatel]],"Ostatné")</f>
        <v>DataCentrum</v>
      </c>
      <c r="AN1154" s="17" t="str">
        <f>IF(SrcDB[[#This Row],[Pocet zmluv dodavatela]]&gt;3,SrcDB[[#This Row],[Dodavatel]],"Ostatné")</f>
        <v>Ostatné</v>
      </c>
    </row>
    <row r="1155" spans="1:40" x14ac:dyDescent="0.3">
      <c r="A1155" s="2" t="s">
        <v>268</v>
      </c>
      <c r="B1155" s="2">
        <v>8632989</v>
      </c>
      <c r="C1155" s="3" t="str">
        <f t="shared" si="1279"/>
        <v>Nejasné</v>
      </c>
      <c r="D1155" s="3" t="str">
        <f t="shared" si="1280"/>
        <v>Nejasné</v>
      </c>
      <c r="E1155" s="3" t="s">
        <v>48</v>
      </c>
      <c r="F1155" s="3" t="s">
        <v>49</v>
      </c>
      <c r="G1155" s="2" t="str">
        <f t="shared" si="1281"/>
        <v>Stredné zmluvy</v>
      </c>
      <c r="H1155" s="5" t="s">
        <v>153</v>
      </c>
      <c r="I1155" s="2" t="s">
        <v>154</v>
      </c>
      <c r="J1155" s="2" t="s">
        <v>1403</v>
      </c>
      <c r="K1155" s="5">
        <v>36395820</v>
      </c>
      <c r="L1155" s="2" t="s">
        <v>1404</v>
      </c>
      <c r="M1155" s="2" t="s">
        <v>1405</v>
      </c>
      <c r="N1155" s="6">
        <v>45258.359652777777</v>
      </c>
      <c r="O1155" s="4">
        <v>1050624</v>
      </c>
      <c r="P1155" s="2">
        <v>6215909</v>
      </c>
      <c r="Q1155" s="2" t="s">
        <v>1406</v>
      </c>
      <c r="R1155" s="2" t="s">
        <v>1407</v>
      </c>
      <c r="S1155" s="2" t="s">
        <v>71</v>
      </c>
      <c r="T1155" s="2" t="s">
        <v>1409</v>
      </c>
      <c r="W1155" s="4">
        <v>570</v>
      </c>
      <c r="X1155" s="4">
        <v>684</v>
      </c>
      <c r="Y1155" s="4">
        <f t="shared" ref="Y1155" si="1283">INDEX(InternalRates,MATCH($S1155,InternalRates01,FALSE),2)</f>
        <v>354.0333333333333</v>
      </c>
      <c r="Z1155" s="3" t="str">
        <f t="shared" si="1244"/>
        <v>Nie</v>
      </c>
      <c r="AA1155" s="3" t="str">
        <f t="shared" si="1245"/>
        <v>SLA</v>
      </c>
      <c r="AB1155" s="4">
        <v>192</v>
      </c>
      <c r="AC1155" s="4">
        <v>48</v>
      </c>
      <c r="AD1155" s="3" t="s">
        <v>48</v>
      </c>
      <c r="AE1155" s="6">
        <v>45539</v>
      </c>
      <c r="AF1155" s="3" t="s">
        <v>59</v>
      </c>
      <c r="AG1155" s="3" t="s">
        <v>49</v>
      </c>
      <c r="AH1155" s="3">
        <f>YEAR(SrcDB[[#This Row],[Datum_zverejnenia]])</f>
        <v>2023</v>
      </c>
      <c r="AI1155" s="3" cm="1">
        <f t="array" ref="AI1155">COUNT(_xlfn.UNIQUE(_xlfn._xlws.FILTER(SrcDB[ID],SrcDB[Objednavatel_ICO]=$H1155)))</f>
        <v>4</v>
      </c>
      <c r="AJ1155" s="3" cm="1">
        <f t="array" ref="AJ1155">COUNT(_xlfn.UNIQUE(_xlfn._xlws.FILTER(SrcDB[ID],SrcDB[Dodavatel_ICO]=$K1155)))</f>
        <v>1</v>
      </c>
      <c r="AK1155" s="3">
        <f t="shared" si="1214"/>
        <v>0</v>
      </c>
      <c r="AL1155" s="3">
        <f t="shared" si="1215"/>
        <v>0</v>
      </c>
      <c r="AM1155" s="17" t="str">
        <f>IF(SrcDB[[#This Row],[Pocet zmluv objednavatela]]&gt;3,SrcDB[[#This Row],[Objednavatel]],"Ostatné")</f>
        <v>DataCentrum</v>
      </c>
      <c r="AN1155" s="17" t="str">
        <f>IF(SrcDB[[#This Row],[Pocet zmluv dodavatela]]&gt;3,SrcDB[[#This Row],[Dodavatel]],"Ostatné")</f>
        <v>Ostatné</v>
      </c>
    </row>
    <row r="1156" spans="1:40" x14ac:dyDescent="0.3">
      <c r="A1156" s="2" t="s">
        <v>268</v>
      </c>
      <c r="B1156" s="2">
        <v>8632989</v>
      </c>
      <c r="C1156" s="3" t="str">
        <f t="shared" si="1279"/>
        <v>Nejasné</v>
      </c>
      <c r="D1156" s="3" t="str">
        <f t="shared" si="1280"/>
        <v>Nejasné</v>
      </c>
      <c r="E1156" s="3" t="s">
        <v>48</v>
      </c>
      <c r="F1156" s="3" t="s">
        <v>49</v>
      </c>
      <c r="G1156" s="2" t="str">
        <f t="shared" si="1281"/>
        <v>Stredné zmluvy</v>
      </c>
      <c r="H1156" s="5" t="s">
        <v>153</v>
      </c>
      <c r="I1156" s="2" t="s">
        <v>154</v>
      </c>
      <c r="J1156" s="2" t="s">
        <v>1403</v>
      </c>
      <c r="K1156" s="5">
        <v>36395820</v>
      </c>
      <c r="L1156" s="2" t="s">
        <v>1404</v>
      </c>
      <c r="M1156" s="2" t="s">
        <v>1405</v>
      </c>
      <c r="N1156" s="6">
        <v>45258.359652777777</v>
      </c>
      <c r="O1156" s="4">
        <v>1050624</v>
      </c>
      <c r="P1156" s="2">
        <v>6215909</v>
      </c>
      <c r="Q1156" s="2" t="s">
        <v>1406</v>
      </c>
      <c r="R1156" s="2" t="s">
        <v>1407</v>
      </c>
      <c r="S1156" s="2" t="s">
        <v>69</v>
      </c>
      <c r="T1156" s="2" t="s">
        <v>1410</v>
      </c>
      <c r="W1156" s="4">
        <v>570</v>
      </c>
      <c r="X1156" s="4">
        <v>684</v>
      </c>
      <c r="Y1156" s="4">
        <f t="shared" ref="Y1156" si="1284">INDEX(InternalRates,MATCH($S1156,InternalRates01,FALSE),2)</f>
        <v>278.98333333333335</v>
      </c>
      <c r="Z1156" s="3" t="str">
        <f t="shared" si="1244"/>
        <v>Nie</v>
      </c>
      <c r="AA1156" s="3" t="str">
        <f t="shared" si="1245"/>
        <v>SLA</v>
      </c>
      <c r="AB1156" s="4">
        <v>384</v>
      </c>
      <c r="AC1156" s="4">
        <v>96</v>
      </c>
      <c r="AD1156" s="3" t="s">
        <v>48</v>
      </c>
      <c r="AE1156" s="6">
        <v>45539</v>
      </c>
      <c r="AF1156" s="3" t="s">
        <v>59</v>
      </c>
      <c r="AG1156" s="3" t="s">
        <v>49</v>
      </c>
      <c r="AH1156" s="3">
        <f>YEAR(SrcDB[[#This Row],[Datum_zverejnenia]])</f>
        <v>2023</v>
      </c>
      <c r="AI1156" s="3" cm="1">
        <f t="array" ref="AI1156">COUNT(_xlfn.UNIQUE(_xlfn._xlws.FILTER(SrcDB[ID],SrcDB[Objednavatel_ICO]=$H1156)))</f>
        <v>4</v>
      </c>
      <c r="AJ1156" s="3" cm="1">
        <f t="array" ref="AJ1156">COUNT(_xlfn.UNIQUE(_xlfn._xlws.FILTER(SrcDB[ID],SrcDB[Dodavatel_ICO]=$K1156)))</f>
        <v>1</v>
      </c>
      <c r="AK1156" s="3">
        <f t="shared" ref="AK1156:AK1219" si="1285">IF($H1155&lt;&gt;$H1156,1,IF($B1155&lt;&gt;$B1156,1,0))</f>
        <v>0</v>
      </c>
      <c r="AL1156" s="3">
        <f t="shared" ref="AL1156:AL1219" si="1286">IF($K1155&lt;&gt;$K1156,1,IF($B1155&lt;&gt;$B1156,1,0))</f>
        <v>0</v>
      </c>
      <c r="AM1156" s="17" t="str">
        <f>IF(SrcDB[[#This Row],[Pocet zmluv objednavatela]]&gt;3,SrcDB[[#This Row],[Objednavatel]],"Ostatné")</f>
        <v>DataCentrum</v>
      </c>
      <c r="AN1156" s="17" t="str">
        <f>IF(SrcDB[[#This Row],[Pocet zmluv dodavatela]]&gt;3,SrcDB[[#This Row],[Dodavatel]],"Ostatné")</f>
        <v>Ostatné</v>
      </c>
    </row>
    <row r="1157" spans="1:40" x14ac:dyDescent="0.3">
      <c r="A1157" s="2" t="s">
        <v>268</v>
      </c>
      <c r="B1157" s="2">
        <v>8632989</v>
      </c>
      <c r="C1157" s="3" t="str">
        <f t="shared" si="1279"/>
        <v>Nejasné</v>
      </c>
      <c r="D1157" s="3" t="str">
        <f t="shared" si="1280"/>
        <v>Nejasné</v>
      </c>
      <c r="E1157" s="3" t="s">
        <v>48</v>
      </c>
      <c r="F1157" s="3" t="s">
        <v>49</v>
      </c>
      <c r="G1157" s="2" t="str">
        <f t="shared" si="1281"/>
        <v>Stredné zmluvy</v>
      </c>
      <c r="H1157" s="5" t="s">
        <v>153</v>
      </c>
      <c r="I1157" s="2" t="s">
        <v>154</v>
      </c>
      <c r="J1157" s="2" t="s">
        <v>1403</v>
      </c>
      <c r="K1157" s="5">
        <v>36395820</v>
      </c>
      <c r="L1157" s="2" t="s">
        <v>1404</v>
      </c>
      <c r="M1157" s="2" t="s">
        <v>1405</v>
      </c>
      <c r="N1157" s="6">
        <v>45258.359652777777</v>
      </c>
      <c r="O1157" s="4">
        <v>1050624</v>
      </c>
      <c r="P1157" s="2">
        <v>6215909</v>
      </c>
      <c r="Q1157" s="2" t="s">
        <v>1406</v>
      </c>
      <c r="R1157" s="2" t="s">
        <v>1407</v>
      </c>
      <c r="S1157" s="2" t="s">
        <v>162</v>
      </c>
      <c r="T1157" s="2" t="s">
        <v>1411</v>
      </c>
      <c r="W1157" s="4">
        <v>570</v>
      </c>
      <c r="X1157" s="4">
        <v>684</v>
      </c>
      <c r="Y1157" s="4">
        <f t="shared" ref="Y1157" si="1287">INDEX(InternalRates,MATCH($S1157,InternalRates01,FALSE),2)</f>
        <v>231.85833333333335</v>
      </c>
      <c r="Z1157" s="3" t="str">
        <f t="shared" si="1244"/>
        <v>Nie</v>
      </c>
      <c r="AA1157" s="3" t="str">
        <f t="shared" si="1245"/>
        <v>SLA</v>
      </c>
      <c r="AB1157" s="4">
        <v>480</v>
      </c>
      <c r="AC1157" s="4">
        <v>120</v>
      </c>
      <c r="AD1157" s="3" t="s">
        <v>48</v>
      </c>
      <c r="AE1157" s="6">
        <v>45539</v>
      </c>
      <c r="AF1157" s="3" t="s">
        <v>59</v>
      </c>
      <c r="AG1157" s="3" t="s">
        <v>49</v>
      </c>
      <c r="AH1157" s="3">
        <f>YEAR(SrcDB[[#This Row],[Datum_zverejnenia]])</f>
        <v>2023</v>
      </c>
      <c r="AI1157" s="3" cm="1">
        <f t="array" ref="AI1157">COUNT(_xlfn.UNIQUE(_xlfn._xlws.FILTER(SrcDB[ID],SrcDB[Objednavatel_ICO]=$H1157)))</f>
        <v>4</v>
      </c>
      <c r="AJ1157" s="3" cm="1">
        <f t="array" ref="AJ1157">COUNT(_xlfn.UNIQUE(_xlfn._xlws.FILTER(SrcDB[ID],SrcDB[Dodavatel_ICO]=$K1157)))</f>
        <v>1</v>
      </c>
      <c r="AK1157" s="3">
        <f t="shared" si="1285"/>
        <v>0</v>
      </c>
      <c r="AL1157" s="3">
        <f t="shared" si="1286"/>
        <v>0</v>
      </c>
      <c r="AM1157" s="17" t="str">
        <f>IF(SrcDB[[#This Row],[Pocet zmluv objednavatela]]&gt;3,SrcDB[[#This Row],[Objednavatel]],"Ostatné")</f>
        <v>DataCentrum</v>
      </c>
      <c r="AN1157" s="17" t="str">
        <f>IF(SrcDB[[#This Row],[Pocet zmluv dodavatela]]&gt;3,SrcDB[[#This Row],[Dodavatel]],"Ostatné")</f>
        <v>Ostatné</v>
      </c>
    </row>
    <row r="1158" spans="1:40" x14ac:dyDescent="0.3">
      <c r="A1158" s="2" t="s">
        <v>1412</v>
      </c>
      <c r="B1158" s="2">
        <v>8641158</v>
      </c>
      <c r="C1158" s="3" t="str">
        <f t="shared" si="1279"/>
        <v>Nie</v>
      </c>
      <c r="D1158" s="3" t="str">
        <f t="shared" si="1280"/>
        <v>Áno</v>
      </c>
      <c r="E1158" s="3" t="s">
        <v>48</v>
      </c>
      <c r="F1158" s="3" t="s">
        <v>49</v>
      </c>
      <c r="G1158" s="2" t="str">
        <f t="shared" si="1281"/>
        <v>Stredné zmluvy</v>
      </c>
      <c r="H1158" s="5" t="s">
        <v>524</v>
      </c>
      <c r="I1158" s="2" t="s">
        <v>525</v>
      </c>
      <c r="J1158" s="2" t="s">
        <v>526</v>
      </c>
      <c r="K1158" s="5">
        <v>35760419</v>
      </c>
      <c r="L1158" s="2" t="s">
        <v>85</v>
      </c>
      <c r="M1158" s="2" t="s">
        <v>1413</v>
      </c>
      <c r="N1158" s="6">
        <v>45259.484733796293</v>
      </c>
      <c r="O1158" s="4">
        <v>1114200</v>
      </c>
      <c r="P1158" s="2">
        <v>114499</v>
      </c>
      <c r="Q1158" s="2" t="s">
        <v>1414</v>
      </c>
      <c r="R1158" s="2" t="s">
        <v>1415</v>
      </c>
      <c r="S1158" s="2" t="s">
        <v>183</v>
      </c>
      <c r="T1158" s="2" t="s">
        <v>183</v>
      </c>
      <c r="W1158" s="4">
        <v>550</v>
      </c>
      <c r="X1158" s="4">
        <v>660</v>
      </c>
      <c r="Y1158" s="4">
        <f t="shared" ref="Y1158" si="1288">INDEX(InternalRates,MATCH($S1158,InternalRates01,FALSE),2)</f>
        <v>278.98333333333335</v>
      </c>
      <c r="Z1158" s="3" t="str">
        <f t="shared" si="1244"/>
        <v>Nie</v>
      </c>
      <c r="AA1158" s="3" t="str">
        <f t="shared" si="1245"/>
        <v>SLA</v>
      </c>
      <c r="AB1158" s="4">
        <v>750</v>
      </c>
      <c r="AC1158" s="4">
        <v>187.5</v>
      </c>
      <c r="AD1158" s="3" t="s">
        <v>48</v>
      </c>
      <c r="AE1158" s="6">
        <v>45539</v>
      </c>
      <c r="AF1158" s="3" t="s">
        <v>59</v>
      </c>
      <c r="AG1158" s="3" t="s">
        <v>48</v>
      </c>
      <c r="AH1158" s="3">
        <f>YEAR(SrcDB[[#This Row],[Datum_zverejnenia]])</f>
        <v>2023</v>
      </c>
      <c r="AI1158" s="3" cm="1">
        <f t="array" ref="AI1158">COUNT(_xlfn.UNIQUE(_xlfn._xlws.FILTER(SrcDB[ID],SrcDB[Objednavatel_ICO]=$H1158)))</f>
        <v>4</v>
      </c>
      <c r="AJ1158" s="3" cm="1">
        <f t="array" ref="AJ1158">COUNT(_xlfn.UNIQUE(_xlfn._xlws.FILTER(SrcDB[ID],SrcDB[Dodavatel_ICO]=$K1158)))</f>
        <v>34</v>
      </c>
      <c r="AK1158" s="3">
        <f t="shared" si="1285"/>
        <v>1</v>
      </c>
      <c r="AL1158" s="3">
        <f t="shared" si="1286"/>
        <v>1</v>
      </c>
      <c r="AM1158" s="17" t="str">
        <f>IF(SrcDB[[#This Row],[Pocet zmluv objednavatela]]&gt;3,SrcDB[[#This Row],[Objednavatel]],"Ostatné")</f>
        <v>Ministerstvo hospodárstva Slovenskej republiky</v>
      </c>
      <c r="AN1158" s="17" t="str">
        <f>IF(SrcDB[[#This Row],[Pocet zmluv dodavatela]]&gt;3,SrcDB[[#This Row],[Dodavatel]],"Ostatné")</f>
        <v>Asseco Central Europe, a.s.</v>
      </c>
    </row>
    <row r="1159" spans="1:40" x14ac:dyDescent="0.3">
      <c r="A1159" s="2" t="s">
        <v>1416</v>
      </c>
      <c r="B1159" s="2">
        <v>8678040</v>
      </c>
      <c r="C1159" s="3" t="str">
        <f t="shared" si="1279"/>
        <v>Nie</v>
      </c>
      <c r="D1159" s="3" t="str">
        <f t="shared" si="1280"/>
        <v>Áno</v>
      </c>
      <c r="E1159" s="3" t="s">
        <v>48</v>
      </c>
      <c r="F1159" s="3" t="s">
        <v>49</v>
      </c>
      <c r="G1159" s="2" t="str">
        <f t="shared" si="1281"/>
        <v>Malé zmluvy</v>
      </c>
      <c r="H1159" s="5">
        <v>35722959</v>
      </c>
      <c r="I1159" s="2" t="s">
        <v>1417</v>
      </c>
      <c r="J1159" s="2" t="s">
        <v>1418</v>
      </c>
      <c r="K1159" s="5">
        <v>35800593</v>
      </c>
      <c r="L1159" s="2" t="s">
        <v>1419</v>
      </c>
      <c r="M1159" s="2" t="s">
        <v>1420</v>
      </c>
      <c r="N1159" s="6">
        <v>45267.470590277779</v>
      </c>
      <c r="O1159" s="4">
        <v>283200</v>
      </c>
      <c r="P1159" s="2">
        <v>114725</v>
      </c>
      <c r="Q1159" s="2" t="s">
        <v>1421</v>
      </c>
      <c r="R1159" s="2" t="s">
        <v>1422</v>
      </c>
      <c r="S1159" s="2" t="s">
        <v>183</v>
      </c>
      <c r="T1159" s="2" t="s">
        <v>183</v>
      </c>
      <c r="W1159" s="4">
        <v>680</v>
      </c>
      <c r="X1159" s="4">
        <v>816</v>
      </c>
      <c r="Y1159" s="4">
        <f t="shared" ref="Y1159" si="1289">INDEX(InternalRates,MATCH($S1159,InternalRates01,FALSE),2)</f>
        <v>278.98333333333335</v>
      </c>
      <c r="Z1159" s="3" t="str">
        <f t="shared" si="1244"/>
        <v>Nie</v>
      </c>
      <c r="AA1159" s="3" t="str">
        <f t="shared" si="1245"/>
        <v>SLA</v>
      </c>
      <c r="AD1159" s="3" t="s">
        <v>48</v>
      </c>
      <c r="AE1159" s="6">
        <v>45539</v>
      </c>
      <c r="AF1159" s="3" t="s">
        <v>59</v>
      </c>
      <c r="AG1159" s="3" t="s">
        <v>60</v>
      </c>
      <c r="AH1159" s="3">
        <f>YEAR(SrcDB[[#This Row],[Datum_zverejnenia]])</f>
        <v>2023</v>
      </c>
      <c r="AI1159" s="3" cm="1">
        <f t="array" ref="AI1159">COUNT(_xlfn.UNIQUE(_xlfn._xlws.FILTER(SrcDB[ID],SrcDB[Objednavatel_ICO]=$H1159)))</f>
        <v>2</v>
      </c>
      <c r="AJ1159" s="3" cm="1">
        <f t="array" ref="AJ1159">COUNT(_xlfn.UNIQUE(_xlfn._xlws.FILTER(SrcDB[ID],SrcDB[Dodavatel_ICO]=$K1159)))</f>
        <v>1</v>
      </c>
      <c r="AK1159" s="3">
        <f t="shared" si="1285"/>
        <v>1</v>
      </c>
      <c r="AL1159" s="3">
        <f t="shared" si="1286"/>
        <v>1</v>
      </c>
      <c r="AM1159" s="17" t="str">
        <f>IF(SrcDB[[#This Row],[Pocet zmluv objednavatela]]&gt;3,SrcDB[[#This Row],[Objednavatel]],"Ostatné")</f>
        <v>Ostatné</v>
      </c>
      <c r="AN1159" s="17" t="str">
        <f>IF(SrcDB[[#This Row],[Pocet zmluv dodavatela]]&gt;3,SrcDB[[#This Row],[Dodavatel]],"Ostatné")</f>
        <v>Ostatné</v>
      </c>
    </row>
    <row r="1160" spans="1:40" x14ac:dyDescent="0.3">
      <c r="A1160" s="2" t="s">
        <v>1423</v>
      </c>
      <c r="B1160" s="2">
        <v>8724956</v>
      </c>
      <c r="C1160" s="3" t="str">
        <f t="shared" si="1279"/>
        <v>Nejasné</v>
      </c>
      <c r="D1160" s="3" t="str">
        <f t="shared" si="1280"/>
        <v>Nejasné</v>
      </c>
      <c r="E1160" s="3" t="s">
        <v>48</v>
      </c>
      <c r="F1160" s="3" t="s">
        <v>49</v>
      </c>
      <c r="G1160" s="2" t="str">
        <f t="shared" si="1281"/>
        <v>Malé zmluvy</v>
      </c>
      <c r="H1160" s="5" t="s">
        <v>1424</v>
      </c>
      <c r="I1160" s="2" t="s">
        <v>1425</v>
      </c>
      <c r="J1160" s="2" t="s">
        <v>1426</v>
      </c>
      <c r="K1160" s="5">
        <v>31612989</v>
      </c>
      <c r="L1160" s="2" t="s">
        <v>952</v>
      </c>
      <c r="M1160" s="2" t="s">
        <v>1427</v>
      </c>
      <c r="N1160" s="6">
        <v>45278.658784722225</v>
      </c>
      <c r="O1160" s="4">
        <v>427499.52000000002</v>
      </c>
      <c r="P1160" s="2">
        <v>6215909</v>
      </c>
      <c r="Q1160" s="2" t="s">
        <v>1428</v>
      </c>
      <c r="R1160" s="2" t="s">
        <v>1429</v>
      </c>
      <c r="S1160" s="2" t="s">
        <v>183</v>
      </c>
      <c r="T1160" s="2" t="s">
        <v>183</v>
      </c>
      <c r="W1160" s="4">
        <v>712</v>
      </c>
      <c r="X1160" s="4">
        <v>854.4</v>
      </c>
      <c r="Y1160" s="4">
        <f t="shared" ref="Y1160" si="1290">INDEX(InternalRates,MATCH($S1160,InternalRates01,FALSE),2)</f>
        <v>278.98333333333335</v>
      </c>
      <c r="Z1160" s="3" t="str">
        <f t="shared" si="1244"/>
        <v>Nie</v>
      </c>
      <c r="AA1160" s="3" t="str">
        <f t="shared" si="1245"/>
        <v>SLA</v>
      </c>
      <c r="AB1160" s="4">
        <v>190</v>
      </c>
      <c r="AC1160" s="4">
        <v>190</v>
      </c>
      <c r="AD1160" s="3" t="s">
        <v>49</v>
      </c>
      <c r="AE1160" s="6">
        <v>45540</v>
      </c>
      <c r="AF1160" s="3" t="s">
        <v>59</v>
      </c>
      <c r="AG1160" s="3" t="s">
        <v>60</v>
      </c>
      <c r="AH1160" s="3">
        <f>YEAR(SrcDB[[#This Row],[Datum_zverejnenia]])</f>
        <v>2023</v>
      </c>
      <c r="AI1160" s="3" cm="1">
        <f t="array" ref="AI1160">COUNT(_xlfn.UNIQUE(_xlfn._xlws.FILTER(SrcDB[ID],SrcDB[Objednavatel_ICO]=$H1160)))</f>
        <v>1</v>
      </c>
      <c r="AJ1160" s="3" cm="1">
        <f t="array" ref="AJ1160">COUNT(_xlfn.UNIQUE(_xlfn._xlws.FILTER(SrcDB[ID],SrcDB[Dodavatel_ICO]=$K1160)))</f>
        <v>3</v>
      </c>
      <c r="AK1160" s="3">
        <f t="shared" si="1285"/>
        <v>1</v>
      </c>
      <c r="AL1160" s="3">
        <f t="shared" si="1286"/>
        <v>1</v>
      </c>
      <c r="AM1160" s="17" t="str">
        <f>IF(SrcDB[[#This Row],[Pocet zmluv objednavatela]]&gt;3,SrcDB[[#This Row],[Objednavatel]],"Ostatné")</f>
        <v>Ostatné</v>
      </c>
      <c r="AN1160" s="17" t="str">
        <f>IF(SrcDB[[#This Row],[Pocet zmluv dodavatela]]&gt;3,SrcDB[[#This Row],[Dodavatel]],"Ostatné")</f>
        <v>Ostatné</v>
      </c>
    </row>
    <row r="1161" spans="1:40" x14ac:dyDescent="0.3">
      <c r="A1161" s="2" t="s">
        <v>1430</v>
      </c>
      <c r="B1161" s="2">
        <v>8740911</v>
      </c>
      <c r="C1161" s="3" t="str">
        <f t="shared" si="1279"/>
        <v>Nie</v>
      </c>
      <c r="D1161" s="3" t="str">
        <f t="shared" si="1280"/>
        <v>Áno</v>
      </c>
      <c r="E1161" s="3" t="s">
        <v>48</v>
      </c>
      <c r="F1161" s="3" t="s">
        <v>49</v>
      </c>
      <c r="G1161" s="2" t="str">
        <f t="shared" si="1281"/>
        <v>Malé zmluvy</v>
      </c>
      <c r="H1161" s="5">
        <v>36631124</v>
      </c>
      <c r="I1161" s="2" t="s">
        <v>104</v>
      </c>
      <c r="J1161" s="2" t="s">
        <v>105</v>
      </c>
      <c r="K1161" s="5">
        <v>36785512</v>
      </c>
      <c r="L1161" s="2" t="s">
        <v>700</v>
      </c>
      <c r="M1161" s="2" t="s">
        <v>733</v>
      </c>
      <c r="N1161" s="6">
        <v>45280.610694444447</v>
      </c>
      <c r="O1161" s="4">
        <v>498662.40000000002</v>
      </c>
      <c r="P1161" s="2">
        <v>114573</v>
      </c>
      <c r="Q1161" s="2" t="s">
        <v>1431</v>
      </c>
      <c r="R1161" s="2" t="s">
        <v>1432</v>
      </c>
      <c r="S1161" s="2" t="s">
        <v>73</v>
      </c>
      <c r="T1161" s="2" t="s">
        <v>736</v>
      </c>
      <c r="W1161" s="4">
        <v>808.48</v>
      </c>
      <c r="X1161" s="4">
        <v>970.17599999999993</v>
      </c>
      <c r="Y1161" s="4">
        <f t="shared" ref="Y1161" si="1291">INDEX(InternalRates,MATCH($S1161,InternalRates01,FALSE),2)</f>
        <v>278.98333333333335</v>
      </c>
      <c r="Z1161" s="3" t="str">
        <f t="shared" si="1244"/>
        <v>Nie</v>
      </c>
      <c r="AA1161" s="3" t="str">
        <f t="shared" si="1245"/>
        <v>SLA</v>
      </c>
      <c r="AB1161" s="4">
        <v>1.7669842526363406</v>
      </c>
      <c r="AC1161" s="4">
        <v>0.88349212631817031</v>
      </c>
      <c r="AD1161" s="3" t="s">
        <v>48</v>
      </c>
      <c r="AE1161" s="6">
        <v>45540</v>
      </c>
      <c r="AF1161" s="3" t="s">
        <v>59</v>
      </c>
      <c r="AG1161" s="3" t="s">
        <v>60</v>
      </c>
      <c r="AH1161" s="3">
        <f>YEAR(SrcDB[[#This Row],[Datum_zverejnenia]])</f>
        <v>2023</v>
      </c>
      <c r="AI1161" s="3" cm="1">
        <f t="array" ref="AI1161">COUNT(_xlfn.UNIQUE(_xlfn._xlws.FILTER(SrcDB[ID],SrcDB[Objednavatel_ICO]=$H1161)))</f>
        <v>17</v>
      </c>
      <c r="AJ1161" s="3" cm="1">
        <f t="array" ref="AJ1161">COUNT(_xlfn.UNIQUE(_xlfn._xlws.FILTER(SrcDB[ID],SrcDB[Dodavatel_ICO]=$K1161)))</f>
        <v>7</v>
      </c>
      <c r="AK1161" s="3">
        <f t="shared" si="1285"/>
        <v>1</v>
      </c>
      <c r="AL1161" s="3">
        <f t="shared" si="1286"/>
        <v>1</v>
      </c>
      <c r="AM1161" s="17" t="str">
        <f>IF(SrcDB[[#This Row],[Pocet zmluv objednavatela]]&gt;3,SrcDB[[#This Row],[Objednavatel]],"Ostatné")</f>
        <v>Slovenská pošta, a. s.</v>
      </c>
      <c r="AN1161" s="17" t="str">
        <f>IF(SrcDB[[#This Row],[Pocet zmluv dodavatela]]&gt;3,SrcDB[[#This Row],[Dodavatel]],"Ostatné")</f>
        <v>SOFTIP, a. s.</v>
      </c>
    </row>
    <row r="1162" spans="1:40" x14ac:dyDescent="0.3">
      <c r="A1162" s="2" t="s">
        <v>1430</v>
      </c>
      <c r="B1162" s="2">
        <v>8740911</v>
      </c>
      <c r="C1162" s="3" t="str">
        <f t="shared" si="1279"/>
        <v>Nie</v>
      </c>
      <c r="D1162" s="3" t="str">
        <f t="shared" si="1280"/>
        <v>Áno</v>
      </c>
      <c r="E1162" s="3" t="s">
        <v>48</v>
      </c>
      <c r="F1162" s="3" t="s">
        <v>49</v>
      </c>
      <c r="G1162" s="2" t="str">
        <f t="shared" si="1281"/>
        <v>Malé zmluvy</v>
      </c>
      <c r="H1162" s="5">
        <v>36631124</v>
      </c>
      <c r="I1162" s="2" t="s">
        <v>104</v>
      </c>
      <c r="J1162" s="2" t="s">
        <v>105</v>
      </c>
      <c r="K1162" s="5">
        <v>36785512</v>
      </c>
      <c r="L1162" s="2" t="s">
        <v>700</v>
      </c>
      <c r="M1162" s="2" t="s">
        <v>733</v>
      </c>
      <c r="N1162" s="6">
        <v>45280.610694444447</v>
      </c>
      <c r="O1162" s="4">
        <v>498662.40000000002</v>
      </c>
      <c r="P1162" s="2">
        <v>114573</v>
      </c>
      <c r="Q1162" s="2" t="s">
        <v>1431</v>
      </c>
      <c r="R1162" s="2" t="s">
        <v>1432</v>
      </c>
      <c r="S1162" s="2" t="s">
        <v>69</v>
      </c>
      <c r="T1162" s="2" t="s">
        <v>70</v>
      </c>
      <c r="W1162" s="4">
        <v>808.48</v>
      </c>
      <c r="X1162" s="4">
        <v>970.17599999999993</v>
      </c>
      <c r="Y1162" s="4">
        <f t="shared" ref="Y1162" si="1292">INDEX(InternalRates,MATCH($S1162,InternalRates01,FALSE),2)</f>
        <v>278.98333333333335</v>
      </c>
      <c r="Z1162" s="3" t="str">
        <f t="shared" si="1244"/>
        <v>Nie</v>
      </c>
      <c r="AA1162" s="3" t="str">
        <f t="shared" si="1245"/>
        <v>SLA</v>
      </c>
      <c r="AB1162" s="4">
        <v>1.7669842526363406</v>
      </c>
      <c r="AC1162" s="4">
        <v>0.88349212631817031</v>
      </c>
      <c r="AD1162" s="3" t="s">
        <v>48</v>
      </c>
      <c r="AE1162" s="6">
        <v>45540</v>
      </c>
      <c r="AF1162" s="3" t="s">
        <v>59</v>
      </c>
      <c r="AG1162" s="3" t="s">
        <v>60</v>
      </c>
      <c r="AH1162" s="3">
        <f>YEAR(SrcDB[[#This Row],[Datum_zverejnenia]])</f>
        <v>2023</v>
      </c>
      <c r="AI1162" s="3" cm="1">
        <f t="array" ref="AI1162">COUNT(_xlfn.UNIQUE(_xlfn._xlws.FILTER(SrcDB[ID],SrcDB[Objednavatel_ICO]=$H1162)))</f>
        <v>17</v>
      </c>
      <c r="AJ1162" s="3" cm="1">
        <f t="array" ref="AJ1162">COUNT(_xlfn.UNIQUE(_xlfn._xlws.FILTER(SrcDB[ID],SrcDB[Dodavatel_ICO]=$K1162)))</f>
        <v>7</v>
      </c>
      <c r="AK1162" s="3">
        <f t="shared" si="1285"/>
        <v>0</v>
      </c>
      <c r="AL1162" s="3">
        <f t="shared" si="1286"/>
        <v>0</v>
      </c>
      <c r="AM1162" s="17" t="str">
        <f>IF(SrcDB[[#This Row],[Pocet zmluv objednavatela]]&gt;3,SrcDB[[#This Row],[Objednavatel]],"Ostatné")</f>
        <v>Slovenská pošta, a. s.</v>
      </c>
      <c r="AN1162" s="17" t="str">
        <f>IF(SrcDB[[#This Row],[Pocet zmluv dodavatela]]&gt;3,SrcDB[[#This Row],[Dodavatel]],"Ostatné")</f>
        <v>SOFTIP, a. s.</v>
      </c>
    </row>
    <row r="1163" spans="1:40" x14ac:dyDescent="0.3">
      <c r="A1163" s="2" t="s">
        <v>1430</v>
      </c>
      <c r="B1163" s="2">
        <v>8740911</v>
      </c>
      <c r="C1163" s="3" t="str">
        <f t="shared" si="1279"/>
        <v>Nie</v>
      </c>
      <c r="D1163" s="3" t="str">
        <f t="shared" si="1280"/>
        <v>Áno</v>
      </c>
      <c r="E1163" s="3" t="s">
        <v>48</v>
      </c>
      <c r="F1163" s="3" t="s">
        <v>49</v>
      </c>
      <c r="G1163" s="2" t="str">
        <f t="shared" si="1281"/>
        <v>Malé zmluvy</v>
      </c>
      <c r="H1163" s="5">
        <v>36631124</v>
      </c>
      <c r="I1163" s="2" t="s">
        <v>104</v>
      </c>
      <c r="J1163" s="2" t="s">
        <v>105</v>
      </c>
      <c r="K1163" s="5">
        <v>36785512</v>
      </c>
      <c r="L1163" s="2" t="s">
        <v>700</v>
      </c>
      <c r="M1163" s="2" t="s">
        <v>733</v>
      </c>
      <c r="N1163" s="6">
        <v>45280.610694444447</v>
      </c>
      <c r="O1163" s="4">
        <v>498662.40000000002</v>
      </c>
      <c r="P1163" s="2">
        <v>114573</v>
      </c>
      <c r="Q1163" s="2" t="s">
        <v>1431</v>
      </c>
      <c r="R1163" s="2" t="s">
        <v>1432</v>
      </c>
      <c r="S1163" s="2" t="s">
        <v>56</v>
      </c>
      <c r="T1163" s="2" t="s">
        <v>328</v>
      </c>
      <c r="U1163" s="2" t="s">
        <v>113</v>
      </c>
      <c r="W1163" s="4">
        <v>754.64</v>
      </c>
      <c r="X1163" s="4">
        <v>905.56799999999998</v>
      </c>
      <c r="Y1163" s="4">
        <f t="shared" ref="Y1163" si="1293">INDEX(InternalRates,MATCH($S1163,InternalRates01,FALSE),2)</f>
        <v>278.98333333333335</v>
      </c>
      <c r="Z1163" s="3" t="str">
        <f t="shared" si="1244"/>
        <v>Nie</v>
      </c>
      <c r="AA1163" s="3" t="str">
        <f t="shared" si="1245"/>
        <v>SLA</v>
      </c>
      <c r="AB1163" s="4">
        <v>1.8930502339810091</v>
      </c>
      <c r="AC1163" s="4">
        <v>0.94652511699050457</v>
      </c>
      <c r="AD1163" s="3" t="s">
        <v>48</v>
      </c>
      <c r="AE1163" s="6">
        <v>45540</v>
      </c>
      <c r="AF1163" s="3" t="s">
        <v>59</v>
      </c>
      <c r="AG1163" s="3" t="s">
        <v>60</v>
      </c>
      <c r="AH1163" s="3">
        <f>YEAR(SrcDB[[#This Row],[Datum_zverejnenia]])</f>
        <v>2023</v>
      </c>
      <c r="AI1163" s="3" cm="1">
        <f t="array" ref="AI1163">COUNT(_xlfn.UNIQUE(_xlfn._xlws.FILTER(SrcDB[ID],SrcDB[Objednavatel_ICO]=$H1163)))</f>
        <v>17</v>
      </c>
      <c r="AJ1163" s="3" cm="1">
        <f t="array" ref="AJ1163">COUNT(_xlfn.UNIQUE(_xlfn._xlws.FILTER(SrcDB[ID],SrcDB[Dodavatel_ICO]=$K1163)))</f>
        <v>7</v>
      </c>
      <c r="AK1163" s="3">
        <f t="shared" si="1285"/>
        <v>0</v>
      </c>
      <c r="AL1163" s="3">
        <f t="shared" si="1286"/>
        <v>0</v>
      </c>
      <c r="AM1163" s="17" t="str">
        <f>IF(SrcDB[[#This Row],[Pocet zmluv objednavatela]]&gt;3,SrcDB[[#This Row],[Objednavatel]],"Ostatné")</f>
        <v>Slovenská pošta, a. s.</v>
      </c>
      <c r="AN1163" s="17" t="str">
        <f>IF(SrcDB[[#This Row],[Pocet zmluv dodavatela]]&gt;3,SrcDB[[#This Row],[Dodavatel]],"Ostatné")</f>
        <v>SOFTIP, a. s.</v>
      </c>
    </row>
    <row r="1164" spans="1:40" x14ac:dyDescent="0.3">
      <c r="A1164" s="2" t="s">
        <v>1430</v>
      </c>
      <c r="B1164" s="2">
        <v>8740911</v>
      </c>
      <c r="C1164" s="3" t="str">
        <f t="shared" si="1279"/>
        <v>Nie</v>
      </c>
      <c r="D1164" s="3" t="str">
        <f t="shared" si="1280"/>
        <v>Áno</v>
      </c>
      <c r="E1164" s="3" t="s">
        <v>48</v>
      </c>
      <c r="F1164" s="3" t="s">
        <v>49</v>
      </c>
      <c r="G1164" s="2" t="str">
        <f t="shared" si="1281"/>
        <v>Malé zmluvy</v>
      </c>
      <c r="H1164" s="5">
        <v>36631124</v>
      </c>
      <c r="I1164" s="2" t="s">
        <v>104</v>
      </c>
      <c r="J1164" s="2" t="s">
        <v>105</v>
      </c>
      <c r="K1164" s="5">
        <v>36785512</v>
      </c>
      <c r="L1164" s="2" t="s">
        <v>700</v>
      </c>
      <c r="M1164" s="2" t="s">
        <v>733</v>
      </c>
      <c r="N1164" s="6">
        <v>45280.610694444447</v>
      </c>
      <c r="O1164" s="4">
        <v>498662.40000000002</v>
      </c>
      <c r="P1164" s="2">
        <v>114573</v>
      </c>
      <c r="Q1164" s="2" t="s">
        <v>1431</v>
      </c>
      <c r="R1164" s="2" t="s">
        <v>1432</v>
      </c>
      <c r="S1164" s="2" t="s">
        <v>77</v>
      </c>
      <c r="T1164" s="2" t="s">
        <v>77</v>
      </c>
      <c r="W1164" s="4">
        <v>754.64</v>
      </c>
      <c r="X1164" s="4">
        <v>905.56799999999998</v>
      </c>
      <c r="Y1164" s="4">
        <f t="shared" ref="Y1164" si="1294">INDEX(InternalRates,MATCH($S1164,InternalRates01,FALSE),2)</f>
        <v>278.98333333333335</v>
      </c>
      <c r="Z1164" s="3" t="str">
        <f t="shared" si="1244"/>
        <v>Nie</v>
      </c>
      <c r="AA1164" s="3" t="str">
        <f t="shared" si="1245"/>
        <v>SLA</v>
      </c>
      <c r="AB1164" s="4">
        <v>1.8930502339810091</v>
      </c>
      <c r="AC1164" s="4">
        <v>0.94652511699050457</v>
      </c>
      <c r="AD1164" s="3" t="s">
        <v>48</v>
      </c>
      <c r="AE1164" s="6">
        <v>45540</v>
      </c>
      <c r="AF1164" s="3" t="s">
        <v>59</v>
      </c>
      <c r="AG1164" s="3" t="s">
        <v>60</v>
      </c>
      <c r="AH1164" s="3">
        <f>YEAR(SrcDB[[#This Row],[Datum_zverejnenia]])</f>
        <v>2023</v>
      </c>
      <c r="AI1164" s="3" cm="1">
        <f t="array" ref="AI1164">COUNT(_xlfn.UNIQUE(_xlfn._xlws.FILTER(SrcDB[ID],SrcDB[Objednavatel_ICO]=$H1164)))</f>
        <v>17</v>
      </c>
      <c r="AJ1164" s="3" cm="1">
        <f t="array" ref="AJ1164">COUNT(_xlfn.UNIQUE(_xlfn._xlws.FILTER(SrcDB[ID],SrcDB[Dodavatel_ICO]=$K1164)))</f>
        <v>7</v>
      </c>
      <c r="AK1164" s="3">
        <f t="shared" si="1285"/>
        <v>0</v>
      </c>
      <c r="AL1164" s="3">
        <f t="shared" si="1286"/>
        <v>0</v>
      </c>
      <c r="AM1164" s="17" t="str">
        <f>IF(SrcDB[[#This Row],[Pocet zmluv objednavatela]]&gt;3,SrcDB[[#This Row],[Objednavatel]],"Ostatné")</f>
        <v>Slovenská pošta, a. s.</v>
      </c>
      <c r="AN1164" s="17" t="str">
        <f>IF(SrcDB[[#This Row],[Pocet zmluv dodavatela]]&gt;3,SrcDB[[#This Row],[Dodavatel]],"Ostatné")</f>
        <v>SOFTIP, a. s.</v>
      </c>
    </row>
    <row r="1165" spans="1:40" x14ac:dyDescent="0.3">
      <c r="A1165" s="2" t="s">
        <v>1430</v>
      </c>
      <c r="B1165" s="2">
        <v>8740911</v>
      </c>
      <c r="C1165" s="3" t="str">
        <f t="shared" si="1279"/>
        <v>Nie</v>
      </c>
      <c r="D1165" s="3" t="str">
        <f t="shared" si="1280"/>
        <v>Áno</v>
      </c>
      <c r="E1165" s="3" t="s">
        <v>48</v>
      </c>
      <c r="F1165" s="3" t="s">
        <v>49</v>
      </c>
      <c r="G1165" s="2" t="str">
        <f t="shared" si="1281"/>
        <v>Malé zmluvy</v>
      </c>
      <c r="H1165" s="5">
        <v>36631124</v>
      </c>
      <c r="I1165" s="2" t="s">
        <v>104</v>
      </c>
      <c r="J1165" s="2" t="s">
        <v>105</v>
      </c>
      <c r="K1165" s="5">
        <v>36785512</v>
      </c>
      <c r="L1165" s="2" t="s">
        <v>700</v>
      </c>
      <c r="M1165" s="2" t="s">
        <v>733</v>
      </c>
      <c r="N1165" s="6">
        <v>45280.610694444447</v>
      </c>
      <c r="O1165" s="4">
        <v>498662.40000000002</v>
      </c>
      <c r="P1165" s="2">
        <v>114573</v>
      </c>
      <c r="Q1165" s="2" t="s">
        <v>1431</v>
      </c>
      <c r="R1165" s="2" t="s">
        <v>1432</v>
      </c>
      <c r="S1165" s="2" t="s">
        <v>79</v>
      </c>
      <c r="T1165" s="2" t="s">
        <v>1433</v>
      </c>
      <c r="W1165" s="4">
        <v>733.04</v>
      </c>
      <c r="X1165" s="4">
        <v>879.64799999999991</v>
      </c>
      <c r="Y1165" s="4">
        <f t="shared" ref="Y1165" si="1295">INDEX(InternalRates,MATCH($S1165,InternalRates01,FALSE),2)</f>
        <v>278.98333333333335</v>
      </c>
      <c r="Z1165" s="3" t="str">
        <f t="shared" si="1244"/>
        <v>Nie</v>
      </c>
      <c r="AA1165" s="3" t="str">
        <f t="shared" si="1245"/>
        <v>SLA</v>
      </c>
      <c r="AB1165" s="4">
        <v>1.948831480644206</v>
      </c>
      <c r="AC1165" s="4">
        <v>0.97441574032210299</v>
      </c>
      <c r="AD1165" s="3" t="s">
        <v>48</v>
      </c>
      <c r="AE1165" s="6">
        <v>45540</v>
      </c>
      <c r="AF1165" s="3" t="s">
        <v>59</v>
      </c>
      <c r="AG1165" s="3" t="s">
        <v>60</v>
      </c>
      <c r="AH1165" s="3">
        <f>YEAR(SrcDB[[#This Row],[Datum_zverejnenia]])</f>
        <v>2023</v>
      </c>
      <c r="AI1165" s="3" cm="1">
        <f t="array" ref="AI1165">COUNT(_xlfn.UNIQUE(_xlfn._xlws.FILTER(SrcDB[ID],SrcDB[Objednavatel_ICO]=$H1165)))</f>
        <v>17</v>
      </c>
      <c r="AJ1165" s="3" cm="1">
        <f t="array" ref="AJ1165">COUNT(_xlfn.UNIQUE(_xlfn._xlws.FILTER(SrcDB[ID],SrcDB[Dodavatel_ICO]=$K1165)))</f>
        <v>7</v>
      </c>
      <c r="AK1165" s="3">
        <f t="shared" si="1285"/>
        <v>0</v>
      </c>
      <c r="AL1165" s="3">
        <f t="shared" si="1286"/>
        <v>0</v>
      </c>
      <c r="AM1165" s="17" t="str">
        <f>IF(SrcDB[[#This Row],[Pocet zmluv objednavatela]]&gt;3,SrcDB[[#This Row],[Objednavatel]],"Ostatné")</f>
        <v>Slovenská pošta, a. s.</v>
      </c>
      <c r="AN1165" s="17" t="str">
        <f>IF(SrcDB[[#This Row],[Pocet zmluv dodavatela]]&gt;3,SrcDB[[#This Row],[Dodavatel]],"Ostatné")</f>
        <v>SOFTIP, a. s.</v>
      </c>
    </row>
    <row r="1166" spans="1:40" x14ac:dyDescent="0.3">
      <c r="A1166" s="2" t="s">
        <v>1430</v>
      </c>
      <c r="B1166" s="2">
        <v>8740911</v>
      </c>
      <c r="C1166" s="3" t="str">
        <f t="shared" si="1279"/>
        <v>Nie</v>
      </c>
      <c r="D1166" s="3" t="str">
        <f t="shared" si="1280"/>
        <v>Áno</v>
      </c>
      <c r="E1166" s="3" t="s">
        <v>48</v>
      </c>
      <c r="F1166" s="3" t="s">
        <v>49</v>
      </c>
      <c r="G1166" s="2" t="str">
        <f t="shared" si="1281"/>
        <v>Malé zmluvy</v>
      </c>
      <c r="H1166" s="5">
        <v>36631124</v>
      </c>
      <c r="I1166" s="2" t="s">
        <v>104</v>
      </c>
      <c r="J1166" s="2" t="s">
        <v>105</v>
      </c>
      <c r="K1166" s="5">
        <v>36785512</v>
      </c>
      <c r="L1166" s="2" t="s">
        <v>700</v>
      </c>
      <c r="M1166" s="2" t="s">
        <v>733</v>
      </c>
      <c r="N1166" s="6">
        <v>45280.610694444447</v>
      </c>
      <c r="O1166" s="4">
        <v>498662.40000000002</v>
      </c>
      <c r="P1166" s="2">
        <v>114573</v>
      </c>
      <c r="Q1166" s="2" t="s">
        <v>1431</v>
      </c>
      <c r="R1166" s="2" t="s">
        <v>1432</v>
      </c>
      <c r="S1166" s="2" t="s">
        <v>56</v>
      </c>
      <c r="T1166" s="2" t="s">
        <v>738</v>
      </c>
      <c r="U1166" s="2" t="s">
        <v>58</v>
      </c>
      <c r="W1166" s="4">
        <v>808.48</v>
      </c>
      <c r="X1166" s="4">
        <v>970.17599999999993</v>
      </c>
      <c r="Y1166" s="4">
        <f t="shared" ref="Y1166" si="1296">INDEX(InternalRates,MATCH($S1166,InternalRates01,FALSE),2)</f>
        <v>278.98333333333335</v>
      </c>
      <c r="Z1166" s="3" t="str">
        <f t="shared" si="1244"/>
        <v>Nie</v>
      </c>
      <c r="AA1166" s="3" t="str">
        <f t="shared" si="1245"/>
        <v>SLA</v>
      </c>
      <c r="AB1166" s="4">
        <v>1.7669842526363406</v>
      </c>
      <c r="AC1166" s="4">
        <v>0.88349212631817031</v>
      </c>
      <c r="AD1166" s="3" t="s">
        <v>48</v>
      </c>
      <c r="AE1166" s="6">
        <v>45540</v>
      </c>
      <c r="AF1166" s="3" t="s">
        <v>59</v>
      </c>
      <c r="AG1166" s="3" t="s">
        <v>60</v>
      </c>
      <c r="AH1166" s="3">
        <f>YEAR(SrcDB[[#This Row],[Datum_zverejnenia]])</f>
        <v>2023</v>
      </c>
      <c r="AI1166" s="3" cm="1">
        <f t="array" ref="AI1166">COUNT(_xlfn.UNIQUE(_xlfn._xlws.FILTER(SrcDB[ID],SrcDB[Objednavatel_ICO]=$H1166)))</f>
        <v>17</v>
      </c>
      <c r="AJ1166" s="3" cm="1">
        <f t="array" ref="AJ1166">COUNT(_xlfn.UNIQUE(_xlfn._xlws.FILTER(SrcDB[ID],SrcDB[Dodavatel_ICO]=$K1166)))</f>
        <v>7</v>
      </c>
      <c r="AK1166" s="3">
        <f t="shared" si="1285"/>
        <v>0</v>
      </c>
      <c r="AL1166" s="3">
        <f t="shared" si="1286"/>
        <v>0</v>
      </c>
      <c r="AM1166" s="17" t="str">
        <f>IF(SrcDB[[#This Row],[Pocet zmluv objednavatela]]&gt;3,SrcDB[[#This Row],[Objednavatel]],"Ostatné")</f>
        <v>Slovenská pošta, a. s.</v>
      </c>
      <c r="AN1166" s="17" t="str">
        <f>IF(SrcDB[[#This Row],[Pocet zmluv dodavatela]]&gt;3,SrcDB[[#This Row],[Dodavatel]],"Ostatné")</f>
        <v>SOFTIP, a. s.</v>
      </c>
    </row>
    <row r="1167" spans="1:40" x14ac:dyDescent="0.3">
      <c r="A1167" s="2" t="s">
        <v>1430</v>
      </c>
      <c r="B1167" s="2">
        <v>8740911</v>
      </c>
      <c r="C1167" s="3" t="str">
        <f t="shared" si="1279"/>
        <v>Nie</v>
      </c>
      <c r="D1167" s="3" t="str">
        <f t="shared" si="1280"/>
        <v>Áno</v>
      </c>
      <c r="E1167" s="3" t="s">
        <v>48</v>
      </c>
      <c r="F1167" s="3" t="s">
        <v>49</v>
      </c>
      <c r="G1167" s="2" t="str">
        <f t="shared" si="1281"/>
        <v>Malé zmluvy</v>
      </c>
      <c r="H1167" s="5">
        <v>36631124</v>
      </c>
      <c r="I1167" s="2" t="s">
        <v>104</v>
      </c>
      <c r="J1167" s="2" t="s">
        <v>105</v>
      </c>
      <c r="K1167" s="5">
        <v>36785512</v>
      </c>
      <c r="L1167" s="2" t="s">
        <v>700</v>
      </c>
      <c r="M1167" s="2" t="s">
        <v>733</v>
      </c>
      <c r="N1167" s="6">
        <v>45280.610694444447</v>
      </c>
      <c r="O1167" s="4">
        <v>498662.40000000002</v>
      </c>
      <c r="P1167" s="2">
        <v>114573</v>
      </c>
      <c r="Q1167" s="2" t="s">
        <v>1431</v>
      </c>
      <c r="R1167" s="2" t="s">
        <v>1432</v>
      </c>
      <c r="S1167" s="2" t="s">
        <v>56</v>
      </c>
      <c r="T1167" s="2" t="s">
        <v>737</v>
      </c>
      <c r="U1167" s="2" t="s">
        <v>449</v>
      </c>
      <c r="W1167" s="4">
        <v>808.48</v>
      </c>
      <c r="X1167" s="4">
        <v>970.17599999999993</v>
      </c>
      <c r="Y1167" s="4">
        <f t="shared" ref="Y1167" si="1297">INDEX(InternalRates,MATCH($S1167,InternalRates01,FALSE),2)</f>
        <v>278.98333333333335</v>
      </c>
      <c r="Z1167" s="3" t="str">
        <f t="shared" si="1244"/>
        <v>Nie</v>
      </c>
      <c r="AA1167" s="3" t="str">
        <f t="shared" si="1245"/>
        <v>SLA</v>
      </c>
      <c r="AB1167" s="4">
        <v>1.7669842526363406</v>
      </c>
      <c r="AC1167" s="4">
        <v>0.88349212631817031</v>
      </c>
      <c r="AD1167" s="3" t="s">
        <v>48</v>
      </c>
      <c r="AE1167" s="6">
        <v>45540</v>
      </c>
      <c r="AF1167" s="3" t="s">
        <v>59</v>
      </c>
      <c r="AG1167" s="3" t="s">
        <v>60</v>
      </c>
      <c r="AH1167" s="3">
        <f>YEAR(SrcDB[[#This Row],[Datum_zverejnenia]])</f>
        <v>2023</v>
      </c>
      <c r="AI1167" s="3" cm="1">
        <f t="array" ref="AI1167">COUNT(_xlfn.UNIQUE(_xlfn._xlws.FILTER(SrcDB[ID],SrcDB[Objednavatel_ICO]=$H1167)))</f>
        <v>17</v>
      </c>
      <c r="AJ1167" s="3" cm="1">
        <f t="array" ref="AJ1167">COUNT(_xlfn.UNIQUE(_xlfn._xlws.FILTER(SrcDB[ID],SrcDB[Dodavatel_ICO]=$K1167)))</f>
        <v>7</v>
      </c>
      <c r="AK1167" s="3">
        <f t="shared" si="1285"/>
        <v>0</v>
      </c>
      <c r="AL1167" s="3">
        <f t="shared" si="1286"/>
        <v>0</v>
      </c>
      <c r="AM1167" s="17" t="str">
        <f>IF(SrcDB[[#This Row],[Pocet zmluv objednavatela]]&gt;3,SrcDB[[#This Row],[Objednavatel]],"Ostatné")</f>
        <v>Slovenská pošta, a. s.</v>
      </c>
      <c r="AN1167" s="17" t="str">
        <f>IF(SrcDB[[#This Row],[Pocet zmluv dodavatela]]&gt;3,SrcDB[[#This Row],[Dodavatel]],"Ostatné")</f>
        <v>SOFTIP, a. s.</v>
      </c>
    </row>
    <row r="1168" spans="1:40" x14ac:dyDescent="0.3">
      <c r="A1168" s="2" t="s">
        <v>523</v>
      </c>
      <c r="B1168" s="2">
        <v>8750592</v>
      </c>
      <c r="C1168" s="3" t="str">
        <f t="shared" si="1279"/>
        <v>Nejasné</v>
      </c>
      <c r="D1168" s="3" t="str">
        <f t="shared" si="1280"/>
        <v>Nejasné</v>
      </c>
      <c r="E1168" s="3" t="s">
        <v>48</v>
      </c>
      <c r="F1168" s="3" t="s">
        <v>49</v>
      </c>
      <c r="G1168" s="2" t="str">
        <f t="shared" si="1281"/>
        <v>Veľké zmluvy</v>
      </c>
      <c r="H1168" s="5">
        <v>31364501</v>
      </c>
      <c r="I1168" s="2" t="s">
        <v>220</v>
      </c>
      <c r="J1168" s="2" t="s">
        <v>726</v>
      </c>
      <c r="K1168" s="5">
        <v>35728531</v>
      </c>
      <c r="L1168" s="2" t="s">
        <v>310</v>
      </c>
      <c r="M1168" s="2" t="s">
        <v>311</v>
      </c>
      <c r="N1168" s="6">
        <v>45281.808796296296</v>
      </c>
      <c r="O1168" s="4">
        <v>8908004.9199999999</v>
      </c>
      <c r="P1168" s="2">
        <v>114573</v>
      </c>
      <c r="Q1168" s="2" t="s">
        <v>1434</v>
      </c>
      <c r="R1168" s="2" t="s">
        <v>1435</v>
      </c>
      <c r="S1168" s="2" t="s">
        <v>69</v>
      </c>
      <c r="T1168" s="2" t="s">
        <v>70</v>
      </c>
      <c r="W1168" s="4">
        <v>540</v>
      </c>
      <c r="X1168" s="4">
        <v>648</v>
      </c>
      <c r="Y1168" s="4">
        <f t="shared" ref="Y1168" si="1298">INDEX(InternalRates,MATCH($S1168,InternalRates01,FALSE),2)</f>
        <v>278.98333333333335</v>
      </c>
      <c r="Z1168" s="3" t="str">
        <f t="shared" si="1244"/>
        <v>Nie</v>
      </c>
      <c r="AA1168" s="3" t="str">
        <f t="shared" si="1245"/>
        <v>SLA</v>
      </c>
      <c r="AB1168" s="4">
        <v>370</v>
      </c>
      <c r="AC1168" s="4">
        <v>123.33333333333333</v>
      </c>
      <c r="AD1168" s="3" t="s">
        <v>48</v>
      </c>
      <c r="AE1168" s="6">
        <v>45540</v>
      </c>
      <c r="AF1168" s="3" t="s">
        <v>59</v>
      </c>
      <c r="AG1168" s="3" t="s">
        <v>49</v>
      </c>
      <c r="AH1168" s="3">
        <f>YEAR(SrcDB[[#This Row],[Datum_zverejnenia]])</f>
        <v>2023</v>
      </c>
      <c r="AI1168" s="3" cm="1">
        <f t="array" ref="AI1168">COUNT(_xlfn.UNIQUE(_xlfn._xlws.FILTER(SrcDB[ID],SrcDB[Objednavatel_ICO]=$H1168)))</f>
        <v>24</v>
      </c>
      <c r="AJ1168" s="3" cm="1">
        <f t="array" ref="AJ1168">COUNT(_xlfn.UNIQUE(_xlfn._xlws.FILTER(SrcDB[ID],SrcDB[Dodavatel_ICO]=$K1168)))</f>
        <v>8</v>
      </c>
      <c r="AK1168" s="3">
        <f t="shared" si="1285"/>
        <v>1</v>
      </c>
      <c r="AL1168" s="3">
        <f t="shared" si="1286"/>
        <v>1</v>
      </c>
      <c r="AM1168" s="17" t="str">
        <f>IF(SrcDB[[#This Row],[Pocet zmluv objednavatela]]&gt;3,SrcDB[[#This Row],[Objednavatel]],"Ostatné")</f>
        <v>Železnice Slovenskej republiky</v>
      </c>
      <c r="AN1168" s="17" t="str">
        <f>IF(SrcDB[[#This Row],[Pocet zmluv dodavatela]]&gt;3,SrcDB[[#This Row],[Dodavatel]],"Ostatné")</f>
        <v>InterWay, a.s.</v>
      </c>
    </row>
    <row r="1169" spans="1:40" x14ac:dyDescent="0.3">
      <c r="A1169" s="2" t="s">
        <v>523</v>
      </c>
      <c r="B1169" s="2">
        <v>8750592</v>
      </c>
      <c r="C1169" s="3" t="str">
        <f t="shared" si="1279"/>
        <v>Nejasné</v>
      </c>
      <c r="D1169" s="3" t="str">
        <f t="shared" si="1280"/>
        <v>Nejasné</v>
      </c>
      <c r="E1169" s="3" t="s">
        <v>48</v>
      </c>
      <c r="F1169" s="3" t="s">
        <v>49</v>
      </c>
      <c r="G1169" s="2" t="str">
        <f t="shared" si="1281"/>
        <v>Veľké zmluvy</v>
      </c>
      <c r="H1169" s="5">
        <v>31364501</v>
      </c>
      <c r="I1169" s="2" t="s">
        <v>220</v>
      </c>
      <c r="J1169" s="2" t="s">
        <v>726</v>
      </c>
      <c r="K1169" s="5">
        <v>35728531</v>
      </c>
      <c r="L1169" s="2" t="s">
        <v>310</v>
      </c>
      <c r="M1169" s="2" t="s">
        <v>311</v>
      </c>
      <c r="N1169" s="6">
        <v>45281.808796296296</v>
      </c>
      <c r="O1169" s="4">
        <v>8908004.9199999999</v>
      </c>
      <c r="P1169" s="2">
        <v>114573</v>
      </c>
      <c r="Q1169" s="2" t="s">
        <v>1434</v>
      </c>
      <c r="R1169" s="2" t="s">
        <v>1435</v>
      </c>
      <c r="S1169" s="2" t="s">
        <v>71</v>
      </c>
      <c r="T1169" s="2" t="s">
        <v>1436</v>
      </c>
      <c r="W1169" s="4">
        <v>540</v>
      </c>
      <c r="X1169" s="4">
        <v>648</v>
      </c>
      <c r="Y1169" s="4">
        <f t="shared" ref="Y1169" si="1299">INDEX(InternalRates,MATCH($S1169,InternalRates01,FALSE),2)</f>
        <v>354.0333333333333</v>
      </c>
      <c r="Z1169" s="3" t="str">
        <f t="shared" si="1244"/>
        <v>Nie</v>
      </c>
      <c r="AA1169" s="3" t="str">
        <f t="shared" si="1245"/>
        <v>SLA</v>
      </c>
      <c r="AB1169" s="4">
        <v>664</v>
      </c>
      <c r="AC1169" s="4">
        <v>221.33333333333334</v>
      </c>
      <c r="AD1169" s="3" t="s">
        <v>48</v>
      </c>
      <c r="AE1169" s="6">
        <v>45540</v>
      </c>
      <c r="AF1169" s="3" t="s">
        <v>59</v>
      </c>
      <c r="AG1169" s="3" t="s">
        <v>49</v>
      </c>
      <c r="AH1169" s="3">
        <f>YEAR(SrcDB[[#This Row],[Datum_zverejnenia]])</f>
        <v>2023</v>
      </c>
      <c r="AI1169" s="3" cm="1">
        <f t="array" ref="AI1169">COUNT(_xlfn.UNIQUE(_xlfn._xlws.FILTER(SrcDB[ID],SrcDB[Objednavatel_ICO]=$H1169)))</f>
        <v>24</v>
      </c>
      <c r="AJ1169" s="3" cm="1">
        <f t="array" ref="AJ1169">COUNT(_xlfn.UNIQUE(_xlfn._xlws.FILTER(SrcDB[ID],SrcDB[Dodavatel_ICO]=$K1169)))</f>
        <v>8</v>
      </c>
      <c r="AK1169" s="3">
        <f t="shared" si="1285"/>
        <v>0</v>
      </c>
      <c r="AL1169" s="3">
        <f t="shared" si="1286"/>
        <v>0</v>
      </c>
      <c r="AM1169" s="17" t="str">
        <f>IF(SrcDB[[#This Row],[Pocet zmluv objednavatela]]&gt;3,SrcDB[[#This Row],[Objednavatel]],"Ostatné")</f>
        <v>Železnice Slovenskej republiky</v>
      </c>
      <c r="AN1169" s="17" t="str">
        <f>IF(SrcDB[[#This Row],[Pocet zmluv dodavatela]]&gt;3,SrcDB[[#This Row],[Dodavatel]],"Ostatné")</f>
        <v>InterWay, a.s.</v>
      </c>
    </row>
    <row r="1170" spans="1:40" x14ac:dyDescent="0.3">
      <c r="A1170" s="2" t="s">
        <v>523</v>
      </c>
      <c r="B1170" s="2">
        <v>8750592</v>
      </c>
      <c r="C1170" s="3" t="str">
        <f t="shared" si="1279"/>
        <v>Nejasné</v>
      </c>
      <c r="D1170" s="3" t="str">
        <f t="shared" si="1280"/>
        <v>Nejasné</v>
      </c>
      <c r="E1170" s="3" t="s">
        <v>48</v>
      </c>
      <c r="F1170" s="3" t="s">
        <v>49</v>
      </c>
      <c r="G1170" s="2" t="str">
        <f t="shared" si="1281"/>
        <v>Veľké zmluvy</v>
      </c>
      <c r="H1170" s="5">
        <v>31364501</v>
      </c>
      <c r="I1170" s="2" t="s">
        <v>220</v>
      </c>
      <c r="J1170" s="2" t="s">
        <v>726</v>
      </c>
      <c r="K1170" s="5">
        <v>35728531</v>
      </c>
      <c r="L1170" s="2" t="s">
        <v>310</v>
      </c>
      <c r="M1170" s="2" t="s">
        <v>311</v>
      </c>
      <c r="N1170" s="6">
        <v>45281.808796296296</v>
      </c>
      <c r="O1170" s="4">
        <v>8908004.9199999999</v>
      </c>
      <c r="P1170" s="2">
        <v>114573</v>
      </c>
      <c r="Q1170" s="2" t="s">
        <v>1434</v>
      </c>
      <c r="R1170" s="2" t="s">
        <v>1435</v>
      </c>
      <c r="S1170" s="2" t="s">
        <v>56</v>
      </c>
      <c r="T1170" s="2" t="s">
        <v>1437</v>
      </c>
      <c r="U1170" s="2" t="s">
        <v>76</v>
      </c>
      <c r="W1170" s="4">
        <v>540</v>
      </c>
      <c r="X1170" s="4">
        <v>648</v>
      </c>
      <c r="Y1170" s="4">
        <f t="shared" ref="Y1170" si="1300">INDEX(InternalRates,MATCH($S1170,InternalRates01,FALSE),2)</f>
        <v>278.98333333333335</v>
      </c>
      <c r="Z1170" s="3" t="str">
        <f t="shared" si="1244"/>
        <v>Nie</v>
      </c>
      <c r="AA1170" s="3" t="str">
        <f t="shared" si="1245"/>
        <v>SLA</v>
      </c>
      <c r="AB1170" s="4">
        <v>97</v>
      </c>
      <c r="AC1170" s="4">
        <v>32.333333333333336</v>
      </c>
      <c r="AD1170" s="3" t="s">
        <v>48</v>
      </c>
      <c r="AE1170" s="6">
        <v>45540</v>
      </c>
      <c r="AF1170" s="3" t="s">
        <v>59</v>
      </c>
      <c r="AG1170" s="3" t="s">
        <v>49</v>
      </c>
      <c r="AH1170" s="3">
        <f>YEAR(SrcDB[[#This Row],[Datum_zverejnenia]])</f>
        <v>2023</v>
      </c>
      <c r="AI1170" s="3" cm="1">
        <f t="array" ref="AI1170">COUNT(_xlfn.UNIQUE(_xlfn._xlws.FILTER(SrcDB[ID],SrcDB[Objednavatel_ICO]=$H1170)))</f>
        <v>24</v>
      </c>
      <c r="AJ1170" s="3" cm="1">
        <f t="array" ref="AJ1170">COUNT(_xlfn.UNIQUE(_xlfn._xlws.FILTER(SrcDB[ID],SrcDB[Dodavatel_ICO]=$K1170)))</f>
        <v>8</v>
      </c>
      <c r="AK1170" s="3">
        <f t="shared" si="1285"/>
        <v>0</v>
      </c>
      <c r="AL1170" s="3">
        <f t="shared" si="1286"/>
        <v>0</v>
      </c>
      <c r="AM1170" s="17" t="str">
        <f>IF(SrcDB[[#This Row],[Pocet zmluv objednavatela]]&gt;3,SrcDB[[#This Row],[Objednavatel]],"Ostatné")</f>
        <v>Železnice Slovenskej republiky</v>
      </c>
      <c r="AN1170" s="17" t="str">
        <f>IF(SrcDB[[#This Row],[Pocet zmluv dodavatela]]&gt;3,SrcDB[[#This Row],[Dodavatel]],"Ostatné")</f>
        <v>InterWay, a.s.</v>
      </c>
    </row>
    <row r="1171" spans="1:40" x14ac:dyDescent="0.3">
      <c r="A1171" s="2" t="s">
        <v>523</v>
      </c>
      <c r="B1171" s="2">
        <v>8750592</v>
      </c>
      <c r="C1171" s="3" t="str">
        <f t="shared" si="1279"/>
        <v>Nejasné</v>
      </c>
      <c r="D1171" s="3" t="str">
        <f t="shared" si="1280"/>
        <v>Nejasné</v>
      </c>
      <c r="E1171" s="3" t="s">
        <v>48</v>
      </c>
      <c r="F1171" s="3" t="s">
        <v>49</v>
      </c>
      <c r="G1171" s="2" t="str">
        <f t="shared" si="1281"/>
        <v>Veľké zmluvy</v>
      </c>
      <c r="H1171" s="5">
        <v>31364501</v>
      </c>
      <c r="I1171" s="2" t="s">
        <v>220</v>
      </c>
      <c r="J1171" s="2" t="s">
        <v>726</v>
      </c>
      <c r="K1171" s="5">
        <v>35728531</v>
      </c>
      <c r="L1171" s="2" t="s">
        <v>310</v>
      </c>
      <c r="M1171" s="2" t="s">
        <v>311</v>
      </c>
      <c r="N1171" s="6">
        <v>45281.808796296296</v>
      </c>
      <c r="O1171" s="4">
        <v>8908004.9199999999</v>
      </c>
      <c r="P1171" s="2">
        <v>114573</v>
      </c>
      <c r="Q1171" s="2" t="s">
        <v>1434</v>
      </c>
      <c r="R1171" s="2" t="s">
        <v>1435</v>
      </c>
      <c r="S1171" s="2" t="s">
        <v>73</v>
      </c>
      <c r="T1171" s="2" t="s">
        <v>73</v>
      </c>
      <c r="W1171" s="4">
        <v>540</v>
      </c>
      <c r="X1171" s="4">
        <v>648</v>
      </c>
      <c r="Y1171" s="4">
        <f t="shared" ref="Y1171" si="1301">INDEX(InternalRates,MATCH($S1171,InternalRates01,FALSE),2)</f>
        <v>278.98333333333335</v>
      </c>
      <c r="Z1171" s="3" t="str">
        <f t="shared" si="1244"/>
        <v>Nie</v>
      </c>
      <c r="AA1171" s="3" t="str">
        <f t="shared" si="1245"/>
        <v>SLA</v>
      </c>
      <c r="AB1171" s="4">
        <v>800</v>
      </c>
      <c r="AC1171" s="4">
        <v>266.66666666666669</v>
      </c>
      <c r="AD1171" s="3" t="s">
        <v>48</v>
      </c>
      <c r="AE1171" s="6">
        <v>45540</v>
      </c>
      <c r="AF1171" s="3" t="s">
        <v>59</v>
      </c>
      <c r="AG1171" s="3" t="s">
        <v>49</v>
      </c>
      <c r="AH1171" s="3">
        <f>YEAR(SrcDB[[#This Row],[Datum_zverejnenia]])</f>
        <v>2023</v>
      </c>
      <c r="AI1171" s="3" cm="1">
        <f t="array" ref="AI1171">COUNT(_xlfn.UNIQUE(_xlfn._xlws.FILTER(SrcDB[ID],SrcDB[Objednavatel_ICO]=$H1171)))</f>
        <v>24</v>
      </c>
      <c r="AJ1171" s="3" cm="1">
        <f t="array" ref="AJ1171">COUNT(_xlfn.UNIQUE(_xlfn._xlws.FILTER(SrcDB[ID],SrcDB[Dodavatel_ICO]=$K1171)))</f>
        <v>8</v>
      </c>
      <c r="AK1171" s="3">
        <f t="shared" si="1285"/>
        <v>0</v>
      </c>
      <c r="AL1171" s="3">
        <f t="shared" si="1286"/>
        <v>0</v>
      </c>
      <c r="AM1171" s="17" t="str">
        <f>IF(SrcDB[[#This Row],[Pocet zmluv objednavatela]]&gt;3,SrcDB[[#This Row],[Objednavatel]],"Ostatné")</f>
        <v>Železnice Slovenskej republiky</v>
      </c>
      <c r="AN1171" s="17" t="str">
        <f>IF(SrcDB[[#This Row],[Pocet zmluv dodavatela]]&gt;3,SrcDB[[#This Row],[Dodavatel]],"Ostatné")</f>
        <v>InterWay, a.s.</v>
      </c>
    </row>
    <row r="1172" spans="1:40" x14ac:dyDescent="0.3">
      <c r="A1172" s="2" t="s">
        <v>523</v>
      </c>
      <c r="B1172" s="2">
        <v>8750592</v>
      </c>
      <c r="C1172" s="3" t="str">
        <f t="shared" si="1279"/>
        <v>Nejasné</v>
      </c>
      <c r="D1172" s="3" t="str">
        <f t="shared" si="1280"/>
        <v>Nejasné</v>
      </c>
      <c r="E1172" s="3" t="s">
        <v>48</v>
      </c>
      <c r="F1172" s="3" t="s">
        <v>49</v>
      </c>
      <c r="G1172" s="2" t="str">
        <f t="shared" si="1281"/>
        <v>Veľké zmluvy</v>
      </c>
      <c r="H1172" s="5">
        <v>31364501</v>
      </c>
      <c r="I1172" s="2" t="s">
        <v>220</v>
      </c>
      <c r="J1172" s="2" t="s">
        <v>726</v>
      </c>
      <c r="K1172" s="5">
        <v>35728531</v>
      </c>
      <c r="L1172" s="2" t="s">
        <v>310</v>
      </c>
      <c r="M1172" s="2" t="s">
        <v>311</v>
      </c>
      <c r="N1172" s="6">
        <v>45281.808796296296</v>
      </c>
      <c r="O1172" s="4">
        <v>8908004.9199999999</v>
      </c>
      <c r="P1172" s="2">
        <v>114573</v>
      </c>
      <c r="Q1172" s="2" t="s">
        <v>1434</v>
      </c>
      <c r="R1172" s="2" t="s">
        <v>1435</v>
      </c>
      <c r="S1172" s="2" t="s">
        <v>56</v>
      </c>
      <c r="T1172" s="2" t="s">
        <v>1438</v>
      </c>
      <c r="U1172" s="2" t="s">
        <v>58</v>
      </c>
      <c r="W1172" s="4">
        <v>545</v>
      </c>
      <c r="X1172" s="4">
        <v>654</v>
      </c>
      <c r="Y1172" s="4">
        <f t="shared" ref="Y1172" si="1302">INDEX(InternalRates,MATCH($S1172,InternalRates01,FALSE),2)</f>
        <v>278.98333333333335</v>
      </c>
      <c r="Z1172" s="3" t="str">
        <f t="shared" si="1244"/>
        <v>Nie</v>
      </c>
      <c r="AA1172" s="3" t="str">
        <f t="shared" si="1245"/>
        <v>SLA</v>
      </c>
      <c r="AB1172" s="4">
        <v>1191</v>
      </c>
      <c r="AC1172" s="4">
        <v>397</v>
      </c>
      <c r="AD1172" s="3" t="s">
        <v>48</v>
      </c>
      <c r="AE1172" s="6">
        <v>45540</v>
      </c>
      <c r="AF1172" s="3" t="s">
        <v>59</v>
      </c>
      <c r="AG1172" s="3" t="s">
        <v>49</v>
      </c>
      <c r="AH1172" s="3">
        <f>YEAR(SrcDB[[#This Row],[Datum_zverejnenia]])</f>
        <v>2023</v>
      </c>
      <c r="AI1172" s="3" cm="1">
        <f t="array" ref="AI1172">COUNT(_xlfn.UNIQUE(_xlfn._xlws.FILTER(SrcDB[ID],SrcDB[Objednavatel_ICO]=$H1172)))</f>
        <v>24</v>
      </c>
      <c r="AJ1172" s="3" cm="1">
        <f t="array" ref="AJ1172">COUNT(_xlfn.UNIQUE(_xlfn._xlws.FILTER(SrcDB[ID],SrcDB[Dodavatel_ICO]=$K1172)))</f>
        <v>8</v>
      </c>
      <c r="AK1172" s="3">
        <f t="shared" si="1285"/>
        <v>0</v>
      </c>
      <c r="AL1172" s="3">
        <f t="shared" si="1286"/>
        <v>0</v>
      </c>
      <c r="AM1172" s="17" t="str">
        <f>IF(SrcDB[[#This Row],[Pocet zmluv objednavatela]]&gt;3,SrcDB[[#This Row],[Objednavatel]],"Ostatné")</f>
        <v>Železnice Slovenskej republiky</v>
      </c>
      <c r="AN1172" s="17" t="str">
        <f>IF(SrcDB[[#This Row],[Pocet zmluv dodavatela]]&gt;3,SrcDB[[#This Row],[Dodavatel]],"Ostatné")</f>
        <v>InterWay, a.s.</v>
      </c>
    </row>
    <row r="1173" spans="1:40" x14ac:dyDescent="0.3">
      <c r="A1173" s="2" t="s">
        <v>523</v>
      </c>
      <c r="B1173" s="2">
        <v>8750592</v>
      </c>
      <c r="C1173" s="3" t="str">
        <f t="shared" si="1279"/>
        <v>Nejasné</v>
      </c>
      <c r="D1173" s="3" t="str">
        <f t="shared" si="1280"/>
        <v>Nejasné</v>
      </c>
      <c r="E1173" s="3" t="s">
        <v>48</v>
      </c>
      <c r="F1173" s="3" t="s">
        <v>49</v>
      </c>
      <c r="G1173" s="2" t="str">
        <f t="shared" si="1281"/>
        <v>Veľké zmluvy</v>
      </c>
      <c r="H1173" s="5">
        <v>31364501</v>
      </c>
      <c r="I1173" s="2" t="s">
        <v>220</v>
      </c>
      <c r="J1173" s="2" t="s">
        <v>726</v>
      </c>
      <c r="K1173" s="5">
        <v>35728531</v>
      </c>
      <c r="L1173" s="2" t="s">
        <v>310</v>
      </c>
      <c r="M1173" s="2" t="s">
        <v>311</v>
      </c>
      <c r="N1173" s="6">
        <v>45281.808796296296</v>
      </c>
      <c r="O1173" s="4">
        <v>8908004.9199999999</v>
      </c>
      <c r="P1173" s="2">
        <v>114573</v>
      </c>
      <c r="Q1173" s="2" t="s">
        <v>1434</v>
      </c>
      <c r="R1173" s="2" t="s">
        <v>1435</v>
      </c>
      <c r="S1173" s="2" t="s">
        <v>77</v>
      </c>
      <c r="T1173" s="2" t="s">
        <v>77</v>
      </c>
      <c r="W1173" s="4">
        <v>540</v>
      </c>
      <c r="X1173" s="4">
        <v>648</v>
      </c>
      <c r="Y1173" s="4">
        <f t="shared" ref="Y1173" si="1303">INDEX(InternalRates,MATCH($S1173,InternalRates01,FALSE),2)</f>
        <v>278.98333333333335</v>
      </c>
      <c r="Z1173" s="3" t="str">
        <f t="shared" si="1244"/>
        <v>Nie</v>
      </c>
      <c r="AA1173" s="3" t="str">
        <f t="shared" si="1245"/>
        <v>SLA</v>
      </c>
      <c r="AB1173" s="4">
        <v>1951</v>
      </c>
      <c r="AC1173" s="4">
        <v>650.33333333333337</v>
      </c>
      <c r="AD1173" s="3" t="s">
        <v>48</v>
      </c>
      <c r="AE1173" s="6">
        <v>45540</v>
      </c>
      <c r="AF1173" s="3" t="s">
        <v>59</v>
      </c>
      <c r="AG1173" s="3" t="s">
        <v>49</v>
      </c>
      <c r="AH1173" s="3">
        <f>YEAR(SrcDB[[#This Row],[Datum_zverejnenia]])</f>
        <v>2023</v>
      </c>
      <c r="AI1173" s="3" cm="1">
        <f t="array" ref="AI1173">COUNT(_xlfn.UNIQUE(_xlfn._xlws.FILTER(SrcDB[ID],SrcDB[Objednavatel_ICO]=$H1173)))</f>
        <v>24</v>
      </c>
      <c r="AJ1173" s="3" cm="1">
        <f t="array" ref="AJ1173">COUNT(_xlfn.UNIQUE(_xlfn._xlws.FILTER(SrcDB[ID],SrcDB[Dodavatel_ICO]=$K1173)))</f>
        <v>8</v>
      </c>
      <c r="AK1173" s="3">
        <f t="shared" si="1285"/>
        <v>0</v>
      </c>
      <c r="AL1173" s="3">
        <f t="shared" si="1286"/>
        <v>0</v>
      </c>
      <c r="AM1173" s="17" t="str">
        <f>IF(SrcDB[[#This Row],[Pocet zmluv objednavatela]]&gt;3,SrcDB[[#This Row],[Objednavatel]],"Ostatné")</f>
        <v>Železnice Slovenskej republiky</v>
      </c>
      <c r="AN1173" s="17" t="str">
        <f>IF(SrcDB[[#This Row],[Pocet zmluv dodavatela]]&gt;3,SrcDB[[#This Row],[Dodavatel]],"Ostatné")</f>
        <v>InterWay, a.s.</v>
      </c>
    </row>
    <row r="1174" spans="1:40" x14ac:dyDescent="0.3">
      <c r="A1174" s="2" t="s">
        <v>523</v>
      </c>
      <c r="B1174" s="2">
        <v>8750592</v>
      </c>
      <c r="C1174" s="3" t="str">
        <f t="shared" si="1279"/>
        <v>Nejasné</v>
      </c>
      <c r="D1174" s="3" t="str">
        <f t="shared" si="1280"/>
        <v>Nejasné</v>
      </c>
      <c r="E1174" s="3" t="s">
        <v>48</v>
      </c>
      <c r="F1174" s="3" t="s">
        <v>49</v>
      </c>
      <c r="G1174" s="2" t="str">
        <f t="shared" si="1281"/>
        <v>Veľké zmluvy</v>
      </c>
      <c r="H1174" s="5">
        <v>31364501</v>
      </c>
      <c r="I1174" s="2" t="s">
        <v>220</v>
      </c>
      <c r="J1174" s="2" t="s">
        <v>726</v>
      </c>
      <c r="K1174" s="5">
        <v>35728531</v>
      </c>
      <c r="L1174" s="2" t="s">
        <v>310</v>
      </c>
      <c r="M1174" s="2" t="s">
        <v>311</v>
      </c>
      <c r="N1174" s="6">
        <v>45281.808796296296</v>
      </c>
      <c r="O1174" s="4">
        <v>8908004.9199999999</v>
      </c>
      <c r="P1174" s="2">
        <v>114573</v>
      </c>
      <c r="Q1174" s="2" t="s">
        <v>1434</v>
      </c>
      <c r="R1174" s="2" t="s">
        <v>1435</v>
      </c>
      <c r="S1174" s="2" t="s">
        <v>56</v>
      </c>
      <c r="T1174" s="2" t="s">
        <v>1439</v>
      </c>
      <c r="U1174" s="2" t="s">
        <v>460</v>
      </c>
      <c r="W1174" s="4">
        <v>540</v>
      </c>
      <c r="X1174" s="4">
        <v>648</v>
      </c>
      <c r="Y1174" s="4">
        <f t="shared" ref="Y1174" si="1304">INDEX(InternalRates,MATCH($S1174,InternalRates01,FALSE),2)</f>
        <v>278.98333333333335</v>
      </c>
      <c r="Z1174" s="3" t="str">
        <f t="shared" si="1244"/>
        <v>Nie</v>
      </c>
      <c r="AA1174" s="3" t="str">
        <f t="shared" si="1245"/>
        <v>SLA</v>
      </c>
      <c r="AB1174" s="4">
        <v>363</v>
      </c>
      <c r="AC1174" s="4">
        <v>121</v>
      </c>
      <c r="AD1174" s="3" t="s">
        <v>48</v>
      </c>
      <c r="AE1174" s="6">
        <v>45540</v>
      </c>
      <c r="AF1174" s="3" t="s">
        <v>59</v>
      </c>
      <c r="AG1174" s="3" t="s">
        <v>49</v>
      </c>
      <c r="AH1174" s="3">
        <f>YEAR(SrcDB[[#This Row],[Datum_zverejnenia]])</f>
        <v>2023</v>
      </c>
      <c r="AI1174" s="3" cm="1">
        <f t="array" ref="AI1174">COUNT(_xlfn.UNIQUE(_xlfn._xlws.FILTER(SrcDB[ID],SrcDB[Objednavatel_ICO]=$H1174)))</f>
        <v>24</v>
      </c>
      <c r="AJ1174" s="3" cm="1">
        <f t="array" ref="AJ1174">COUNT(_xlfn.UNIQUE(_xlfn._xlws.FILTER(SrcDB[ID],SrcDB[Dodavatel_ICO]=$K1174)))</f>
        <v>8</v>
      </c>
      <c r="AK1174" s="3">
        <f t="shared" si="1285"/>
        <v>0</v>
      </c>
      <c r="AL1174" s="3">
        <f t="shared" si="1286"/>
        <v>0</v>
      </c>
      <c r="AM1174" s="17" t="str">
        <f>IF(SrcDB[[#This Row],[Pocet zmluv objednavatela]]&gt;3,SrcDB[[#This Row],[Objednavatel]],"Ostatné")</f>
        <v>Železnice Slovenskej republiky</v>
      </c>
      <c r="AN1174" s="17" t="str">
        <f>IF(SrcDB[[#This Row],[Pocet zmluv dodavatela]]&gt;3,SrcDB[[#This Row],[Dodavatel]],"Ostatné")</f>
        <v>InterWay, a.s.</v>
      </c>
    </row>
    <row r="1175" spans="1:40" x14ac:dyDescent="0.3">
      <c r="A1175" s="2" t="s">
        <v>523</v>
      </c>
      <c r="B1175" s="2">
        <v>8750592</v>
      </c>
      <c r="C1175" s="3" t="str">
        <f t="shared" si="1279"/>
        <v>Nejasné</v>
      </c>
      <c r="D1175" s="3" t="str">
        <f t="shared" si="1280"/>
        <v>Nejasné</v>
      </c>
      <c r="E1175" s="3" t="s">
        <v>48</v>
      </c>
      <c r="F1175" s="3" t="s">
        <v>49</v>
      </c>
      <c r="G1175" s="2" t="str">
        <f t="shared" si="1281"/>
        <v>Veľké zmluvy</v>
      </c>
      <c r="H1175" s="5">
        <v>31364501</v>
      </c>
      <c r="I1175" s="2" t="s">
        <v>220</v>
      </c>
      <c r="J1175" s="2" t="s">
        <v>726</v>
      </c>
      <c r="K1175" s="5">
        <v>35728531</v>
      </c>
      <c r="L1175" s="2" t="s">
        <v>310</v>
      </c>
      <c r="M1175" s="2" t="s">
        <v>311</v>
      </c>
      <c r="N1175" s="6">
        <v>45281.808796296296</v>
      </c>
      <c r="O1175" s="4">
        <v>8908004.9199999999</v>
      </c>
      <c r="P1175" s="2">
        <v>114573</v>
      </c>
      <c r="Q1175" s="2" t="s">
        <v>1434</v>
      </c>
      <c r="R1175" s="2" t="s">
        <v>1435</v>
      </c>
      <c r="S1175" s="2" t="s">
        <v>79</v>
      </c>
      <c r="T1175" s="2" t="s">
        <v>79</v>
      </c>
      <c r="W1175" s="4">
        <v>450</v>
      </c>
      <c r="X1175" s="4">
        <v>540</v>
      </c>
      <c r="Y1175" s="4">
        <f t="shared" ref="Y1175" si="1305">INDEX(InternalRates,MATCH($S1175,InternalRates01,FALSE),2)</f>
        <v>278.98333333333335</v>
      </c>
      <c r="Z1175" s="3" t="str">
        <f t="shared" si="1244"/>
        <v>Nie</v>
      </c>
      <c r="AA1175" s="3" t="str">
        <f t="shared" si="1245"/>
        <v>SLA</v>
      </c>
      <c r="AB1175" s="4">
        <v>450</v>
      </c>
      <c r="AC1175" s="4">
        <v>150</v>
      </c>
      <c r="AD1175" s="3" t="s">
        <v>48</v>
      </c>
      <c r="AE1175" s="6">
        <v>45540</v>
      </c>
      <c r="AF1175" s="3" t="s">
        <v>59</v>
      </c>
      <c r="AG1175" s="3" t="s">
        <v>49</v>
      </c>
      <c r="AH1175" s="3">
        <f>YEAR(SrcDB[[#This Row],[Datum_zverejnenia]])</f>
        <v>2023</v>
      </c>
      <c r="AI1175" s="3" cm="1">
        <f t="array" ref="AI1175">COUNT(_xlfn.UNIQUE(_xlfn._xlws.FILTER(SrcDB[ID],SrcDB[Objednavatel_ICO]=$H1175)))</f>
        <v>24</v>
      </c>
      <c r="AJ1175" s="3" cm="1">
        <f t="array" ref="AJ1175">COUNT(_xlfn.UNIQUE(_xlfn._xlws.FILTER(SrcDB[ID],SrcDB[Dodavatel_ICO]=$K1175)))</f>
        <v>8</v>
      </c>
      <c r="AK1175" s="3">
        <f t="shared" si="1285"/>
        <v>0</v>
      </c>
      <c r="AL1175" s="3">
        <f t="shared" si="1286"/>
        <v>0</v>
      </c>
      <c r="AM1175" s="17" t="str">
        <f>IF(SrcDB[[#This Row],[Pocet zmluv objednavatela]]&gt;3,SrcDB[[#This Row],[Objednavatel]],"Ostatné")</f>
        <v>Železnice Slovenskej republiky</v>
      </c>
      <c r="AN1175" s="17" t="str">
        <f>IF(SrcDB[[#This Row],[Pocet zmluv dodavatela]]&gt;3,SrcDB[[#This Row],[Dodavatel]],"Ostatné")</f>
        <v>InterWay, a.s.</v>
      </c>
    </row>
    <row r="1176" spans="1:40" x14ac:dyDescent="0.3">
      <c r="A1176" s="2" t="s">
        <v>523</v>
      </c>
      <c r="B1176" s="2">
        <v>8750592</v>
      </c>
      <c r="C1176" s="3" t="str">
        <f t="shared" si="1279"/>
        <v>Nejasné</v>
      </c>
      <c r="D1176" s="3" t="str">
        <f t="shared" si="1280"/>
        <v>Nejasné</v>
      </c>
      <c r="E1176" s="3" t="s">
        <v>48</v>
      </c>
      <c r="F1176" s="3" t="s">
        <v>49</v>
      </c>
      <c r="G1176" s="2" t="str">
        <f t="shared" si="1281"/>
        <v>Veľké zmluvy</v>
      </c>
      <c r="H1176" s="5">
        <v>31364501</v>
      </c>
      <c r="I1176" s="2" t="s">
        <v>220</v>
      </c>
      <c r="J1176" s="2" t="s">
        <v>726</v>
      </c>
      <c r="K1176" s="5">
        <v>35728531</v>
      </c>
      <c r="L1176" s="2" t="s">
        <v>310</v>
      </c>
      <c r="M1176" s="2" t="s">
        <v>311</v>
      </c>
      <c r="N1176" s="6">
        <v>45281.808796296296</v>
      </c>
      <c r="O1176" s="4">
        <v>8908004.9199999999</v>
      </c>
      <c r="P1176" s="2">
        <v>114573</v>
      </c>
      <c r="Q1176" s="2" t="s">
        <v>1434</v>
      </c>
      <c r="R1176" s="2" t="s">
        <v>1435</v>
      </c>
      <c r="S1176" s="2" t="s">
        <v>56</v>
      </c>
      <c r="T1176" s="2" t="s">
        <v>1440</v>
      </c>
      <c r="U1176" s="2" t="s">
        <v>289</v>
      </c>
      <c r="W1176" s="4">
        <v>540</v>
      </c>
      <c r="X1176" s="4">
        <v>648</v>
      </c>
      <c r="Y1176" s="4">
        <f t="shared" ref="Y1176" si="1306">INDEX(InternalRates,MATCH($S1176,InternalRates01,FALSE),2)</f>
        <v>278.98333333333335</v>
      </c>
      <c r="Z1176" s="3" t="str">
        <f t="shared" si="1244"/>
        <v>Nie</v>
      </c>
      <c r="AA1176" s="3" t="str">
        <f t="shared" si="1245"/>
        <v>SLA</v>
      </c>
      <c r="AB1176" s="4">
        <v>105</v>
      </c>
      <c r="AC1176" s="4">
        <v>35</v>
      </c>
      <c r="AD1176" s="3" t="s">
        <v>48</v>
      </c>
      <c r="AE1176" s="6">
        <v>45540</v>
      </c>
      <c r="AF1176" s="3" t="s">
        <v>59</v>
      </c>
      <c r="AG1176" s="3" t="s">
        <v>49</v>
      </c>
      <c r="AH1176" s="3">
        <f>YEAR(SrcDB[[#This Row],[Datum_zverejnenia]])</f>
        <v>2023</v>
      </c>
      <c r="AI1176" s="3" cm="1">
        <f t="array" ref="AI1176">COUNT(_xlfn.UNIQUE(_xlfn._xlws.FILTER(SrcDB[ID],SrcDB[Objednavatel_ICO]=$H1176)))</f>
        <v>24</v>
      </c>
      <c r="AJ1176" s="3" cm="1">
        <f t="array" ref="AJ1176">COUNT(_xlfn.UNIQUE(_xlfn._xlws.FILTER(SrcDB[ID],SrcDB[Dodavatel_ICO]=$K1176)))</f>
        <v>8</v>
      </c>
      <c r="AK1176" s="3">
        <f t="shared" si="1285"/>
        <v>0</v>
      </c>
      <c r="AL1176" s="3">
        <f t="shared" si="1286"/>
        <v>0</v>
      </c>
      <c r="AM1176" s="17" t="str">
        <f>IF(SrcDB[[#This Row],[Pocet zmluv objednavatela]]&gt;3,SrcDB[[#This Row],[Objednavatel]],"Ostatné")</f>
        <v>Železnice Slovenskej republiky</v>
      </c>
      <c r="AN1176" s="17" t="str">
        <f>IF(SrcDB[[#This Row],[Pocet zmluv dodavatela]]&gt;3,SrcDB[[#This Row],[Dodavatel]],"Ostatné")</f>
        <v>InterWay, a.s.</v>
      </c>
    </row>
    <row r="1177" spans="1:40" x14ac:dyDescent="0.3">
      <c r="A1177" s="2" t="s">
        <v>523</v>
      </c>
      <c r="B1177" s="2">
        <v>8750592</v>
      </c>
      <c r="C1177" s="3" t="str">
        <f t="shared" si="1279"/>
        <v>Nejasné</v>
      </c>
      <c r="D1177" s="3" t="str">
        <f t="shared" si="1280"/>
        <v>Nejasné</v>
      </c>
      <c r="E1177" s="3" t="s">
        <v>48</v>
      </c>
      <c r="F1177" s="3" t="s">
        <v>49</v>
      </c>
      <c r="G1177" s="2" t="str">
        <f t="shared" si="1281"/>
        <v>Veľké zmluvy</v>
      </c>
      <c r="H1177" s="5">
        <v>31364501</v>
      </c>
      <c r="I1177" s="2" t="s">
        <v>220</v>
      </c>
      <c r="J1177" s="2" t="s">
        <v>726</v>
      </c>
      <c r="K1177" s="5">
        <v>35728531</v>
      </c>
      <c r="L1177" s="2" t="s">
        <v>310</v>
      </c>
      <c r="M1177" s="2" t="s">
        <v>311</v>
      </c>
      <c r="N1177" s="6">
        <v>45281.808796296296</v>
      </c>
      <c r="O1177" s="4">
        <v>8908004.9199999999</v>
      </c>
      <c r="P1177" s="2">
        <v>114573</v>
      </c>
      <c r="Q1177" s="2" t="s">
        <v>1434</v>
      </c>
      <c r="R1177" s="2" t="s">
        <v>1435</v>
      </c>
      <c r="S1177" s="2" t="s">
        <v>98</v>
      </c>
      <c r="T1177" s="2" t="s">
        <v>98</v>
      </c>
      <c r="W1177" s="4">
        <v>540</v>
      </c>
      <c r="X1177" s="4">
        <v>648</v>
      </c>
      <c r="Y1177" s="4">
        <f t="shared" ref="Y1177" si="1307">INDEX(InternalRates,MATCH($S1177,InternalRates01,FALSE),2)</f>
        <v>278.98333333333335</v>
      </c>
      <c r="Z1177" s="3" t="str">
        <f t="shared" si="1244"/>
        <v>Nie</v>
      </c>
      <c r="AA1177" s="3" t="str">
        <f t="shared" si="1245"/>
        <v>SLA</v>
      </c>
      <c r="AB1177" s="4">
        <v>45</v>
      </c>
      <c r="AC1177" s="4">
        <v>15</v>
      </c>
      <c r="AD1177" s="3" t="s">
        <v>48</v>
      </c>
      <c r="AE1177" s="6">
        <v>45540</v>
      </c>
      <c r="AF1177" s="3" t="s">
        <v>59</v>
      </c>
      <c r="AG1177" s="3" t="s">
        <v>49</v>
      </c>
      <c r="AH1177" s="3">
        <f>YEAR(SrcDB[[#This Row],[Datum_zverejnenia]])</f>
        <v>2023</v>
      </c>
      <c r="AI1177" s="3" cm="1">
        <f t="array" ref="AI1177">COUNT(_xlfn.UNIQUE(_xlfn._xlws.FILTER(SrcDB[ID],SrcDB[Objednavatel_ICO]=$H1177)))</f>
        <v>24</v>
      </c>
      <c r="AJ1177" s="3" cm="1">
        <f t="array" ref="AJ1177">COUNT(_xlfn.UNIQUE(_xlfn._xlws.FILTER(SrcDB[ID],SrcDB[Dodavatel_ICO]=$K1177)))</f>
        <v>8</v>
      </c>
      <c r="AK1177" s="3">
        <f t="shared" si="1285"/>
        <v>0</v>
      </c>
      <c r="AL1177" s="3">
        <f t="shared" si="1286"/>
        <v>0</v>
      </c>
      <c r="AM1177" s="17" t="str">
        <f>IF(SrcDB[[#This Row],[Pocet zmluv objednavatela]]&gt;3,SrcDB[[#This Row],[Objednavatel]],"Ostatné")</f>
        <v>Železnice Slovenskej republiky</v>
      </c>
      <c r="AN1177" s="17" t="str">
        <f>IF(SrcDB[[#This Row],[Pocet zmluv dodavatela]]&gt;3,SrcDB[[#This Row],[Dodavatel]],"Ostatné")</f>
        <v>InterWay, a.s.</v>
      </c>
    </row>
    <row r="1178" spans="1:40" x14ac:dyDescent="0.3">
      <c r="A1178" s="2" t="s">
        <v>523</v>
      </c>
      <c r="B1178" s="2">
        <v>8750592</v>
      </c>
      <c r="C1178" s="3" t="str">
        <f t="shared" si="1279"/>
        <v>Nejasné</v>
      </c>
      <c r="D1178" s="3" t="str">
        <f t="shared" si="1280"/>
        <v>Nejasné</v>
      </c>
      <c r="E1178" s="3" t="s">
        <v>48</v>
      </c>
      <c r="F1178" s="3" t="s">
        <v>49</v>
      </c>
      <c r="G1178" s="2" t="str">
        <f t="shared" si="1281"/>
        <v>Veľké zmluvy</v>
      </c>
      <c r="H1178" s="5">
        <v>31364501</v>
      </c>
      <c r="I1178" s="2" t="s">
        <v>220</v>
      </c>
      <c r="J1178" s="2" t="s">
        <v>726</v>
      </c>
      <c r="K1178" s="5">
        <v>35728531</v>
      </c>
      <c r="L1178" s="2" t="s">
        <v>310</v>
      </c>
      <c r="M1178" s="2" t="s">
        <v>311</v>
      </c>
      <c r="N1178" s="6">
        <v>45281.808796296296</v>
      </c>
      <c r="O1178" s="4">
        <v>8908004.9199999999</v>
      </c>
      <c r="P1178" s="2">
        <v>114573</v>
      </c>
      <c r="Q1178" s="2" t="s">
        <v>1434</v>
      </c>
      <c r="R1178" s="2" t="s">
        <v>1435</v>
      </c>
      <c r="S1178" s="2" t="s">
        <v>102</v>
      </c>
      <c r="T1178" s="2" t="s">
        <v>1441</v>
      </c>
      <c r="W1178" s="4">
        <v>540</v>
      </c>
      <c r="X1178" s="4">
        <v>648</v>
      </c>
      <c r="Y1178" s="4">
        <f t="shared" ref="Y1178" si="1308">INDEX(InternalRates,MATCH($S1178,InternalRates01,FALSE),2)</f>
        <v>278.98333333333335</v>
      </c>
      <c r="Z1178" s="3" t="str">
        <f t="shared" si="1244"/>
        <v>Nie</v>
      </c>
      <c r="AA1178" s="3" t="str">
        <f t="shared" si="1245"/>
        <v>SLA</v>
      </c>
      <c r="AB1178" s="4">
        <v>250</v>
      </c>
      <c r="AC1178" s="4">
        <v>83.333333333333329</v>
      </c>
      <c r="AD1178" s="3" t="s">
        <v>48</v>
      </c>
      <c r="AE1178" s="6">
        <v>45540</v>
      </c>
      <c r="AF1178" s="3" t="s">
        <v>59</v>
      </c>
      <c r="AG1178" s="3" t="s">
        <v>49</v>
      </c>
      <c r="AH1178" s="3">
        <f>YEAR(SrcDB[[#This Row],[Datum_zverejnenia]])</f>
        <v>2023</v>
      </c>
      <c r="AI1178" s="3" cm="1">
        <f t="array" ref="AI1178">COUNT(_xlfn.UNIQUE(_xlfn._xlws.FILTER(SrcDB[ID],SrcDB[Objednavatel_ICO]=$H1178)))</f>
        <v>24</v>
      </c>
      <c r="AJ1178" s="3" cm="1">
        <f t="array" ref="AJ1178">COUNT(_xlfn.UNIQUE(_xlfn._xlws.FILTER(SrcDB[ID],SrcDB[Dodavatel_ICO]=$K1178)))</f>
        <v>8</v>
      </c>
      <c r="AK1178" s="3">
        <f t="shared" si="1285"/>
        <v>0</v>
      </c>
      <c r="AL1178" s="3">
        <f t="shared" si="1286"/>
        <v>0</v>
      </c>
      <c r="AM1178" s="17" t="str">
        <f>IF(SrcDB[[#This Row],[Pocet zmluv objednavatela]]&gt;3,SrcDB[[#This Row],[Objednavatel]],"Ostatné")</f>
        <v>Železnice Slovenskej republiky</v>
      </c>
      <c r="AN1178" s="17" t="str">
        <f>IF(SrcDB[[#This Row],[Pocet zmluv dodavatela]]&gt;3,SrcDB[[#This Row],[Dodavatel]],"Ostatné")</f>
        <v>InterWay, a.s.</v>
      </c>
    </row>
    <row r="1179" spans="1:40" x14ac:dyDescent="0.3">
      <c r="A1179" s="2" t="s">
        <v>523</v>
      </c>
      <c r="B1179" s="2">
        <v>8750592</v>
      </c>
      <c r="C1179" s="3" t="str">
        <f t="shared" si="1279"/>
        <v>Nejasné</v>
      </c>
      <c r="D1179" s="3" t="str">
        <f t="shared" si="1280"/>
        <v>Nejasné</v>
      </c>
      <c r="E1179" s="3" t="s">
        <v>48</v>
      </c>
      <c r="F1179" s="3" t="s">
        <v>49</v>
      </c>
      <c r="G1179" s="2" t="str">
        <f t="shared" si="1281"/>
        <v>Veľké zmluvy</v>
      </c>
      <c r="H1179" s="5">
        <v>31364501</v>
      </c>
      <c r="I1179" s="2" t="s">
        <v>220</v>
      </c>
      <c r="J1179" s="2" t="s">
        <v>726</v>
      </c>
      <c r="K1179" s="5">
        <v>35728531</v>
      </c>
      <c r="L1179" s="2" t="s">
        <v>310</v>
      </c>
      <c r="M1179" s="2" t="s">
        <v>311</v>
      </c>
      <c r="N1179" s="6">
        <v>45281.808796296296</v>
      </c>
      <c r="O1179" s="4">
        <v>8908004.9199999999</v>
      </c>
      <c r="P1179" s="2">
        <v>114573</v>
      </c>
      <c r="Q1179" s="2" t="s">
        <v>1434</v>
      </c>
      <c r="R1179" s="2" t="s">
        <v>1435</v>
      </c>
      <c r="S1179" s="2" t="s">
        <v>56</v>
      </c>
      <c r="T1179" s="2" t="s">
        <v>1442</v>
      </c>
      <c r="U1179" s="2" t="s">
        <v>95</v>
      </c>
      <c r="W1179" s="4">
        <v>595</v>
      </c>
      <c r="X1179" s="4">
        <v>714</v>
      </c>
      <c r="Y1179" s="4">
        <f t="shared" ref="Y1179" si="1309">INDEX(InternalRates,MATCH($S1179,InternalRates01,FALSE),2)</f>
        <v>278.98333333333335</v>
      </c>
      <c r="Z1179" s="3" t="str">
        <f t="shared" si="1244"/>
        <v>Nie</v>
      </c>
      <c r="AA1179" s="3" t="str">
        <f t="shared" si="1245"/>
        <v>SLA</v>
      </c>
      <c r="AB1179" s="4">
        <v>2180</v>
      </c>
      <c r="AC1179" s="4">
        <v>726.66666666666663</v>
      </c>
      <c r="AD1179" s="3" t="s">
        <v>48</v>
      </c>
      <c r="AE1179" s="6">
        <v>45540</v>
      </c>
      <c r="AF1179" s="3" t="s">
        <v>59</v>
      </c>
      <c r="AG1179" s="3" t="s">
        <v>49</v>
      </c>
      <c r="AH1179" s="3">
        <f>YEAR(SrcDB[[#This Row],[Datum_zverejnenia]])</f>
        <v>2023</v>
      </c>
      <c r="AI1179" s="3" cm="1">
        <f t="array" ref="AI1179">COUNT(_xlfn.UNIQUE(_xlfn._xlws.FILTER(SrcDB[ID],SrcDB[Objednavatel_ICO]=$H1179)))</f>
        <v>24</v>
      </c>
      <c r="AJ1179" s="3" cm="1">
        <f t="array" ref="AJ1179">COUNT(_xlfn.UNIQUE(_xlfn._xlws.FILTER(SrcDB[ID],SrcDB[Dodavatel_ICO]=$K1179)))</f>
        <v>8</v>
      </c>
      <c r="AK1179" s="3">
        <f t="shared" si="1285"/>
        <v>0</v>
      </c>
      <c r="AL1179" s="3">
        <f t="shared" si="1286"/>
        <v>0</v>
      </c>
      <c r="AM1179" s="17" t="str">
        <f>IF(SrcDB[[#This Row],[Pocet zmluv objednavatela]]&gt;3,SrcDB[[#This Row],[Objednavatel]],"Ostatné")</f>
        <v>Železnice Slovenskej republiky</v>
      </c>
      <c r="AN1179" s="17" t="str">
        <f>IF(SrcDB[[#This Row],[Pocet zmluv dodavatela]]&gt;3,SrcDB[[#This Row],[Dodavatel]],"Ostatné")</f>
        <v>InterWay, a.s.</v>
      </c>
    </row>
    <row r="1180" spans="1:40" x14ac:dyDescent="0.3">
      <c r="A1180" s="2" t="s">
        <v>1443</v>
      </c>
      <c r="B1180" s="2">
        <v>8766131</v>
      </c>
      <c r="C1180" s="3" t="str">
        <f t="shared" si="1279"/>
        <v>Nejasné</v>
      </c>
      <c r="D1180" s="3" t="str">
        <f t="shared" si="1280"/>
        <v>Nejasné</v>
      </c>
      <c r="E1180" s="3" t="s">
        <v>48</v>
      </c>
      <c r="F1180" s="3" t="s">
        <v>49</v>
      </c>
      <c r="G1180" s="2" t="str">
        <f t="shared" si="1281"/>
        <v>Stredné zmluvy</v>
      </c>
      <c r="H1180" s="5">
        <v>35722959</v>
      </c>
      <c r="I1180" s="2" t="s">
        <v>1417</v>
      </c>
      <c r="J1180" s="2" t="s">
        <v>1418</v>
      </c>
      <c r="K1180" s="5">
        <v>35738219</v>
      </c>
      <c r="L1180" s="2" t="s">
        <v>1444</v>
      </c>
      <c r="M1180" s="2" t="s">
        <v>1445</v>
      </c>
      <c r="N1180" s="6">
        <v>45288.431990740741</v>
      </c>
      <c r="O1180" s="4">
        <v>1702464</v>
      </c>
      <c r="P1180" s="2">
        <v>114725</v>
      </c>
      <c r="Q1180" s="2" t="s">
        <v>1446</v>
      </c>
      <c r="R1180" s="2" t="s">
        <v>1447</v>
      </c>
      <c r="S1180" s="2" t="s">
        <v>73</v>
      </c>
      <c r="T1180" s="2" t="s">
        <v>73</v>
      </c>
      <c r="W1180" s="4">
        <v>656</v>
      </c>
      <c r="X1180" s="4">
        <v>787.19999999999993</v>
      </c>
      <c r="Y1180" s="4">
        <f t="shared" ref="Y1180" si="1310">INDEX(InternalRates,MATCH($S1180,InternalRates01,FALSE),2)</f>
        <v>278.98333333333335</v>
      </c>
      <c r="Z1180" s="3" t="str">
        <f t="shared" si="1244"/>
        <v>Nie</v>
      </c>
      <c r="AA1180" s="3" t="str">
        <f t="shared" si="1245"/>
        <v>SLA</v>
      </c>
      <c r="AD1180" s="3" t="s">
        <v>48</v>
      </c>
      <c r="AE1180" s="6">
        <v>45540</v>
      </c>
      <c r="AF1180" s="3" t="s">
        <v>59</v>
      </c>
      <c r="AG1180" s="3" t="s">
        <v>60</v>
      </c>
      <c r="AH1180" s="3">
        <f>YEAR(SrcDB[[#This Row],[Datum_zverejnenia]])</f>
        <v>2023</v>
      </c>
      <c r="AI1180" s="3" cm="1">
        <f t="array" ref="AI1180">COUNT(_xlfn.UNIQUE(_xlfn._xlws.FILTER(SrcDB[ID],SrcDB[Objednavatel_ICO]=$H1180)))</f>
        <v>2</v>
      </c>
      <c r="AJ1180" s="3" cm="1">
        <f t="array" ref="AJ1180">COUNT(_xlfn.UNIQUE(_xlfn._xlws.FILTER(SrcDB[ID],SrcDB[Dodavatel_ICO]=$K1180)))</f>
        <v>1</v>
      </c>
      <c r="AK1180" s="3">
        <f t="shared" si="1285"/>
        <v>1</v>
      </c>
      <c r="AL1180" s="3">
        <f t="shared" si="1286"/>
        <v>1</v>
      </c>
      <c r="AM1180" s="17" t="str">
        <f>IF(SrcDB[[#This Row],[Pocet zmluv objednavatela]]&gt;3,SrcDB[[#This Row],[Objednavatel]],"Ostatné")</f>
        <v>Ostatné</v>
      </c>
      <c r="AN1180" s="17" t="str">
        <f>IF(SrcDB[[#This Row],[Pocet zmluv dodavatela]]&gt;3,SrcDB[[#This Row],[Dodavatel]],"Ostatné")</f>
        <v>Ostatné</v>
      </c>
    </row>
    <row r="1181" spans="1:40" x14ac:dyDescent="0.3">
      <c r="A1181" s="2" t="s">
        <v>1443</v>
      </c>
      <c r="B1181" s="2">
        <v>8766131</v>
      </c>
      <c r="C1181" s="3" t="str">
        <f t="shared" si="1279"/>
        <v>Nejasné</v>
      </c>
      <c r="D1181" s="3" t="str">
        <f t="shared" si="1280"/>
        <v>Nejasné</v>
      </c>
      <c r="E1181" s="3" t="s">
        <v>48</v>
      </c>
      <c r="F1181" s="3" t="s">
        <v>49</v>
      </c>
      <c r="G1181" s="2" t="str">
        <f t="shared" si="1281"/>
        <v>Stredné zmluvy</v>
      </c>
      <c r="H1181" s="5">
        <v>35722959</v>
      </c>
      <c r="I1181" s="2" t="s">
        <v>1417</v>
      </c>
      <c r="J1181" s="2" t="s">
        <v>1418</v>
      </c>
      <c r="K1181" s="5">
        <v>35738219</v>
      </c>
      <c r="L1181" s="2" t="s">
        <v>1444</v>
      </c>
      <c r="M1181" s="2" t="s">
        <v>1445</v>
      </c>
      <c r="N1181" s="6">
        <v>45288.431990740741</v>
      </c>
      <c r="O1181" s="4">
        <v>1702464</v>
      </c>
      <c r="P1181" s="2">
        <v>114725</v>
      </c>
      <c r="Q1181" s="2" t="s">
        <v>1446</v>
      </c>
      <c r="R1181" s="2" t="s">
        <v>1447</v>
      </c>
      <c r="S1181" s="2" t="s">
        <v>69</v>
      </c>
      <c r="T1181" s="2" t="s">
        <v>69</v>
      </c>
      <c r="W1181" s="4">
        <v>656</v>
      </c>
      <c r="X1181" s="4">
        <v>787.19999999999993</v>
      </c>
      <c r="Y1181" s="4">
        <f t="shared" ref="Y1181" si="1311">INDEX(InternalRates,MATCH($S1181,InternalRates01,FALSE),2)</f>
        <v>278.98333333333335</v>
      </c>
      <c r="Z1181" s="3" t="str">
        <f t="shared" si="1244"/>
        <v>Nie</v>
      </c>
      <c r="AA1181" s="3" t="str">
        <f t="shared" si="1245"/>
        <v>SLA</v>
      </c>
      <c r="AD1181" s="3" t="s">
        <v>48</v>
      </c>
      <c r="AE1181" s="6">
        <v>45540</v>
      </c>
      <c r="AF1181" s="3" t="s">
        <v>59</v>
      </c>
      <c r="AG1181" s="3" t="s">
        <v>60</v>
      </c>
      <c r="AH1181" s="3">
        <f>YEAR(SrcDB[[#This Row],[Datum_zverejnenia]])</f>
        <v>2023</v>
      </c>
      <c r="AI1181" s="3" cm="1">
        <f t="array" ref="AI1181">COUNT(_xlfn.UNIQUE(_xlfn._xlws.FILTER(SrcDB[ID],SrcDB[Objednavatel_ICO]=$H1181)))</f>
        <v>2</v>
      </c>
      <c r="AJ1181" s="3" cm="1">
        <f t="array" ref="AJ1181">COUNT(_xlfn.UNIQUE(_xlfn._xlws.FILTER(SrcDB[ID],SrcDB[Dodavatel_ICO]=$K1181)))</f>
        <v>1</v>
      </c>
      <c r="AK1181" s="3">
        <f t="shared" si="1285"/>
        <v>0</v>
      </c>
      <c r="AL1181" s="3">
        <f t="shared" si="1286"/>
        <v>0</v>
      </c>
      <c r="AM1181" s="17" t="str">
        <f>IF(SrcDB[[#This Row],[Pocet zmluv objednavatela]]&gt;3,SrcDB[[#This Row],[Objednavatel]],"Ostatné")</f>
        <v>Ostatné</v>
      </c>
      <c r="AN1181" s="17" t="str">
        <f>IF(SrcDB[[#This Row],[Pocet zmluv dodavatela]]&gt;3,SrcDB[[#This Row],[Dodavatel]],"Ostatné")</f>
        <v>Ostatné</v>
      </c>
    </row>
    <row r="1182" spans="1:40" x14ac:dyDescent="0.3">
      <c r="A1182" s="2" t="s">
        <v>1443</v>
      </c>
      <c r="B1182" s="2">
        <v>8766131</v>
      </c>
      <c r="C1182" s="3" t="str">
        <f t="shared" si="1279"/>
        <v>Nejasné</v>
      </c>
      <c r="D1182" s="3" t="str">
        <f t="shared" si="1280"/>
        <v>Nejasné</v>
      </c>
      <c r="E1182" s="3" t="s">
        <v>48</v>
      </c>
      <c r="F1182" s="3" t="s">
        <v>49</v>
      </c>
      <c r="G1182" s="2" t="str">
        <f t="shared" si="1281"/>
        <v>Stredné zmluvy</v>
      </c>
      <c r="H1182" s="5">
        <v>35722959</v>
      </c>
      <c r="I1182" s="2" t="s">
        <v>1417</v>
      </c>
      <c r="J1182" s="2" t="s">
        <v>1418</v>
      </c>
      <c r="K1182" s="5">
        <v>35738219</v>
      </c>
      <c r="L1182" s="2" t="s">
        <v>1444</v>
      </c>
      <c r="M1182" s="2" t="s">
        <v>1445</v>
      </c>
      <c r="N1182" s="6">
        <v>45288.431990740741</v>
      </c>
      <c r="O1182" s="4">
        <v>1702464</v>
      </c>
      <c r="P1182" s="2">
        <v>114725</v>
      </c>
      <c r="Q1182" s="2" t="s">
        <v>1446</v>
      </c>
      <c r="R1182" s="2" t="s">
        <v>1447</v>
      </c>
      <c r="S1182" s="2" t="s">
        <v>77</v>
      </c>
      <c r="T1182" s="2" t="s">
        <v>77</v>
      </c>
      <c r="W1182" s="4">
        <v>496</v>
      </c>
      <c r="X1182" s="4">
        <v>595.19999999999993</v>
      </c>
      <c r="Y1182" s="4">
        <f t="shared" ref="Y1182" si="1312">INDEX(InternalRates,MATCH($S1182,InternalRates01,FALSE),2)</f>
        <v>278.98333333333335</v>
      </c>
      <c r="Z1182" s="3" t="str">
        <f t="shared" si="1244"/>
        <v>Nie</v>
      </c>
      <c r="AA1182" s="3" t="str">
        <f t="shared" si="1245"/>
        <v>SLA</v>
      </c>
      <c r="AD1182" s="3" t="s">
        <v>48</v>
      </c>
      <c r="AE1182" s="6">
        <v>45540</v>
      </c>
      <c r="AF1182" s="3" t="s">
        <v>59</v>
      </c>
      <c r="AG1182" s="3" t="s">
        <v>60</v>
      </c>
      <c r="AH1182" s="3">
        <f>YEAR(SrcDB[[#This Row],[Datum_zverejnenia]])</f>
        <v>2023</v>
      </c>
      <c r="AI1182" s="3" cm="1">
        <f t="array" ref="AI1182">COUNT(_xlfn.UNIQUE(_xlfn._xlws.FILTER(SrcDB[ID],SrcDB[Objednavatel_ICO]=$H1182)))</f>
        <v>2</v>
      </c>
      <c r="AJ1182" s="3" cm="1">
        <f t="array" ref="AJ1182">COUNT(_xlfn.UNIQUE(_xlfn._xlws.FILTER(SrcDB[ID],SrcDB[Dodavatel_ICO]=$K1182)))</f>
        <v>1</v>
      </c>
      <c r="AK1182" s="3">
        <f t="shared" si="1285"/>
        <v>0</v>
      </c>
      <c r="AL1182" s="3">
        <f t="shared" si="1286"/>
        <v>0</v>
      </c>
      <c r="AM1182" s="17" t="str">
        <f>IF(SrcDB[[#This Row],[Pocet zmluv objednavatela]]&gt;3,SrcDB[[#This Row],[Objednavatel]],"Ostatné")</f>
        <v>Ostatné</v>
      </c>
      <c r="AN1182" s="17" t="str">
        <f>IF(SrcDB[[#This Row],[Pocet zmluv dodavatela]]&gt;3,SrcDB[[#This Row],[Dodavatel]],"Ostatné")</f>
        <v>Ostatné</v>
      </c>
    </row>
    <row r="1183" spans="1:40" x14ac:dyDescent="0.3">
      <c r="A1183" s="2" t="s">
        <v>1443</v>
      </c>
      <c r="B1183" s="2">
        <v>8766131</v>
      </c>
      <c r="C1183" s="3" t="str">
        <f t="shared" si="1279"/>
        <v>Nejasné</v>
      </c>
      <c r="D1183" s="3" t="str">
        <f t="shared" si="1280"/>
        <v>Nejasné</v>
      </c>
      <c r="E1183" s="3" t="s">
        <v>48</v>
      </c>
      <c r="F1183" s="3" t="s">
        <v>49</v>
      </c>
      <c r="G1183" s="2" t="str">
        <f t="shared" si="1281"/>
        <v>Stredné zmluvy</v>
      </c>
      <c r="H1183" s="5">
        <v>35722959</v>
      </c>
      <c r="I1183" s="2" t="s">
        <v>1417</v>
      </c>
      <c r="J1183" s="2" t="s">
        <v>1418</v>
      </c>
      <c r="K1183" s="5">
        <v>35738219</v>
      </c>
      <c r="L1183" s="2" t="s">
        <v>1444</v>
      </c>
      <c r="M1183" s="2" t="s">
        <v>1445</v>
      </c>
      <c r="N1183" s="6">
        <v>45288.431990740741</v>
      </c>
      <c r="O1183" s="4">
        <v>1702464</v>
      </c>
      <c r="P1183" s="2">
        <v>114725</v>
      </c>
      <c r="Q1183" s="2" t="s">
        <v>1446</v>
      </c>
      <c r="R1183" s="2" t="s">
        <v>1447</v>
      </c>
      <c r="S1183" s="2" t="s">
        <v>79</v>
      </c>
      <c r="T1183" s="2" t="s">
        <v>79</v>
      </c>
      <c r="W1183" s="4">
        <v>496</v>
      </c>
      <c r="X1183" s="4">
        <v>595.19999999999993</v>
      </c>
      <c r="Y1183" s="4">
        <f t="shared" ref="Y1183" si="1313">INDEX(InternalRates,MATCH($S1183,InternalRates01,FALSE),2)</f>
        <v>278.98333333333335</v>
      </c>
      <c r="Z1183" s="3" t="str">
        <f t="shared" si="1244"/>
        <v>Nie</v>
      </c>
      <c r="AA1183" s="3" t="str">
        <f t="shared" si="1245"/>
        <v>SLA</v>
      </c>
      <c r="AD1183" s="3" t="s">
        <v>48</v>
      </c>
      <c r="AE1183" s="6">
        <v>45540</v>
      </c>
      <c r="AF1183" s="3" t="s">
        <v>59</v>
      </c>
      <c r="AG1183" s="3" t="s">
        <v>60</v>
      </c>
      <c r="AH1183" s="3">
        <f>YEAR(SrcDB[[#This Row],[Datum_zverejnenia]])</f>
        <v>2023</v>
      </c>
      <c r="AI1183" s="3" cm="1">
        <f t="array" ref="AI1183">COUNT(_xlfn.UNIQUE(_xlfn._xlws.FILTER(SrcDB[ID],SrcDB[Objednavatel_ICO]=$H1183)))</f>
        <v>2</v>
      </c>
      <c r="AJ1183" s="3" cm="1">
        <f t="array" ref="AJ1183">COUNT(_xlfn.UNIQUE(_xlfn._xlws.FILTER(SrcDB[ID],SrcDB[Dodavatel_ICO]=$K1183)))</f>
        <v>1</v>
      </c>
      <c r="AK1183" s="3">
        <f t="shared" si="1285"/>
        <v>0</v>
      </c>
      <c r="AL1183" s="3">
        <f t="shared" si="1286"/>
        <v>0</v>
      </c>
      <c r="AM1183" s="17" t="str">
        <f>IF(SrcDB[[#This Row],[Pocet zmluv objednavatela]]&gt;3,SrcDB[[#This Row],[Objednavatel]],"Ostatné")</f>
        <v>Ostatné</v>
      </c>
      <c r="AN1183" s="17" t="str">
        <f>IF(SrcDB[[#This Row],[Pocet zmluv dodavatela]]&gt;3,SrcDB[[#This Row],[Dodavatel]],"Ostatné")</f>
        <v>Ostatné</v>
      </c>
    </row>
    <row r="1184" spans="1:40" x14ac:dyDescent="0.3">
      <c r="A1184" s="2" t="s">
        <v>1443</v>
      </c>
      <c r="B1184" s="2">
        <v>8766131</v>
      </c>
      <c r="C1184" s="3" t="str">
        <f t="shared" si="1279"/>
        <v>Nejasné</v>
      </c>
      <c r="D1184" s="3" t="str">
        <f t="shared" si="1280"/>
        <v>Nejasné</v>
      </c>
      <c r="E1184" s="3" t="s">
        <v>48</v>
      </c>
      <c r="F1184" s="3" t="s">
        <v>49</v>
      </c>
      <c r="G1184" s="2" t="str">
        <f t="shared" si="1281"/>
        <v>Stredné zmluvy</v>
      </c>
      <c r="H1184" s="5">
        <v>35722959</v>
      </c>
      <c r="I1184" s="2" t="s">
        <v>1417</v>
      </c>
      <c r="J1184" s="2" t="s">
        <v>1418</v>
      </c>
      <c r="K1184" s="5">
        <v>35738219</v>
      </c>
      <c r="L1184" s="2" t="s">
        <v>1444</v>
      </c>
      <c r="M1184" s="2" t="s">
        <v>1445</v>
      </c>
      <c r="N1184" s="6">
        <v>45288.431990740741</v>
      </c>
      <c r="O1184" s="4">
        <v>1702464</v>
      </c>
      <c r="P1184" s="2">
        <v>114725</v>
      </c>
      <c r="Q1184" s="2" t="s">
        <v>1446</v>
      </c>
      <c r="R1184" s="2" t="s">
        <v>1447</v>
      </c>
      <c r="S1184" s="2" t="s">
        <v>160</v>
      </c>
      <c r="T1184" s="2" t="s">
        <v>160</v>
      </c>
      <c r="W1184" s="4">
        <v>496</v>
      </c>
      <c r="X1184" s="4">
        <v>595.19999999999993</v>
      </c>
      <c r="Y1184" s="4">
        <f t="shared" ref="Y1184" si="1314">INDEX(InternalRates,MATCH($S1184,InternalRates01,FALSE),2)</f>
        <v>231.85833333333335</v>
      </c>
      <c r="Z1184" s="3" t="str">
        <f t="shared" ref="Z1184:Z1206" si="1315">IF(W1184&gt;0,IF(Y1184&gt;W1184,"Áno","Nie"),"Nie")</f>
        <v>Nie</v>
      </c>
      <c r="AA1184" s="3" t="str">
        <f t="shared" ref="AA1184:AA1206" si="1316">IF(E1184="Nie","SLA",IF(F1184="Nie","ZoD","SLA+ZoD"))</f>
        <v>SLA</v>
      </c>
      <c r="AD1184" s="3" t="s">
        <v>48</v>
      </c>
      <c r="AE1184" s="6">
        <v>45540</v>
      </c>
      <c r="AF1184" s="3" t="s">
        <v>59</v>
      </c>
      <c r="AG1184" s="3" t="s">
        <v>60</v>
      </c>
      <c r="AH1184" s="3">
        <f>YEAR(SrcDB[[#This Row],[Datum_zverejnenia]])</f>
        <v>2023</v>
      </c>
      <c r="AI1184" s="3" cm="1">
        <f t="array" ref="AI1184">COUNT(_xlfn.UNIQUE(_xlfn._xlws.FILTER(SrcDB[ID],SrcDB[Objednavatel_ICO]=$H1184)))</f>
        <v>2</v>
      </c>
      <c r="AJ1184" s="3" cm="1">
        <f t="array" ref="AJ1184">COUNT(_xlfn.UNIQUE(_xlfn._xlws.FILTER(SrcDB[ID],SrcDB[Dodavatel_ICO]=$K1184)))</f>
        <v>1</v>
      </c>
      <c r="AK1184" s="3">
        <f t="shared" si="1285"/>
        <v>0</v>
      </c>
      <c r="AL1184" s="3">
        <f t="shared" si="1286"/>
        <v>0</v>
      </c>
      <c r="AM1184" s="17" t="str">
        <f>IF(SrcDB[[#This Row],[Pocet zmluv objednavatela]]&gt;3,SrcDB[[#This Row],[Objednavatel]],"Ostatné")</f>
        <v>Ostatné</v>
      </c>
      <c r="AN1184" s="17" t="str">
        <f>IF(SrcDB[[#This Row],[Pocet zmluv dodavatela]]&gt;3,SrcDB[[#This Row],[Dodavatel]],"Ostatné")</f>
        <v>Ostatné</v>
      </c>
    </row>
    <row r="1185" spans="1:40" x14ac:dyDescent="0.3">
      <c r="A1185" s="2" t="s">
        <v>1443</v>
      </c>
      <c r="B1185" s="2">
        <v>8766131</v>
      </c>
      <c r="C1185" s="3" t="str">
        <f t="shared" si="1279"/>
        <v>Nejasné</v>
      </c>
      <c r="D1185" s="3" t="str">
        <f t="shared" si="1280"/>
        <v>Nejasné</v>
      </c>
      <c r="E1185" s="3" t="s">
        <v>48</v>
      </c>
      <c r="F1185" s="3" t="s">
        <v>49</v>
      </c>
      <c r="G1185" s="2" t="str">
        <f t="shared" si="1281"/>
        <v>Stredné zmluvy</v>
      </c>
      <c r="H1185" s="5">
        <v>35722959</v>
      </c>
      <c r="I1185" s="2" t="s">
        <v>1417</v>
      </c>
      <c r="J1185" s="2" t="s">
        <v>1418</v>
      </c>
      <c r="K1185" s="5">
        <v>35738219</v>
      </c>
      <c r="L1185" s="2" t="s">
        <v>1444</v>
      </c>
      <c r="M1185" s="2" t="s">
        <v>1445</v>
      </c>
      <c r="N1185" s="6">
        <v>45288.431990740741</v>
      </c>
      <c r="O1185" s="4">
        <v>1702464</v>
      </c>
      <c r="P1185" s="2">
        <v>114725</v>
      </c>
      <c r="Q1185" s="2" t="s">
        <v>1446</v>
      </c>
      <c r="R1185" s="2" t="s">
        <v>1447</v>
      </c>
      <c r="S1185" s="2" t="s">
        <v>56</v>
      </c>
      <c r="T1185" s="2" t="s">
        <v>286</v>
      </c>
      <c r="U1185" s="2" t="s">
        <v>129</v>
      </c>
      <c r="W1185" s="4">
        <v>656</v>
      </c>
      <c r="X1185" s="4">
        <v>787.19999999999993</v>
      </c>
      <c r="Y1185" s="4">
        <f t="shared" ref="Y1185" si="1317">INDEX(InternalRates,MATCH($S1185,InternalRates01,FALSE),2)</f>
        <v>278.98333333333335</v>
      </c>
      <c r="Z1185" s="3" t="str">
        <f t="shared" si="1315"/>
        <v>Nie</v>
      </c>
      <c r="AA1185" s="3" t="str">
        <f t="shared" si="1316"/>
        <v>SLA</v>
      </c>
      <c r="AD1185" s="3" t="s">
        <v>48</v>
      </c>
      <c r="AE1185" s="6">
        <v>45540</v>
      </c>
      <c r="AF1185" s="3" t="s">
        <v>59</v>
      </c>
      <c r="AG1185" s="3" t="s">
        <v>60</v>
      </c>
      <c r="AH1185" s="3">
        <f>YEAR(SrcDB[[#This Row],[Datum_zverejnenia]])</f>
        <v>2023</v>
      </c>
      <c r="AI1185" s="3" cm="1">
        <f t="array" ref="AI1185">COUNT(_xlfn.UNIQUE(_xlfn._xlws.FILTER(SrcDB[ID],SrcDB[Objednavatel_ICO]=$H1185)))</f>
        <v>2</v>
      </c>
      <c r="AJ1185" s="3" cm="1">
        <f t="array" ref="AJ1185">COUNT(_xlfn.UNIQUE(_xlfn._xlws.FILTER(SrcDB[ID],SrcDB[Dodavatel_ICO]=$K1185)))</f>
        <v>1</v>
      </c>
      <c r="AK1185" s="3">
        <f t="shared" si="1285"/>
        <v>0</v>
      </c>
      <c r="AL1185" s="3">
        <f t="shared" si="1286"/>
        <v>0</v>
      </c>
      <c r="AM1185" s="17" t="str">
        <f>IF(SrcDB[[#This Row],[Pocet zmluv objednavatela]]&gt;3,SrcDB[[#This Row],[Objednavatel]],"Ostatné")</f>
        <v>Ostatné</v>
      </c>
      <c r="AN1185" s="17" t="str">
        <f>IF(SrcDB[[#This Row],[Pocet zmluv dodavatela]]&gt;3,SrcDB[[#This Row],[Dodavatel]],"Ostatné")</f>
        <v>Ostatné</v>
      </c>
    </row>
    <row r="1186" spans="1:40" x14ac:dyDescent="0.3">
      <c r="A1186" s="2" t="s">
        <v>1443</v>
      </c>
      <c r="B1186" s="2">
        <v>8766131</v>
      </c>
      <c r="C1186" s="3" t="str">
        <f t="shared" si="1279"/>
        <v>Nejasné</v>
      </c>
      <c r="D1186" s="3" t="str">
        <f t="shared" si="1280"/>
        <v>Nejasné</v>
      </c>
      <c r="E1186" s="3" t="s">
        <v>48</v>
      </c>
      <c r="F1186" s="3" t="s">
        <v>49</v>
      </c>
      <c r="G1186" s="2" t="str">
        <f t="shared" si="1281"/>
        <v>Stredné zmluvy</v>
      </c>
      <c r="H1186" s="5">
        <v>35722959</v>
      </c>
      <c r="I1186" s="2" t="s">
        <v>1417</v>
      </c>
      <c r="J1186" s="2" t="s">
        <v>1418</v>
      </c>
      <c r="K1186" s="5">
        <v>35738219</v>
      </c>
      <c r="L1186" s="2" t="s">
        <v>1444</v>
      </c>
      <c r="M1186" s="2" t="s">
        <v>1445</v>
      </c>
      <c r="N1186" s="6">
        <v>45288.431990740741</v>
      </c>
      <c r="O1186" s="4">
        <v>1702464</v>
      </c>
      <c r="P1186" s="2">
        <v>114725</v>
      </c>
      <c r="Q1186" s="2" t="s">
        <v>1446</v>
      </c>
      <c r="R1186" s="2" t="s">
        <v>1447</v>
      </c>
      <c r="S1186" s="2" t="s">
        <v>98</v>
      </c>
      <c r="T1186" s="2" t="s">
        <v>98</v>
      </c>
      <c r="W1186" s="4">
        <v>500</v>
      </c>
      <c r="X1186" s="4">
        <v>600</v>
      </c>
      <c r="Y1186" s="4">
        <f t="shared" ref="Y1186" si="1318">INDEX(InternalRates,MATCH($S1186,InternalRates01,FALSE),2)</f>
        <v>278.98333333333335</v>
      </c>
      <c r="Z1186" s="3" t="str">
        <f t="shared" si="1315"/>
        <v>Nie</v>
      </c>
      <c r="AA1186" s="3" t="str">
        <f t="shared" si="1316"/>
        <v>SLA</v>
      </c>
      <c r="AD1186" s="3" t="s">
        <v>48</v>
      </c>
      <c r="AE1186" s="6">
        <v>45540</v>
      </c>
      <c r="AF1186" s="3" t="s">
        <v>59</v>
      </c>
      <c r="AG1186" s="3" t="s">
        <v>60</v>
      </c>
      <c r="AH1186" s="3">
        <f>YEAR(SrcDB[[#This Row],[Datum_zverejnenia]])</f>
        <v>2023</v>
      </c>
      <c r="AI1186" s="3" cm="1">
        <f t="array" ref="AI1186">COUNT(_xlfn.UNIQUE(_xlfn._xlws.FILTER(SrcDB[ID],SrcDB[Objednavatel_ICO]=$H1186)))</f>
        <v>2</v>
      </c>
      <c r="AJ1186" s="3" cm="1">
        <f t="array" ref="AJ1186">COUNT(_xlfn.UNIQUE(_xlfn._xlws.FILTER(SrcDB[ID],SrcDB[Dodavatel_ICO]=$K1186)))</f>
        <v>1</v>
      </c>
      <c r="AK1186" s="3">
        <f t="shared" si="1285"/>
        <v>0</v>
      </c>
      <c r="AL1186" s="3">
        <f t="shared" si="1286"/>
        <v>0</v>
      </c>
      <c r="AM1186" s="17" t="str">
        <f>IF(SrcDB[[#This Row],[Pocet zmluv objednavatela]]&gt;3,SrcDB[[#This Row],[Objednavatel]],"Ostatné")</f>
        <v>Ostatné</v>
      </c>
      <c r="AN1186" s="17" t="str">
        <f>IF(SrcDB[[#This Row],[Pocet zmluv dodavatela]]&gt;3,SrcDB[[#This Row],[Dodavatel]],"Ostatné")</f>
        <v>Ostatné</v>
      </c>
    </row>
    <row r="1187" spans="1:40" x14ac:dyDescent="0.3">
      <c r="A1187" s="2" t="s">
        <v>1448</v>
      </c>
      <c r="B1187" s="2">
        <v>8766857</v>
      </c>
      <c r="C1187" s="3" t="str">
        <f t="shared" si="1279"/>
        <v>Nie</v>
      </c>
      <c r="D1187" s="3" t="str">
        <f t="shared" si="1280"/>
        <v>Áno</v>
      </c>
      <c r="E1187" s="3" t="s">
        <v>48</v>
      </c>
      <c r="F1187" s="3" t="s">
        <v>49</v>
      </c>
      <c r="G1187" s="2" t="str">
        <f t="shared" si="1281"/>
        <v>Stredné zmluvy</v>
      </c>
      <c r="H1187" s="5" t="s">
        <v>231</v>
      </c>
      <c r="I1187" s="2" t="s">
        <v>232</v>
      </c>
      <c r="J1187" s="2" t="s">
        <v>233</v>
      </c>
      <c r="K1187" s="5">
        <v>31385401</v>
      </c>
      <c r="L1187" s="2" t="s">
        <v>142</v>
      </c>
      <c r="M1187" s="2" t="s">
        <v>496</v>
      </c>
      <c r="N1187" s="6">
        <v>45288.493298611109</v>
      </c>
      <c r="O1187" s="4">
        <v>4433260</v>
      </c>
      <c r="P1187" s="2">
        <v>114497</v>
      </c>
      <c r="Q1187" s="2" t="s">
        <v>1449</v>
      </c>
      <c r="R1187" s="2" t="s">
        <v>1450</v>
      </c>
      <c r="S1187" s="2" t="s">
        <v>183</v>
      </c>
      <c r="T1187" s="2" t="s">
        <v>183</v>
      </c>
      <c r="W1187" s="4">
        <v>605</v>
      </c>
      <c r="X1187" s="4">
        <v>726</v>
      </c>
      <c r="Y1187" s="4">
        <f t="shared" ref="Y1187" si="1319">INDEX(InternalRates,MATCH($S1187,InternalRates01,FALSE),2)</f>
        <v>278.98333333333335</v>
      </c>
      <c r="Z1187" s="3" t="str">
        <f t="shared" si="1315"/>
        <v>Nie</v>
      </c>
      <c r="AA1187" s="3" t="str">
        <f t="shared" si="1316"/>
        <v>SLA</v>
      </c>
      <c r="AB1187" s="4">
        <v>3500</v>
      </c>
      <c r="AC1187" s="4">
        <v>1750</v>
      </c>
      <c r="AD1187" s="3" t="s">
        <v>48</v>
      </c>
      <c r="AE1187" s="6">
        <v>45540</v>
      </c>
      <c r="AF1187" s="3" t="s">
        <v>59</v>
      </c>
      <c r="AG1187" s="3" t="s">
        <v>48</v>
      </c>
      <c r="AH1187" s="3">
        <f>YEAR(SrcDB[[#This Row],[Datum_zverejnenia]])</f>
        <v>2023</v>
      </c>
      <c r="AI1187" s="3" cm="1">
        <f t="array" ref="AI1187">COUNT(_xlfn.UNIQUE(_xlfn._xlws.FILTER(SrcDB[ID],SrcDB[Objednavatel_ICO]=$H1187)))</f>
        <v>9</v>
      </c>
      <c r="AJ1187" s="3" cm="1">
        <f t="array" ref="AJ1187">COUNT(_xlfn.UNIQUE(_xlfn._xlws.FILTER(SrcDB[ID],SrcDB[Dodavatel_ICO]=$K1187)))</f>
        <v>14</v>
      </c>
      <c r="AK1187" s="3">
        <f t="shared" si="1285"/>
        <v>1</v>
      </c>
      <c r="AL1187" s="3">
        <f t="shared" si="1286"/>
        <v>1</v>
      </c>
      <c r="AM1187" s="17" t="str">
        <f>IF(SrcDB[[#This Row],[Pocet zmluv objednavatela]]&gt;3,SrcDB[[#This Row],[Objednavatel]],"Ostatné")</f>
        <v>Ministerstvo školstva, výskumu, vývoja a mládeže SR</v>
      </c>
      <c r="AN1187" s="17" t="str">
        <f>IF(SrcDB[[#This Row],[Pocet zmluv dodavatela]]&gt;3,SrcDB[[#This Row],[Dodavatel]],"Ostatné")</f>
        <v>DITEC, a.s.</v>
      </c>
    </row>
    <row r="1188" spans="1:40" x14ac:dyDescent="0.3">
      <c r="A1188" s="2" t="s">
        <v>1451</v>
      </c>
      <c r="B1188" s="2">
        <v>8768726</v>
      </c>
      <c r="C1188" s="3" t="str">
        <f t="shared" si="1279"/>
        <v>Nie</v>
      </c>
      <c r="D1188" s="3" t="str">
        <f t="shared" si="1280"/>
        <v>Áno</v>
      </c>
      <c r="E1188" s="3" t="s">
        <v>48</v>
      </c>
      <c r="F1188" s="3" t="s">
        <v>49</v>
      </c>
      <c r="G1188" s="2" t="str">
        <f t="shared" si="1281"/>
        <v>Malé zmluvy</v>
      </c>
      <c r="H1188" s="5" t="s">
        <v>632</v>
      </c>
      <c r="I1188" s="2" t="s">
        <v>633</v>
      </c>
      <c r="J1188" s="2" t="s">
        <v>1452</v>
      </c>
      <c r="K1188" s="5">
        <v>35760419</v>
      </c>
      <c r="L1188" s="2" t="s">
        <v>85</v>
      </c>
      <c r="M1188" s="2" t="s">
        <v>1142</v>
      </c>
      <c r="N1188" s="6">
        <v>45288.603495370371</v>
      </c>
      <c r="O1188" s="4">
        <v>816816</v>
      </c>
      <c r="P1188" s="2">
        <v>114725</v>
      </c>
      <c r="Q1188" s="2" t="s">
        <v>1453</v>
      </c>
      <c r="R1188" s="2" t="s">
        <v>1454</v>
      </c>
      <c r="S1188" s="2" t="s">
        <v>183</v>
      </c>
      <c r="T1188" s="2" t="s">
        <v>183</v>
      </c>
      <c r="W1188" s="4">
        <v>533.86666666663996</v>
      </c>
      <c r="X1188" s="4">
        <v>640.63999999996793</v>
      </c>
      <c r="Y1188" s="4">
        <f t="shared" ref="Y1188" si="1320">INDEX(InternalRates,MATCH($S1188,InternalRates01,FALSE),2)</f>
        <v>278.98333333333335</v>
      </c>
      <c r="Z1188" s="3" t="str">
        <f t="shared" si="1315"/>
        <v>Nie</v>
      </c>
      <c r="AA1188" s="3" t="str">
        <f t="shared" si="1316"/>
        <v>SLA</v>
      </c>
      <c r="AB1188" s="4">
        <v>1275</v>
      </c>
      <c r="AC1188" s="4">
        <v>900</v>
      </c>
      <c r="AD1188" s="3" t="s">
        <v>48</v>
      </c>
      <c r="AE1188" s="6">
        <v>45544</v>
      </c>
      <c r="AF1188" s="3" t="s">
        <v>59</v>
      </c>
      <c r="AG1188" s="3" t="s">
        <v>48</v>
      </c>
      <c r="AH1188" s="3">
        <f>YEAR(SrcDB[[#This Row],[Datum_zverejnenia]])</f>
        <v>2023</v>
      </c>
      <c r="AI1188" s="3" cm="1">
        <f t="array" ref="AI1188">COUNT(_xlfn.UNIQUE(_xlfn._xlws.FILTER(SrcDB[ID],SrcDB[Objednavatel_ICO]=$H1188)))</f>
        <v>6</v>
      </c>
      <c r="AJ1188" s="3" cm="1">
        <f t="array" ref="AJ1188">COUNT(_xlfn.UNIQUE(_xlfn._xlws.FILTER(SrcDB[ID],SrcDB[Dodavatel_ICO]=$K1188)))</f>
        <v>34</v>
      </c>
      <c r="AK1188" s="3">
        <f t="shared" si="1285"/>
        <v>1</v>
      </c>
      <c r="AL1188" s="3">
        <f t="shared" si="1286"/>
        <v>1</v>
      </c>
      <c r="AM1188" s="17" t="str">
        <f>IF(SrcDB[[#This Row],[Pocet zmluv objednavatela]]&gt;3,SrcDB[[#This Row],[Objednavatel]],"Ostatné")</f>
        <v>Ministerstvo financií SR</v>
      </c>
      <c r="AN1188" s="17" t="str">
        <f>IF(SrcDB[[#This Row],[Pocet zmluv dodavatela]]&gt;3,SrcDB[[#This Row],[Dodavatel]],"Ostatné")</f>
        <v>Asseco Central Europe, a.s.</v>
      </c>
    </row>
    <row r="1189" spans="1:40" x14ac:dyDescent="0.3">
      <c r="A1189" s="2" t="s">
        <v>176</v>
      </c>
      <c r="B1189" s="2">
        <v>6648238</v>
      </c>
      <c r="C1189" s="3" t="str">
        <f t="shared" si="1279"/>
        <v>Áno</v>
      </c>
      <c r="D1189" s="3" t="str">
        <f t="shared" si="1280"/>
        <v>Nie</v>
      </c>
      <c r="E1189" s="3" t="s">
        <v>49</v>
      </c>
      <c r="F1189" s="3" t="s">
        <v>48</v>
      </c>
      <c r="G1189" s="2" t="str">
        <f t="shared" si="1281"/>
        <v>Stredné zmluvy</v>
      </c>
      <c r="H1189" s="5" t="s">
        <v>1455</v>
      </c>
      <c r="I1189" s="2" t="s">
        <v>1456</v>
      </c>
      <c r="J1189" s="2" t="s">
        <v>1457</v>
      </c>
      <c r="K1189" s="5">
        <v>35810734</v>
      </c>
      <c r="L1189" s="2" t="s">
        <v>257</v>
      </c>
      <c r="M1189" s="2" t="s">
        <v>701</v>
      </c>
      <c r="N1189" s="6">
        <v>44746</v>
      </c>
      <c r="O1189" s="4">
        <v>1180800</v>
      </c>
      <c r="P1189" s="2">
        <v>356965</v>
      </c>
      <c r="Q1189" s="2" t="s">
        <v>1009</v>
      </c>
      <c r="R1189" s="2" t="s">
        <v>1458</v>
      </c>
      <c r="S1189" s="2" t="s">
        <v>69</v>
      </c>
      <c r="T1189" s="2" t="s">
        <v>285</v>
      </c>
      <c r="W1189" s="4">
        <v>400</v>
      </c>
      <c r="X1189" s="4">
        <v>480</v>
      </c>
      <c r="Y1189" s="4">
        <f t="shared" ref="Y1189" si="1321">INDEX(InternalRates,MATCH($S1189,InternalRates01,FALSE),2)</f>
        <v>278.98333333333335</v>
      </c>
      <c r="Z1189" s="3" t="str">
        <f t="shared" si="1315"/>
        <v>Nie</v>
      </c>
      <c r="AA1189" s="3" t="str">
        <f t="shared" si="1316"/>
        <v>ZoD</v>
      </c>
      <c r="AB1189" s="4">
        <v>185</v>
      </c>
      <c r="AC1189" s="4">
        <v>92.5</v>
      </c>
      <c r="AD1189" s="3" t="s">
        <v>49</v>
      </c>
      <c r="AE1189" s="6">
        <v>45537</v>
      </c>
      <c r="AF1189" s="3" t="s">
        <v>59</v>
      </c>
      <c r="AG1189" s="3" t="s">
        <v>49</v>
      </c>
      <c r="AH1189" s="3">
        <f>YEAR(SrcDB[[#This Row],[Datum_zverejnenia]])</f>
        <v>2022</v>
      </c>
      <c r="AI1189" s="3" cm="1">
        <f t="array" ref="AI1189">COUNT(_xlfn.UNIQUE(_xlfn._xlws.FILTER(SrcDB[ID],SrcDB[Objednavatel_ICO]=$H1189)))</f>
        <v>2</v>
      </c>
      <c r="AJ1189" s="3" cm="1">
        <f t="array" ref="AJ1189">COUNT(_xlfn.UNIQUE(_xlfn._xlws.FILTER(SrcDB[ID],SrcDB[Dodavatel_ICO]=$K1189)))</f>
        <v>10</v>
      </c>
      <c r="AK1189" s="3">
        <f t="shared" si="1285"/>
        <v>1</v>
      </c>
      <c r="AL1189" s="3">
        <f t="shared" si="1286"/>
        <v>1</v>
      </c>
      <c r="AM1189" s="17" t="str">
        <f>IF(SrcDB[[#This Row],[Pocet zmluv objednavatela]]&gt;3,SrcDB[[#This Row],[Objednavatel]],"Ostatné")</f>
        <v>Ostatné</v>
      </c>
      <c r="AN1189" s="17" t="str">
        <f>IF(SrcDB[[#This Row],[Pocet zmluv dodavatela]]&gt;3,SrcDB[[#This Row],[Dodavatel]],"Ostatné")</f>
        <v>DATALAN, a.s.</v>
      </c>
    </row>
    <row r="1190" spans="1:40" x14ac:dyDescent="0.3">
      <c r="A1190" s="2" t="s">
        <v>176</v>
      </c>
      <c r="B1190" s="2">
        <v>6648238</v>
      </c>
      <c r="C1190" s="3" t="str">
        <f t="shared" si="1279"/>
        <v>Áno</v>
      </c>
      <c r="D1190" s="3" t="str">
        <f t="shared" si="1280"/>
        <v>Nie</v>
      </c>
      <c r="E1190" s="3" t="s">
        <v>49</v>
      </c>
      <c r="F1190" s="3" t="s">
        <v>48</v>
      </c>
      <c r="G1190" s="2" t="str">
        <f t="shared" si="1281"/>
        <v>Stredné zmluvy</v>
      </c>
      <c r="H1190" s="5" t="s">
        <v>1455</v>
      </c>
      <c r="I1190" s="2" t="s">
        <v>1456</v>
      </c>
      <c r="J1190" s="2" t="s">
        <v>1457</v>
      </c>
      <c r="K1190" s="5">
        <v>35810734</v>
      </c>
      <c r="L1190" s="2" t="s">
        <v>257</v>
      </c>
      <c r="M1190" s="2" t="s">
        <v>701</v>
      </c>
      <c r="N1190" s="6">
        <v>44746</v>
      </c>
      <c r="O1190" s="4">
        <v>1180800</v>
      </c>
      <c r="P1190" s="2">
        <v>356965</v>
      </c>
      <c r="Q1190" s="2" t="s">
        <v>1009</v>
      </c>
      <c r="R1190" s="2" t="s">
        <v>1458</v>
      </c>
      <c r="S1190" s="2" t="s">
        <v>73</v>
      </c>
      <c r="T1190" s="2" t="s">
        <v>1459</v>
      </c>
      <c r="W1190" s="4">
        <v>400</v>
      </c>
      <c r="X1190" s="4">
        <v>480</v>
      </c>
      <c r="Y1190" s="4">
        <f t="shared" ref="Y1190" si="1322">INDEX(InternalRates,MATCH($S1190,InternalRates01,FALSE),2)</f>
        <v>278.98333333333335</v>
      </c>
      <c r="Z1190" s="3" t="str">
        <f t="shared" si="1315"/>
        <v>Nie</v>
      </c>
      <c r="AA1190" s="3" t="str">
        <f t="shared" si="1316"/>
        <v>ZoD</v>
      </c>
      <c r="AB1190" s="4">
        <v>416</v>
      </c>
      <c r="AC1190" s="4">
        <v>208</v>
      </c>
      <c r="AD1190" s="3" t="s">
        <v>49</v>
      </c>
      <c r="AE1190" s="6">
        <v>45537</v>
      </c>
      <c r="AF1190" s="3" t="s">
        <v>59</v>
      </c>
      <c r="AG1190" s="3" t="s">
        <v>49</v>
      </c>
      <c r="AH1190" s="3">
        <f>YEAR(SrcDB[[#This Row],[Datum_zverejnenia]])</f>
        <v>2022</v>
      </c>
      <c r="AI1190" s="3" cm="1">
        <f t="array" ref="AI1190">COUNT(_xlfn.UNIQUE(_xlfn._xlws.FILTER(SrcDB[ID],SrcDB[Objednavatel_ICO]=$H1190)))</f>
        <v>2</v>
      </c>
      <c r="AJ1190" s="3" cm="1">
        <f t="array" ref="AJ1190">COUNT(_xlfn.UNIQUE(_xlfn._xlws.FILTER(SrcDB[ID],SrcDB[Dodavatel_ICO]=$K1190)))</f>
        <v>10</v>
      </c>
      <c r="AK1190" s="3">
        <f t="shared" si="1285"/>
        <v>0</v>
      </c>
      <c r="AL1190" s="3">
        <f t="shared" si="1286"/>
        <v>0</v>
      </c>
      <c r="AM1190" s="17" t="str">
        <f>IF(SrcDB[[#This Row],[Pocet zmluv objednavatela]]&gt;3,SrcDB[[#This Row],[Objednavatel]],"Ostatné")</f>
        <v>Ostatné</v>
      </c>
      <c r="AN1190" s="17" t="str">
        <f>IF(SrcDB[[#This Row],[Pocet zmluv dodavatela]]&gt;3,SrcDB[[#This Row],[Dodavatel]],"Ostatné")</f>
        <v>DATALAN, a.s.</v>
      </c>
    </row>
    <row r="1191" spans="1:40" x14ac:dyDescent="0.3">
      <c r="A1191" s="2" t="s">
        <v>176</v>
      </c>
      <c r="B1191" s="2">
        <v>6648238</v>
      </c>
      <c r="C1191" s="3" t="str">
        <f t="shared" si="1279"/>
        <v>Áno</v>
      </c>
      <c r="D1191" s="3" t="str">
        <f t="shared" si="1280"/>
        <v>Nie</v>
      </c>
      <c r="E1191" s="3" t="s">
        <v>49</v>
      </c>
      <c r="F1191" s="3" t="s">
        <v>48</v>
      </c>
      <c r="G1191" s="2" t="str">
        <f t="shared" si="1281"/>
        <v>Stredné zmluvy</v>
      </c>
      <c r="H1191" s="5" t="s">
        <v>1455</v>
      </c>
      <c r="I1191" s="2" t="s">
        <v>1456</v>
      </c>
      <c r="J1191" s="2" t="s">
        <v>1457</v>
      </c>
      <c r="K1191" s="5">
        <v>35810734</v>
      </c>
      <c r="L1191" s="2" t="s">
        <v>257</v>
      </c>
      <c r="M1191" s="2" t="s">
        <v>701</v>
      </c>
      <c r="N1191" s="6">
        <v>44746</v>
      </c>
      <c r="O1191" s="4">
        <v>1180800</v>
      </c>
      <c r="P1191" s="2">
        <v>356965</v>
      </c>
      <c r="Q1191" s="2" t="s">
        <v>1009</v>
      </c>
      <c r="R1191" s="2" t="s">
        <v>1458</v>
      </c>
      <c r="S1191" s="2" t="s">
        <v>56</v>
      </c>
      <c r="T1191" s="2" t="s">
        <v>1460</v>
      </c>
      <c r="U1191" s="2" t="s">
        <v>95</v>
      </c>
      <c r="W1191" s="4">
        <v>400</v>
      </c>
      <c r="X1191" s="4">
        <v>480</v>
      </c>
      <c r="Y1191" s="4">
        <f t="shared" ref="Y1191" si="1323">INDEX(InternalRates,MATCH($S1191,InternalRates01,FALSE),2)</f>
        <v>278.98333333333335</v>
      </c>
      <c r="Z1191" s="3" t="str">
        <f t="shared" si="1315"/>
        <v>Nie</v>
      </c>
      <c r="AA1191" s="3" t="str">
        <f t="shared" si="1316"/>
        <v>ZoD</v>
      </c>
      <c r="AB1191" s="4">
        <v>102</v>
      </c>
      <c r="AC1191" s="4">
        <v>51</v>
      </c>
      <c r="AD1191" s="3" t="s">
        <v>49</v>
      </c>
      <c r="AE1191" s="6">
        <v>45537</v>
      </c>
      <c r="AF1191" s="3" t="s">
        <v>59</v>
      </c>
      <c r="AG1191" s="3" t="s">
        <v>49</v>
      </c>
      <c r="AH1191" s="3">
        <f>YEAR(SrcDB[[#This Row],[Datum_zverejnenia]])</f>
        <v>2022</v>
      </c>
      <c r="AI1191" s="3" cm="1">
        <f t="array" ref="AI1191">COUNT(_xlfn.UNIQUE(_xlfn._xlws.FILTER(SrcDB[ID],SrcDB[Objednavatel_ICO]=$H1191)))</f>
        <v>2</v>
      </c>
      <c r="AJ1191" s="3" cm="1">
        <f t="array" ref="AJ1191">COUNT(_xlfn.UNIQUE(_xlfn._xlws.FILTER(SrcDB[ID],SrcDB[Dodavatel_ICO]=$K1191)))</f>
        <v>10</v>
      </c>
      <c r="AK1191" s="3">
        <f t="shared" si="1285"/>
        <v>0</v>
      </c>
      <c r="AL1191" s="3">
        <f t="shared" si="1286"/>
        <v>0</v>
      </c>
      <c r="AM1191" s="17" t="str">
        <f>IF(SrcDB[[#This Row],[Pocet zmluv objednavatela]]&gt;3,SrcDB[[#This Row],[Objednavatel]],"Ostatné")</f>
        <v>Ostatné</v>
      </c>
      <c r="AN1191" s="17" t="str">
        <f>IF(SrcDB[[#This Row],[Pocet zmluv dodavatela]]&gt;3,SrcDB[[#This Row],[Dodavatel]],"Ostatné")</f>
        <v>DATALAN, a.s.</v>
      </c>
    </row>
    <row r="1192" spans="1:40" x14ac:dyDescent="0.3">
      <c r="A1192" s="2" t="s">
        <v>176</v>
      </c>
      <c r="B1192" s="2">
        <v>6648238</v>
      </c>
      <c r="C1192" s="3" t="str">
        <f t="shared" si="1279"/>
        <v>Áno</v>
      </c>
      <c r="D1192" s="3" t="str">
        <f t="shared" si="1280"/>
        <v>Nie</v>
      </c>
      <c r="E1192" s="3" t="s">
        <v>49</v>
      </c>
      <c r="F1192" s="3" t="s">
        <v>48</v>
      </c>
      <c r="G1192" s="2" t="str">
        <f t="shared" si="1281"/>
        <v>Stredné zmluvy</v>
      </c>
      <c r="H1192" s="5" t="s">
        <v>1455</v>
      </c>
      <c r="I1192" s="2" t="s">
        <v>1456</v>
      </c>
      <c r="J1192" s="2" t="s">
        <v>1457</v>
      </c>
      <c r="K1192" s="5">
        <v>35810734</v>
      </c>
      <c r="L1192" s="2" t="s">
        <v>257</v>
      </c>
      <c r="M1192" s="2" t="s">
        <v>701</v>
      </c>
      <c r="N1192" s="6">
        <v>44746</v>
      </c>
      <c r="O1192" s="4">
        <v>1180800</v>
      </c>
      <c r="P1192" s="2">
        <v>356965</v>
      </c>
      <c r="Q1192" s="2" t="s">
        <v>1009</v>
      </c>
      <c r="R1192" s="2" t="s">
        <v>1458</v>
      </c>
      <c r="S1192" s="2" t="s">
        <v>71</v>
      </c>
      <c r="T1192" s="2" t="s">
        <v>1461</v>
      </c>
      <c r="W1192" s="4">
        <v>400</v>
      </c>
      <c r="X1192" s="4">
        <v>480</v>
      </c>
      <c r="Y1192" s="4">
        <f t="shared" ref="Y1192" si="1324">INDEX(InternalRates,MATCH($S1192,InternalRates01,FALSE),2)</f>
        <v>354.0333333333333</v>
      </c>
      <c r="Z1192" s="3" t="str">
        <f t="shared" si="1315"/>
        <v>Nie</v>
      </c>
      <c r="AA1192" s="3" t="str">
        <f t="shared" si="1316"/>
        <v>ZoD</v>
      </c>
      <c r="AB1192" s="4">
        <v>174</v>
      </c>
      <c r="AC1192" s="4">
        <v>87</v>
      </c>
      <c r="AD1192" s="3" t="s">
        <v>49</v>
      </c>
      <c r="AE1192" s="6">
        <v>45537</v>
      </c>
      <c r="AF1192" s="3" t="s">
        <v>59</v>
      </c>
      <c r="AG1192" s="3" t="s">
        <v>49</v>
      </c>
      <c r="AH1192" s="3">
        <f>YEAR(SrcDB[[#This Row],[Datum_zverejnenia]])</f>
        <v>2022</v>
      </c>
      <c r="AI1192" s="3" cm="1">
        <f t="array" ref="AI1192">COUNT(_xlfn.UNIQUE(_xlfn._xlws.FILTER(SrcDB[ID],SrcDB[Objednavatel_ICO]=$H1192)))</f>
        <v>2</v>
      </c>
      <c r="AJ1192" s="3" cm="1">
        <f t="array" ref="AJ1192">COUNT(_xlfn.UNIQUE(_xlfn._xlws.FILTER(SrcDB[ID],SrcDB[Dodavatel_ICO]=$K1192)))</f>
        <v>10</v>
      </c>
      <c r="AK1192" s="3">
        <f t="shared" si="1285"/>
        <v>0</v>
      </c>
      <c r="AL1192" s="3">
        <f t="shared" si="1286"/>
        <v>0</v>
      </c>
      <c r="AM1192" s="17" t="str">
        <f>IF(SrcDB[[#This Row],[Pocet zmluv objednavatela]]&gt;3,SrcDB[[#This Row],[Objednavatel]],"Ostatné")</f>
        <v>Ostatné</v>
      </c>
      <c r="AN1192" s="17" t="str">
        <f>IF(SrcDB[[#This Row],[Pocet zmluv dodavatela]]&gt;3,SrcDB[[#This Row],[Dodavatel]],"Ostatné")</f>
        <v>DATALAN, a.s.</v>
      </c>
    </row>
    <row r="1193" spans="1:40" x14ac:dyDescent="0.3">
      <c r="A1193" s="2" t="s">
        <v>176</v>
      </c>
      <c r="B1193" s="2">
        <v>6648238</v>
      </c>
      <c r="C1193" s="3" t="str">
        <f t="shared" si="1279"/>
        <v>Áno</v>
      </c>
      <c r="D1193" s="3" t="str">
        <f t="shared" si="1280"/>
        <v>Nie</v>
      </c>
      <c r="E1193" s="3" t="s">
        <v>49</v>
      </c>
      <c r="F1193" s="3" t="s">
        <v>48</v>
      </c>
      <c r="G1193" s="2" t="str">
        <f t="shared" si="1281"/>
        <v>Stredné zmluvy</v>
      </c>
      <c r="H1193" s="5" t="s">
        <v>1455</v>
      </c>
      <c r="I1193" s="2" t="s">
        <v>1456</v>
      </c>
      <c r="J1193" s="2" t="s">
        <v>1457</v>
      </c>
      <c r="K1193" s="5">
        <v>35810734</v>
      </c>
      <c r="L1193" s="2" t="s">
        <v>257</v>
      </c>
      <c r="M1193" s="2" t="s">
        <v>701</v>
      </c>
      <c r="N1193" s="6">
        <v>44746</v>
      </c>
      <c r="O1193" s="4">
        <v>1180800</v>
      </c>
      <c r="P1193" s="2">
        <v>356965</v>
      </c>
      <c r="Q1193" s="2" t="s">
        <v>1009</v>
      </c>
      <c r="R1193" s="2" t="s">
        <v>1458</v>
      </c>
      <c r="S1193" s="2" t="s">
        <v>77</v>
      </c>
      <c r="T1193" s="2" t="s">
        <v>1033</v>
      </c>
      <c r="W1193" s="4">
        <v>400</v>
      </c>
      <c r="X1193" s="4">
        <v>480</v>
      </c>
      <c r="Y1193" s="4">
        <f t="shared" ref="Y1193" si="1325">INDEX(InternalRates,MATCH($S1193,InternalRates01,FALSE),2)</f>
        <v>278.98333333333335</v>
      </c>
      <c r="Z1193" s="3" t="str">
        <f t="shared" si="1315"/>
        <v>Nie</v>
      </c>
      <c r="AA1193" s="3" t="str">
        <f t="shared" si="1316"/>
        <v>ZoD</v>
      </c>
      <c r="AB1193" s="4">
        <v>700</v>
      </c>
      <c r="AC1193" s="4">
        <v>350</v>
      </c>
      <c r="AD1193" s="3" t="s">
        <v>49</v>
      </c>
      <c r="AE1193" s="6">
        <v>45537</v>
      </c>
      <c r="AF1193" s="3" t="s">
        <v>59</v>
      </c>
      <c r="AG1193" s="3" t="s">
        <v>49</v>
      </c>
      <c r="AH1193" s="3">
        <f>YEAR(SrcDB[[#This Row],[Datum_zverejnenia]])</f>
        <v>2022</v>
      </c>
      <c r="AI1193" s="3" cm="1">
        <f t="array" ref="AI1193">COUNT(_xlfn.UNIQUE(_xlfn._xlws.FILTER(SrcDB[ID],SrcDB[Objednavatel_ICO]=$H1193)))</f>
        <v>2</v>
      </c>
      <c r="AJ1193" s="3" cm="1">
        <f t="array" ref="AJ1193">COUNT(_xlfn.UNIQUE(_xlfn._xlws.FILTER(SrcDB[ID],SrcDB[Dodavatel_ICO]=$K1193)))</f>
        <v>10</v>
      </c>
      <c r="AK1193" s="3">
        <f t="shared" si="1285"/>
        <v>0</v>
      </c>
      <c r="AL1193" s="3">
        <f t="shared" si="1286"/>
        <v>0</v>
      </c>
      <c r="AM1193" s="17" t="str">
        <f>IF(SrcDB[[#This Row],[Pocet zmluv objednavatela]]&gt;3,SrcDB[[#This Row],[Objednavatel]],"Ostatné")</f>
        <v>Ostatné</v>
      </c>
      <c r="AN1193" s="17" t="str">
        <f>IF(SrcDB[[#This Row],[Pocet zmluv dodavatela]]&gt;3,SrcDB[[#This Row],[Dodavatel]],"Ostatné")</f>
        <v>DATALAN, a.s.</v>
      </c>
    </row>
    <row r="1194" spans="1:40" x14ac:dyDescent="0.3">
      <c r="A1194" s="2" t="s">
        <v>176</v>
      </c>
      <c r="B1194" s="2">
        <v>6648238</v>
      </c>
      <c r="C1194" s="3" t="str">
        <f t="shared" si="1279"/>
        <v>Áno</v>
      </c>
      <c r="D1194" s="3" t="str">
        <f t="shared" si="1280"/>
        <v>Nie</v>
      </c>
      <c r="E1194" s="3" t="s">
        <v>49</v>
      </c>
      <c r="F1194" s="3" t="s">
        <v>48</v>
      </c>
      <c r="G1194" s="2" t="str">
        <f t="shared" si="1281"/>
        <v>Stredné zmluvy</v>
      </c>
      <c r="H1194" s="5" t="s">
        <v>1455</v>
      </c>
      <c r="I1194" s="2" t="s">
        <v>1456</v>
      </c>
      <c r="J1194" s="2" t="s">
        <v>1457</v>
      </c>
      <c r="K1194" s="5">
        <v>35810734</v>
      </c>
      <c r="L1194" s="2" t="s">
        <v>257</v>
      </c>
      <c r="M1194" s="2" t="s">
        <v>701</v>
      </c>
      <c r="N1194" s="6">
        <v>44746</v>
      </c>
      <c r="O1194" s="4">
        <v>1180800</v>
      </c>
      <c r="P1194" s="2">
        <v>356965</v>
      </c>
      <c r="Q1194" s="2" t="s">
        <v>1009</v>
      </c>
      <c r="R1194" s="2" t="s">
        <v>1458</v>
      </c>
      <c r="S1194" s="2" t="s">
        <v>56</v>
      </c>
      <c r="T1194" s="2" t="s">
        <v>448</v>
      </c>
      <c r="U1194" s="2" t="s">
        <v>449</v>
      </c>
      <c r="W1194" s="4">
        <v>400</v>
      </c>
      <c r="X1194" s="4">
        <v>480</v>
      </c>
      <c r="Y1194" s="4">
        <f t="shared" ref="Y1194" si="1326">INDEX(InternalRates,MATCH($S1194,InternalRates01,FALSE),2)</f>
        <v>278.98333333333335</v>
      </c>
      <c r="Z1194" s="3" t="str">
        <f t="shared" si="1315"/>
        <v>Nie</v>
      </c>
      <c r="AA1194" s="3" t="str">
        <f t="shared" si="1316"/>
        <v>ZoD</v>
      </c>
      <c r="AB1194" s="4">
        <v>216</v>
      </c>
      <c r="AC1194" s="4">
        <v>108</v>
      </c>
      <c r="AD1194" s="3" t="s">
        <v>49</v>
      </c>
      <c r="AE1194" s="6">
        <v>45537</v>
      </c>
      <c r="AF1194" s="3" t="s">
        <v>59</v>
      </c>
      <c r="AG1194" s="3" t="s">
        <v>49</v>
      </c>
      <c r="AH1194" s="3">
        <f>YEAR(SrcDB[[#This Row],[Datum_zverejnenia]])</f>
        <v>2022</v>
      </c>
      <c r="AI1194" s="3" cm="1">
        <f t="array" ref="AI1194">COUNT(_xlfn.UNIQUE(_xlfn._xlws.FILTER(SrcDB[ID],SrcDB[Objednavatel_ICO]=$H1194)))</f>
        <v>2</v>
      </c>
      <c r="AJ1194" s="3" cm="1">
        <f t="array" ref="AJ1194">COUNT(_xlfn.UNIQUE(_xlfn._xlws.FILTER(SrcDB[ID],SrcDB[Dodavatel_ICO]=$K1194)))</f>
        <v>10</v>
      </c>
      <c r="AK1194" s="3">
        <f t="shared" si="1285"/>
        <v>0</v>
      </c>
      <c r="AL1194" s="3">
        <f t="shared" si="1286"/>
        <v>0</v>
      </c>
      <c r="AM1194" s="17" t="str">
        <f>IF(SrcDB[[#This Row],[Pocet zmluv objednavatela]]&gt;3,SrcDB[[#This Row],[Objednavatel]],"Ostatné")</f>
        <v>Ostatné</v>
      </c>
      <c r="AN1194" s="17" t="str">
        <f>IF(SrcDB[[#This Row],[Pocet zmluv dodavatela]]&gt;3,SrcDB[[#This Row],[Dodavatel]],"Ostatné")</f>
        <v>DATALAN, a.s.</v>
      </c>
    </row>
    <row r="1195" spans="1:40" x14ac:dyDescent="0.3">
      <c r="A1195" s="2" t="s">
        <v>176</v>
      </c>
      <c r="B1195" s="2">
        <v>6648238</v>
      </c>
      <c r="C1195" s="3" t="str">
        <f t="shared" si="1279"/>
        <v>Áno</v>
      </c>
      <c r="D1195" s="3" t="str">
        <f t="shared" si="1280"/>
        <v>Nie</v>
      </c>
      <c r="E1195" s="3" t="s">
        <v>49</v>
      </c>
      <c r="F1195" s="3" t="s">
        <v>48</v>
      </c>
      <c r="G1195" s="2" t="str">
        <f t="shared" si="1281"/>
        <v>Stredné zmluvy</v>
      </c>
      <c r="H1195" s="5" t="s">
        <v>1455</v>
      </c>
      <c r="I1195" s="2" t="s">
        <v>1456</v>
      </c>
      <c r="J1195" s="2" t="s">
        <v>1457</v>
      </c>
      <c r="K1195" s="5">
        <v>35810734</v>
      </c>
      <c r="L1195" s="2" t="s">
        <v>257</v>
      </c>
      <c r="M1195" s="2" t="s">
        <v>701</v>
      </c>
      <c r="N1195" s="6">
        <v>44746</v>
      </c>
      <c r="O1195" s="4">
        <v>1180800</v>
      </c>
      <c r="P1195" s="2">
        <v>356965</v>
      </c>
      <c r="Q1195" s="2" t="s">
        <v>1009</v>
      </c>
      <c r="R1195" s="2" t="s">
        <v>1458</v>
      </c>
      <c r="S1195" s="2" t="s">
        <v>79</v>
      </c>
      <c r="T1195" s="2" t="s">
        <v>93</v>
      </c>
      <c r="W1195" s="4">
        <v>400</v>
      </c>
      <c r="X1195" s="4">
        <v>480</v>
      </c>
      <c r="Y1195" s="4">
        <f t="shared" ref="Y1195" si="1327">INDEX(InternalRates,MATCH($S1195,InternalRates01,FALSE),2)</f>
        <v>278.98333333333335</v>
      </c>
      <c r="Z1195" s="3" t="str">
        <f t="shared" si="1315"/>
        <v>Nie</v>
      </c>
      <c r="AA1195" s="3" t="str">
        <f t="shared" si="1316"/>
        <v>ZoD</v>
      </c>
      <c r="AB1195" s="4">
        <v>543.5</v>
      </c>
      <c r="AC1195" s="4">
        <v>271.75</v>
      </c>
      <c r="AD1195" s="3" t="s">
        <v>49</v>
      </c>
      <c r="AE1195" s="6">
        <v>45537</v>
      </c>
      <c r="AF1195" s="3" t="s">
        <v>59</v>
      </c>
      <c r="AG1195" s="3" t="s">
        <v>49</v>
      </c>
      <c r="AH1195" s="3">
        <f>YEAR(SrcDB[[#This Row],[Datum_zverejnenia]])</f>
        <v>2022</v>
      </c>
      <c r="AI1195" s="3" cm="1">
        <f t="array" ref="AI1195">COUNT(_xlfn.UNIQUE(_xlfn._xlws.FILTER(SrcDB[ID],SrcDB[Objednavatel_ICO]=$H1195)))</f>
        <v>2</v>
      </c>
      <c r="AJ1195" s="3" cm="1">
        <f t="array" ref="AJ1195">COUNT(_xlfn.UNIQUE(_xlfn._xlws.FILTER(SrcDB[ID],SrcDB[Dodavatel_ICO]=$K1195)))</f>
        <v>10</v>
      </c>
      <c r="AK1195" s="3">
        <f t="shared" si="1285"/>
        <v>0</v>
      </c>
      <c r="AL1195" s="3">
        <f t="shared" si="1286"/>
        <v>0</v>
      </c>
      <c r="AM1195" s="17" t="str">
        <f>IF(SrcDB[[#This Row],[Pocet zmluv objednavatela]]&gt;3,SrcDB[[#This Row],[Objednavatel]],"Ostatné")</f>
        <v>Ostatné</v>
      </c>
      <c r="AN1195" s="17" t="str">
        <f>IF(SrcDB[[#This Row],[Pocet zmluv dodavatela]]&gt;3,SrcDB[[#This Row],[Dodavatel]],"Ostatné")</f>
        <v>DATALAN, a.s.</v>
      </c>
    </row>
    <row r="1196" spans="1:40" x14ac:dyDescent="0.3">
      <c r="A1196" s="2" t="s">
        <v>176</v>
      </c>
      <c r="B1196" s="2">
        <v>6648238</v>
      </c>
      <c r="C1196" s="3" t="str">
        <f t="shared" si="1279"/>
        <v>Áno</v>
      </c>
      <c r="D1196" s="3" t="str">
        <f t="shared" si="1280"/>
        <v>Nie</v>
      </c>
      <c r="E1196" s="3" t="s">
        <v>49</v>
      </c>
      <c r="F1196" s="3" t="s">
        <v>48</v>
      </c>
      <c r="G1196" s="2" t="str">
        <f t="shared" si="1281"/>
        <v>Stredné zmluvy</v>
      </c>
      <c r="H1196" s="5" t="s">
        <v>1455</v>
      </c>
      <c r="I1196" s="2" t="s">
        <v>1456</v>
      </c>
      <c r="J1196" s="2" t="s">
        <v>1457</v>
      </c>
      <c r="K1196" s="5">
        <v>35810734</v>
      </c>
      <c r="L1196" s="2" t="s">
        <v>257</v>
      </c>
      <c r="M1196" s="2" t="s">
        <v>701</v>
      </c>
      <c r="N1196" s="6">
        <v>44746</v>
      </c>
      <c r="O1196" s="4">
        <v>1180800</v>
      </c>
      <c r="P1196" s="2">
        <v>356965</v>
      </c>
      <c r="Q1196" s="2" t="s">
        <v>1009</v>
      </c>
      <c r="R1196" s="2" t="s">
        <v>1458</v>
      </c>
      <c r="S1196" s="2" t="s">
        <v>98</v>
      </c>
      <c r="T1196" s="2" t="s">
        <v>287</v>
      </c>
      <c r="W1196" s="4">
        <v>400</v>
      </c>
      <c r="X1196" s="4">
        <v>480</v>
      </c>
      <c r="Y1196" s="4">
        <f t="shared" ref="Y1196" si="1328">INDEX(InternalRates,MATCH($S1196,InternalRates01,FALSE),2)</f>
        <v>278.98333333333335</v>
      </c>
      <c r="Z1196" s="3" t="str">
        <f t="shared" si="1315"/>
        <v>Nie</v>
      </c>
      <c r="AA1196" s="3" t="str">
        <f t="shared" si="1316"/>
        <v>ZoD</v>
      </c>
      <c r="AB1196" s="4">
        <v>90</v>
      </c>
      <c r="AC1196" s="4">
        <v>45</v>
      </c>
      <c r="AD1196" s="3" t="s">
        <v>49</v>
      </c>
      <c r="AE1196" s="6">
        <v>45537</v>
      </c>
      <c r="AF1196" s="3" t="s">
        <v>59</v>
      </c>
      <c r="AG1196" s="3" t="s">
        <v>49</v>
      </c>
      <c r="AH1196" s="3">
        <f>YEAR(SrcDB[[#This Row],[Datum_zverejnenia]])</f>
        <v>2022</v>
      </c>
      <c r="AI1196" s="3" cm="1">
        <f t="array" ref="AI1196">COUNT(_xlfn.UNIQUE(_xlfn._xlws.FILTER(SrcDB[ID],SrcDB[Objednavatel_ICO]=$H1196)))</f>
        <v>2</v>
      </c>
      <c r="AJ1196" s="3" cm="1">
        <f t="array" ref="AJ1196">COUNT(_xlfn.UNIQUE(_xlfn._xlws.FILTER(SrcDB[ID],SrcDB[Dodavatel_ICO]=$K1196)))</f>
        <v>10</v>
      </c>
      <c r="AK1196" s="3">
        <f t="shared" si="1285"/>
        <v>0</v>
      </c>
      <c r="AL1196" s="3">
        <f t="shared" si="1286"/>
        <v>0</v>
      </c>
      <c r="AM1196" s="17" t="str">
        <f>IF(SrcDB[[#This Row],[Pocet zmluv objednavatela]]&gt;3,SrcDB[[#This Row],[Objednavatel]],"Ostatné")</f>
        <v>Ostatné</v>
      </c>
      <c r="AN1196" s="17" t="str">
        <f>IF(SrcDB[[#This Row],[Pocet zmluv dodavatela]]&gt;3,SrcDB[[#This Row],[Dodavatel]],"Ostatné")</f>
        <v>DATALAN, a.s.</v>
      </c>
    </row>
    <row r="1197" spans="1:40" x14ac:dyDescent="0.3">
      <c r="A1197" s="2" t="s">
        <v>176</v>
      </c>
      <c r="B1197" s="2">
        <v>6648238</v>
      </c>
      <c r="C1197" s="3" t="str">
        <f t="shared" si="1279"/>
        <v>Áno</v>
      </c>
      <c r="D1197" s="3" t="str">
        <f t="shared" si="1280"/>
        <v>Nie</v>
      </c>
      <c r="E1197" s="3" t="s">
        <v>49</v>
      </c>
      <c r="F1197" s="3" t="s">
        <v>48</v>
      </c>
      <c r="G1197" s="2" t="str">
        <f t="shared" si="1281"/>
        <v>Stredné zmluvy</v>
      </c>
      <c r="H1197" s="5" t="s">
        <v>1455</v>
      </c>
      <c r="I1197" s="2" t="s">
        <v>1456</v>
      </c>
      <c r="J1197" s="2" t="s">
        <v>1457</v>
      </c>
      <c r="K1197" s="5">
        <v>35810734</v>
      </c>
      <c r="L1197" s="2" t="s">
        <v>257</v>
      </c>
      <c r="M1197" s="2" t="s">
        <v>701</v>
      </c>
      <c r="N1197" s="6">
        <v>44746</v>
      </c>
      <c r="O1197" s="4">
        <v>1180800</v>
      </c>
      <c r="P1197" s="2">
        <v>356965</v>
      </c>
      <c r="Q1197" s="2" t="s">
        <v>1009</v>
      </c>
      <c r="R1197" s="2" t="s">
        <v>1458</v>
      </c>
      <c r="S1197" s="2" t="s">
        <v>56</v>
      </c>
      <c r="T1197" s="2" t="s">
        <v>286</v>
      </c>
      <c r="U1197" s="2" t="s">
        <v>129</v>
      </c>
      <c r="W1197" s="4">
        <v>400</v>
      </c>
      <c r="X1197" s="4">
        <v>480</v>
      </c>
      <c r="Y1197" s="4">
        <f t="shared" ref="Y1197" si="1329">INDEX(InternalRates,MATCH($S1197,InternalRates01,FALSE),2)</f>
        <v>278.98333333333335</v>
      </c>
      <c r="Z1197" s="3" t="str">
        <f t="shared" si="1315"/>
        <v>Nie</v>
      </c>
      <c r="AA1197" s="3" t="str">
        <f t="shared" si="1316"/>
        <v>ZoD</v>
      </c>
      <c r="AB1197" s="4">
        <v>10</v>
      </c>
      <c r="AC1197" s="4">
        <v>5</v>
      </c>
      <c r="AD1197" s="3" t="s">
        <v>49</v>
      </c>
      <c r="AE1197" s="6">
        <v>45537</v>
      </c>
      <c r="AF1197" s="3" t="s">
        <v>59</v>
      </c>
      <c r="AG1197" s="3" t="s">
        <v>49</v>
      </c>
      <c r="AH1197" s="3">
        <f>YEAR(SrcDB[[#This Row],[Datum_zverejnenia]])</f>
        <v>2022</v>
      </c>
      <c r="AI1197" s="3" cm="1">
        <f t="array" ref="AI1197">COUNT(_xlfn.UNIQUE(_xlfn._xlws.FILTER(SrcDB[ID],SrcDB[Objednavatel_ICO]=$H1197)))</f>
        <v>2</v>
      </c>
      <c r="AJ1197" s="3" cm="1">
        <f t="array" ref="AJ1197">COUNT(_xlfn.UNIQUE(_xlfn._xlws.FILTER(SrcDB[ID],SrcDB[Dodavatel_ICO]=$K1197)))</f>
        <v>10</v>
      </c>
      <c r="AK1197" s="3">
        <f t="shared" si="1285"/>
        <v>0</v>
      </c>
      <c r="AL1197" s="3">
        <f t="shared" si="1286"/>
        <v>0</v>
      </c>
      <c r="AM1197" s="17" t="str">
        <f>IF(SrcDB[[#This Row],[Pocet zmluv objednavatela]]&gt;3,SrcDB[[#This Row],[Objednavatel]],"Ostatné")</f>
        <v>Ostatné</v>
      </c>
      <c r="AN1197" s="17" t="str">
        <f>IF(SrcDB[[#This Row],[Pocet zmluv dodavatela]]&gt;3,SrcDB[[#This Row],[Dodavatel]],"Ostatné")</f>
        <v>DATALAN, a.s.</v>
      </c>
    </row>
    <row r="1198" spans="1:40" x14ac:dyDescent="0.3">
      <c r="A1198" s="2" t="s">
        <v>176</v>
      </c>
      <c r="B1198" s="2">
        <v>6648238</v>
      </c>
      <c r="C1198" s="3" t="str">
        <f t="shared" si="1279"/>
        <v>Áno</v>
      </c>
      <c r="D1198" s="3" t="str">
        <f t="shared" si="1280"/>
        <v>Nie</v>
      </c>
      <c r="E1198" s="3" t="s">
        <v>49</v>
      </c>
      <c r="F1198" s="3" t="s">
        <v>48</v>
      </c>
      <c r="G1198" s="2" t="str">
        <f t="shared" si="1281"/>
        <v>Stredné zmluvy</v>
      </c>
      <c r="H1198" s="5" t="s">
        <v>1455</v>
      </c>
      <c r="I1198" s="2" t="s">
        <v>1456</v>
      </c>
      <c r="J1198" s="2" t="s">
        <v>1457</v>
      </c>
      <c r="K1198" s="5">
        <v>35810734</v>
      </c>
      <c r="L1198" s="2" t="s">
        <v>257</v>
      </c>
      <c r="M1198" s="2" t="s">
        <v>701</v>
      </c>
      <c r="N1198" s="6">
        <v>44746</v>
      </c>
      <c r="O1198" s="4">
        <v>1180800</v>
      </c>
      <c r="P1198" s="2">
        <v>356965</v>
      </c>
      <c r="Q1198" s="2" t="s">
        <v>1009</v>
      </c>
      <c r="R1198" s="2" t="s">
        <v>1458</v>
      </c>
      <c r="S1198" s="2" t="s">
        <v>56</v>
      </c>
      <c r="T1198" s="2" t="s">
        <v>288</v>
      </c>
      <c r="U1198" s="2" t="s">
        <v>289</v>
      </c>
      <c r="W1198" s="4">
        <v>400</v>
      </c>
      <c r="X1198" s="4">
        <v>480</v>
      </c>
      <c r="Y1198" s="4">
        <f t="shared" ref="Y1198" si="1330">INDEX(InternalRates,MATCH($S1198,InternalRates01,FALSE),2)</f>
        <v>278.98333333333335</v>
      </c>
      <c r="Z1198" s="3" t="str">
        <f t="shared" si="1315"/>
        <v>Nie</v>
      </c>
      <c r="AA1198" s="3" t="str">
        <f t="shared" si="1316"/>
        <v>ZoD</v>
      </c>
      <c r="AB1198" s="4">
        <v>41</v>
      </c>
      <c r="AC1198" s="4">
        <v>20.5</v>
      </c>
      <c r="AD1198" s="3" t="s">
        <v>49</v>
      </c>
      <c r="AE1198" s="6">
        <v>45537</v>
      </c>
      <c r="AF1198" s="3" t="s">
        <v>59</v>
      </c>
      <c r="AG1198" s="3" t="s">
        <v>49</v>
      </c>
      <c r="AH1198" s="3">
        <f>YEAR(SrcDB[[#This Row],[Datum_zverejnenia]])</f>
        <v>2022</v>
      </c>
      <c r="AI1198" s="3" cm="1">
        <f t="array" ref="AI1198">COUNT(_xlfn.UNIQUE(_xlfn._xlws.FILTER(SrcDB[ID],SrcDB[Objednavatel_ICO]=$H1198)))</f>
        <v>2</v>
      </c>
      <c r="AJ1198" s="3" cm="1">
        <f t="array" ref="AJ1198">COUNT(_xlfn.UNIQUE(_xlfn._xlws.FILTER(SrcDB[ID],SrcDB[Dodavatel_ICO]=$K1198)))</f>
        <v>10</v>
      </c>
      <c r="AK1198" s="3">
        <f t="shared" si="1285"/>
        <v>0</v>
      </c>
      <c r="AL1198" s="3">
        <f t="shared" si="1286"/>
        <v>0</v>
      </c>
      <c r="AM1198" s="17" t="str">
        <f>IF(SrcDB[[#This Row],[Pocet zmluv objednavatela]]&gt;3,SrcDB[[#This Row],[Objednavatel]],"Ostatné")</f>
        <v>Ostatné</v>
      </c>
      <c r="AN1198" s="17" t="str">
        <f>IF(SrcDB[[#This Row],[Pocet zmluv dodavatela]]&gt;3,SrcDB[[#This Row],[Dodavatel]],"Ostatné")</f>
        <v>DATALAN, a.s.</v>
      </c>
    </row>
    <row r="1199" spans="1:40" x14ac:dyDescent="0.3">
      <c r="A1199" s="2" t="s">
        <v>863</v>
      </c>
      <c r="B1199" s="2">
        <v>6648509</v>
      </c>
      <c r="C1199" s="3" t="str">
        <f t="shared" si="1279"/>
        <v>Nie</v>
      </c>
      <c r="D1199" s="3" t="str">
        <f t="shared" si="1280"/>
        <v>Áno</v>
      </c>
      <c r="E1199" s="3" t="s">
        <v>49</v>
      </c>
      <c r="F1199" s="3" t="s">
        <v>49</v>
      </c>
      <c r="G1199" s="2" t="str">
        <f t="shared" si="1281"/>
        <v>Stredné zmluvy</v>
      </c>
      <c r="H1199" s="5" t="s">
        <v>1455</v>
      </c>
      <c r="I1199" s="2" t="s">
        <v>1456</v>
      </c>
      <c r="J1199" s="2" t="s">
        <v>1457</v>
      </c>
      <c r="K1199" s="5">
        <v>35810734</v>
      </c>
      <c r="L1199" s="2" t="s">
        <v>257</v>
      </c>
      <c r="M1199" s="2" t="s">
        <v>701</v>
      </c>
      <c r="N1199" s="6">
        <v>44746</v>
      </c>
      <c r="O1199" s="4">
        <v>1755000</v>
      </c>
      <c r="P1199" s="2">
        <v>356965</v>
      </c>
      <c r="Q1199" s="2" t="s">
        <v>1462</v>
      </c>
      <c r="R1199" s="2" t="s">
        <v>1463</v>
      </c>
      <c r="S1199" s="2" t="s">
        <v>73</v>
      </c>
      <c r="T1199" s="2" t="s">
        <v>1459</v>
      </c>
      <c r="W1199" s="4">
        <v>300</v>
      </c>
      <c r="X1199" s="4">
        <v>360</v>
      </c>
      <c r="Y1199" s="4">
        <f t="shared" ref="Y1199" si="1331">INDEX(InternalRates,MATCH($S1199,InternalRates01,FALSE),2)</f>
        <v>278.98333333333335</v>
      </c>
      <c r="Z1199" s="3" t="str">
        <f t="shared" si="1315"/>
        <v>Nie</v>
      </c>
      <c r="AA1199" s="3" t="str">
        <f t="shared" si="1316"/>
        <v>SLA+ZoD</v>
      </c>
      <c r="AB1199" s="4">
        <v>402</v>
      </c>
      <c r="AC1199" s="4">
        <v>50.25</v>
      </c>
      <c r="AD1199" s="3" t="s">
        <v>49</v>
      </c>
      <c r="AE1199" s="6">
        <v>45537</v>
      </c>
      <c r="AF1199" s="3" t="s">
        <v>59</v>
      </c>
      <c r="AG1199" s="3" t="s">
        <v>49</v>
      </c>
      <c r="AH1199" s="3">
        <f>YEAR(SrcDB[[#This Row],[Datum_zverejnenia]])</f>
        <v>2022</v>
      </c>
      <c r="AI1199" s="3" cm="1">
        <f t="array" ref="AI1199">COUNT(_xlfn.UNIQUE(_xlfn._xlws.FILTER(SrcDB[ID],SrcDB[Objednavatel_ICO]=$H1199)))</f>
        <v>2</v>
      </c>
      <c r="AJ1199" s="3" cm="1">
        <f t="array" ref="AJ1199">COUNT(_xlfn.UNIQUE(_xlfn._xlws.FILTER(SrcDB[ID],SrcDB[Dodavatel_ICO]=$K1199)))</f>
        <v>10</v>
      </c>
      <c r="AK1199" s="3">
        <f t="shared" si="1285"/>
        <v>1</v>
      </c>
      <c r="AL1199" s="3">
        <f t="shared" si="1286"/>
        <v>1</v>
      </c>
      <c r="AM1199" s="17" t="str">
        <f>IF(SrcDB[[#This Row],[Pocet zmluv objednavatela]]&gt;3,SrcDB[[#This Row],[Objednavatel]],"Ostatné")</f>
        <v>Ostatné</v>
      </c>
      <c r="AN1199" s="17" t="str">
        <f>IF(SrcDB[[#This Row],[Pocet zmluv dodavatela]]&gt;3,SrcDB[[#This Row],[Dodavatel]],"Ostatné")</f>
        <v>DATALAN, a.s.</v>
      </c>
    </row>
    <row r="1200" spans="1:40" x14ac:dyDescent="0.3">
      <c r="A1200" s="2" t="s">
        <v>863</v>
      </c>
      <c r="B1200" s="2">
        <v>6648509</v>
      </c>
      <c r="C1200" s="3" t="str">
        <f t="shared" si="1279"/>
        <v>Nie</v>
      </c>
      <c r="D1200" s="3" t="str">
        <f t="shared" si="1280"/>
        <v>Áno</v>
      </c>
      <c r="E1200" s="3" t="s">
        <v>49</v>
      </c>
      <c r="F1200" s="3" t="s">
        <v>49</v>
      </c>
      <c r="G1200" s="2" t="str">
        <f t="shared" si="1281"/>
        <v>Stredné zmluvy</v>
      </c>
      <c r="H1200" s="5" t="s">
        <v>1455</v>
      </c>
      <c r="I1200" s="2" t="s">
        <v>1456</v>
      </c>
      <c r="J1200" s="2" t="s">
        <v>1457</v>
      </c>
      <c r="K1200" s="5">
        <v>35810734</v>
      </c>
      <c r="L1200" s="2" t="s">
        <v>257</v>
      </c>
      <c r="M1200" s="2" t="s">
        <v>701</v>
      </c>
      <c r="N1200" s="6">
        <v>44746</v>
      </c>
      <c r="O1200" s="4">
        <v>1755000</v>
      </c>
      <c r="P1200" s="2">
        <v>356965</v>
      </c>
      <c r="Q1200" s="2" t="s">
        <v>1462</v>
      </c>
      <c r="R1200" s="2" t="s">
        <v>1463</v>
      </c>
      <c r="S1200" s="2" t="s">
        <v>77</v>
      </c>
      <c r="T1200" s="2" t="s">
        <v>1033</v>
      </c>
      <c r="W1200" s="4">
        <v>300</v>
      </c>
      <c r="X1200" s="4">
        <v>360</v>
      </c>
      <c r="Y1200" s="4">
        <f t="shared" ref="Y1200" si="1332">INDEX(InternalRates,MATCH($S1200,InternalRates01,FALSE),2)</f>
        <v>278.98333333333335</v>
      </c>
      <c r="Z1200" s="3" t="str">
        <f t="shared" si="1315"/>
        <v>Nie</v>
      </c>
      <c r="AA1200" s="3" t="str">
        <f t="shared" si="1316"/>
        <v>SLA+ZoD</v>
      </c>
      <c r="AB1200" s="4">
        <v>845</v>
      </c>
      <c r="AC1200" s="4">
        <v>105.625</v>
      </c>
      <c r="AD1200" s="3" t="s">
        <v>49</v>
      </c>
      <c r="AE1200" s="6">
        <v>45537</v>
      </c>
      <c r="AF1200" s="3" t="s">
        <v>59</v>
      </c>
      <c r="AG1200" s="3" t="s">
        <v>49</v>
      </c>
      <c r="AH1200" s="3">
        <f>YEAR(SrcDB[[#This Row],[Datum_zverejnenia]])</f>
        <v>2022</v>
      </c>
      <c r="AI1200" s="3" cm="1">
        <f t="array" ref="AI1200">COUNT(_xlfn.UNIQUE(_xlfn._xlws.FILTER(SrcDB[ID],SrcDB[Objednavatel_ICO]=$H1200)))</f>
        <v>2</v>
      </c>
      <c r="AJ1200" s="3" cm="1">
        <f t="array" ref="AJ1200">COUNT(_xlfn.UNIQUE(_xlfn._xlws.FILTER(SrcDB[ID],SrcDB[Dodavatel_ICO]=$K1200)))</f>
        <v>10</v>
      </c>
      <c r="AK1200" s="3">
        <f t="shared" si="1285"/>
        <v>0</v>
      </c>
      <c r="AL1200" s="3">
        <f t="shared" si="1286"/>
        <v>0</v>
      </c>
      <c r="AM1200" s="17" t="str">
        <f>IF(SrcDB[[#This Row],[Pocet zmluv objednavatela]]&gt;3,SrcDB[[#This Row],[Objednavatel]],"Ostatné")</f>
        <v>Ostatné</v>
      </c>
      <c r="AN1200" s="17" t="str">
        <f>IF(SrcDB[[#This Row],[Pocet zmluv dodavatela]]&gt;3,SrcDB[[#This Row],[Dodavatel]],"Ostatné")</f>
        <v>DATALAN, a.s.</v>
      </c>
    </row>
    <row r="1201" spans="1:40" x14ac:dyDescent="0.3">
      <c r="A1201" s="2" t="s">
        <v>863</v>
      </c>
      <c r="B1201" s="2">
        <v>6648509</v>
      </c>
      <c r="C1201" s="3" t="str">
        <f t="shared" si="1279"/>
        <v>Nie</v>
      </c>
      <c r="D1201" s="3" t="str">
        <f t="shared" si="1280"/>
        <v>Áno</v>
      </c>
      <c r="E1201" s="3" t="s">
        <v>49</v>
      </c>
      <c r="F1201" s="3" t="s">
        <v>49</v>
      </c>
      <c r="G1201" s="2" t="str">
        <f t="shared" si="1281"/>
        <v>Stredné zmluvy</v>
      </c>
      <c r="H1201" s="5" t="s">
        <v>1455</v>
      </c>
      <c r="I1201" s="2" t="s">
        <v>1456</v>
      </c>
      <c r="J1201" s="2" t="s">
        <v>1457</v>
      </c>
      <c r="K1201" s="5">
        <v>35810734</v>
      </c>
      <c r="L1201" s="2" t="s">
        <v>257</v>
      </c>
      <c r="M1201" s="2" t="s">
        <v>701</v>
      </c>
      <c r="N1201" s="6">
        <v>44746</v>
      </c>
      <c r="O1201" s="4">
        <v>1755000</v>
      </c>
      <c r="P1201" s="2">
        <v>356965</v>
      </c>
      <c r="Q1201" s="2" t="s">
        <v>1462</v>
      </c>
      <c r="R1201" s="2" t="s">
        <v>1463</v>
      </c>
      <c r="S1201" s="2" t="s">
        <v>79</v>
      </c>
      <c r="T1201" s="2" t="s">
        <v>93</v>
      </c>
      <c r="W1201" s="4">
        <v>300</v>
      </c>
      <c r="X1201" s="4">
        <v>360</v>
      </c>
      <c r="Y1201" s="4">
        <f t="shared" ref="Y1201" si="1333">INDEX(InternalRates,MATCH($S1201,InternalRates01,FALSE),2)</f>
        <v>278.98333333333335</v>
      </c>
      <c r="Z1201" s="3" t="str">
        <f t="shared" si="1315"/>
        <v>Nie</v>
      </c>
      <c r="AA1201" s="3" t="str">
        <f t="shared" si="1316"/>
        <v>SLA+ZoD</v>
      </c>
      <c r="AB1201" s="4">
        <v>282</v>
      </c>
      <c r="AC1201" s="4">
        <v>35.25</v>
      </c>
      <c r="AD1201" s="3" t="s">
        <v>49</v>
      </c>
      <c r="AE1201" s="6">
        <v>45537</v>
      </c>
      <c r="AF1201" s="3" t="s">
        <v>59</v>
      </c>
      <c r="AG1201" s="3" t="s">
        <v>49</v>
      </c>
      <c r="AH1201" s="3">
        <f>YEAR(SrcDB[[#This Row],[Datum_zverejnenia]])</f>
        <v>2022</v>
      </c>
      <c r="AI1201" s="3" cm="1">
        <f t="array" ref="AI1201">COUNT(_xlfn.UNIQUE(_xlfn._xlws.FILTER(SrcDB[ID],SrcDB[Objednavatel_ICO]=$H1201)))</f>
        <v>2</v>
      </c>
      <c r="AJ1201" s="3" cm="1">
        <f t="array" ref="AJ1201">COUNT(_xlfn.UNIQUE(_xlfn._xlws.FILTER(SrcDB[ID],SrcDB[Dodavatel_ICO]=$K1201)))</f>
        <v>10</v>
      </c>
      <c r="AK1201" s="3">
        <f t="shared" si="1285"/>
        <v>0</v>
      </c>
      <c r="AL1201" s="3">
        <f t="shared" si="1286"/>
        <v>0</v>
      </c>
      <c r="AM1201" s="17" t="str">
        <f>IF(SrcDB[[#This Row],[Pocet zmluv objednavatela]]&gt;3,SrcDB[[#This Row],[Objednavatel]],"Ostatné")</f>
        <v>Ostatné</v>
      </c>
      <c r="AN1201" s="17" t="str">
        <f>IF(SrcDB[[#This Row],[Pocet zmluv dodavatela]]&gt;3,SrcDB[[#This Row],[Dodavatel]],"Ostatné")</f>
        <v>DATALAN, a.s.</v>
      </c>
    </row>
    <row r="1202" spans="1:40" x14ac:dyDescent="0.3">
      <c r="A1202" s="2" t="s">
        <v>863</v>
      </c>
      <c r="B1202" s="2">
        <v>6648509</v>
      </c>
      <c r="C1202" s="3" t="str">
        <f t="shared" si="1279"/>
        <v>Nie</v>
      </c>
      <c r="D1202" s="3" t="str">
        <f t="shared" si="1280"/>
        <v>Áno</v>
      </c>
      <c r="E1202" s="3" t="s">
        <v>49</v>
      </c>
      <c r="F1202" s="3" t="s">
        <v>49</v>
      </c>
      <c r="G1202" s="2" t="str">
        <f t="shared" si="1281"/>
        <v>Stredné zmluvy</v>
      </c>
      <c r="H1202" s="5" t="s">
        <v>1455</v>
      </c>
      <c r="I1202" s="2" t="s">
        <v>1456</v>
      </c>
      <c r="J1202" s="2" t="s">
        <v>1457</v>
      </c>
      <c r="K1202" s="5">
        <v>35810734</v>
      </c>
      <c r="L1202" s="2" t="s">
        <v>257</v>
      </c>
      <c r="M1202" s="2" t="s">
        <v>701</v>
      </c>
      <c r="N1202" s="6">
        <v>44746</v>
      </c>
      <c r="O1202" s="4">
        <v>1755000</v>
      </c>
      <c r="P1202" s="2">
        <v>356965</v>
      </c>
      <c r="Q1202" s="2" t="s">
        <v>1462</v>
      </c>
      <c r="R1202" s="2" t="s">
        <v>1463</v>
      </c>
      <c r="S1202" s="2" t="s">
        <v>56</v>
      </c>
      <c r="T1202" s="2" t="s">
        <v>286</v>
      </c>
      <c r="U1202" s="2" t="s">
        <v>129</v>
      </c>
      <c r="W1202" s="4">
        <v>300</v>
      </c>
      <c r="X1202" s="4">
        <v>360</v>
      </c>
      <c r="Y1202" s="4">
        <f t="shared" ref="Y1202" si="1334">INDEX(InternalRates,MATCH($S1202,InternalRates01,FALSE),2)</f>
        <v>278.98333333333335</v>
      </c>
      <c r="Z1202" s="3" t="str">
        <f t="shared" si="1315"/>
        <v>Nie</v>
      </c>
      <c r="AA1202" s="3" t="str">
        <f t="shared" si="1316"/>
        <v>SLA+ZoD</v>
      </c>
      <c r="AB1202" s="4">
        <v>253</v>
      </c>
      <c r="AC1202" s="4">
        <v>31.625</v>
      </c>
      <c r="AD1202" s="3" t="s">
        <v>49</v>
      </c>
      <c r="AE1202" s="6">
        <v>45537</v>
      </c>
      <c r="AF1202" s="3" t="s">
        <v>59</v>
      </c>
      <c r="AG1202" s="3" t="s">
        <v>49</v>
      </c>
      <c r="AH1202" s="3">
        <f>YEAR(SrcDB[[#This Row],[Datum_zverejnenia]])</f>
        <v>2022</v>
      </c>
      <c r="AI1202" s="3" cm="1">
        <f t="array" ref="AI1202">COUNT(_xlfn.UNIQUE(_xlfn._xlws.FILTER(SrcDB[ID],SrcDB[Objednavatel_ICO]=$H1202)))</f>
        <v>2</v>
      </c>
      <c r="AJ1202" s="3" cm="1">
        <f t="array" ref="AJ1202">COUNT(_xlfn.UNIQUE(_xlfn._xlws.FILTER(SrcDB[ID],SrcDB[Dodavatel_ICO]=$K1202)))</f>
        <v>10</v>
      </c>
      <c r="AK1202" s="3">
        <f t="shared" si="1285"/>
        <v>0</v>
      </c>
      <c r="AL1202" s="3">
        <f t="shared" si="1286"/>
        <v>0</v>
      </c>
      <c r="AM1202" s="17" t="str">
        <f>IF(SrcDB[[#This Row],[Pocet zmluv objednavatela]]&gt;3,SrcDB[[#This Row],[Objednavatel]],"Ostatné")</f>
        <v>Ostatné</v>
      </c>
      <c r="AN1202" s="17" t="str">
        <f>IF(SrcDB[[#This Row],[Pocet zmluv dodavatela]]&gt;3,SrcDB[[#This Row],[Dodavatel]],"Ostatné")</f>
        <v>DATALAN, a.s.</v>
      </c>
    </row>
    <row r="1203" spans="1:40" x14ac:dyDescent="0.3">
      <c r="A1203" s="2" t="s">
        <v>863</v>
      </c>
      <c r="B1203" s="2">
        <v>6648509</v>
      </c>
      <c r="C1203" s="3" t="str">
        <f t="shared" si="1279"/>
        <v>Nie</v>
      </c>
      <c r="D1203" s="3" t="str">
        <f t="shared" si="1280"/>
        <v>Áno</v>
      </c>
      <c r="E1203" s="3" t="s">
        <v>49</v>
      </c>
      <c r="F1203" s="3" t="s">
        <v>49</v>
      </c>
      <c r="G1203" s="2" t="str">
        <f t="shared" si="1281"/>
        <v>Stredné zmluvy</v>
      </c>
      <c r="H1203" s="5" t="s">
        <v>1455</v>
      </c>
      <c r="I1203" s="2" t="s">
        <v>1456</v>
      </c>
      <c r="J1203" s="2" t="s">
        <v>1457</v>
      </c>
      <c r="K1203" s="5">
        <v>35810734</v>
      </c>
      <c r="L1203" s="2" t="s">
        <v>257</v>
      </c>
      <c r="M1203" s="2" t="s">
        <v>701</v>
      </c>
      <c r="N1203" s="6">
        <v>44746</v>
      </c>
      <c r="O1203" s="4">
        <v>1755000</v>
      </c>
      <c r="P1203" s="2">
        <v>356965</v>
      </c>
      <c r="Q1203" s="2" t="s">
        <v>1462</v>
      </c>
      <c r="R1203" s="2" t="s">
        <v>1463</v>
      </c>
      <c r="S1203" s="2" t="s">
        <v>56</v>
      </c>
      <c r="T1203" s="2" t="s">
        <v>448</v>
      </c>
      <c r="U1203" s="2" t="s">
        <v>449</v>
      </c>
      <c r="W1203" s="4">
        <v>300</v>
      </c>
      <c r="X1203" s="4">
        <v>360</v>
      </c>
      <c r="Y1203" s="4">
        <f t="shared" ref="Y1203" si="1335">INDEX(InternalRates,MATCH($S1203,InternalRates01,FALSE),2)</f>
        <v>278.98333333333335</v>
      </c>
      <c r="Z1203" s="3" t="str">
        <f t="shared" si="1315"/>
        <v>Nie</v>
      </c>
      <c r="AA1203" s="3" t="str">
        <f t="shared" si="1316"/>
        <v>SLA+ZoD</v>
      </c>
      <c r="AB1203" s="4">
        <v>124</v>
      </c>
      <c r="AC1203" s="4">
        <v>15.5</v>
      </c>
      <c r="AD1203" s="3" t="s">
        <v>49</v>
      </c>
      <c r="AE1203" s="6">
        <v>45537</v>
      </c>
      <c r="AF1203" s="3" t="s">
        <v>59</v>
      </c>
      <c r="AG1203" s="3" t="s">
        <v>49</v>
      </c>
      <c r="AH1203" s="3">
        <f>YEAR(SrcDB[[#This Row],[Datum_zverejnenia]])</f>
        <v>2022</v>
      </c>
      <c r="AI1203" s="3" cm="1">
        <f t="array" ref="AI1203">COUNT(_xlfn.UNIQUE(_xlfn._xlws.FILTER(SrcDB[ID],SrcDB[Objednavatel_ICO]=$H1203)))</f>
        <v>2</v>
      </c>
      <c r="AJ1203" s="3" cm="1">
        <f t="array" ref="AJ1203">COUNT(_xlfn.UNIQUE(_xlfn._xlws.FILTER(SrcDB[ID],SrcDB[Dodavatel_ICO]=$K1203)))</f>
        <v>10</v>
      </c>
      <c r="AK1203" s="3">
        <f t="shared" si="1285"/>
        <v>0</v>
      </c>
      <c r="AL1203" s="3">
        <f t="shared" si="1286"/>
        <v>0</v>
      </c>
      <c r="AM1203" s="17" t="str">
        <f>IF(SrcDB[[#This Row],[Pocet zmluv objednavatela]]&gt;3,SrcDB[[#This Row],[Objednavatel]],"Ostatné")</f>
        <v>Ostatné</v>
      </c>
      <c r="AN1203" s="17" t="str">
        <f>IF(SrcDB[[#This Row],[Pocet zmluv dodavatela]]&gt;3,SrcDB[[#This Row],[Dodavatel]],"Ostatné")</f>
        <v>DATALAN, a.s.</v>
      </c>
    </row>
    <row r="1204" spans="1:40" x14ac:dyDescent="0.3">
      <c r="A1204" s="2" t="s">
        <v>863</v>
      </c>
      <c r="B1204" s="2">
        <v>6648509</v>
      </c>
      <c r="C1204" s="3" t="str">
        <f t="shared" si="1279"/>
        <v>Nie</v>
      </c>
      <c r="D1204" s="3" t="str">
        <f t="shared" si="1280"/>
        <v>Áno</v>
      </c>
      <c r="E1204" s="3" t="s">
        <v>49</v>
      </c>
      <c r="F1204" s="3" t="s">
        <v>49</v>
      </c>
      <c r="G1204" s="2" t="str">
        <f t="shared" si="1281"/>
        <v>Stredné zmluvy</v>
      </c>
      <c r="H1204" s="5" t="s">
        <v>1455</v>
      </c>
      <c r="I1204" s="2" t="s">
        <v>1456</v>
      </c>
      <c r="J1204" s="2" t="s">
        <v>1457</v>
      </c>
      <c r="K1204" s="5">
        <v>35810734</v>
      </c>
      <c r="L1204" s="2" t="s">
        <v>257</v>
      </c>
      <c r="M1204" s="2" t="s">
        <v>701</v>
      </c>
      <c r="N1204" s="6">
        <v>44746</v>
      </c>
      <c r="O1204" s="4">
        <v>1755000</v>
      </c>
      <c r="P1204" s="2">
        <v>356965</v>
      </c>
      <c r="Q1204" s="2" t="s">
        <v>1462</v>
      </c>
      <c r="R1204" s="2" t="s">
        <v>1463</v>
      </c>
      <c r="S1204" s="2" t="s">
        <v>69</v>
      </c>
      <c r="T1204" s="2" t="s">
        <v>285</v>
      </c>
      <c r="W1204" s="4">
        <v>300</v>
      </c>
      <c r="X1204" s="4">
        <v>360</v>
      </c>
      <c r="Y1204" s="4">
        <f t="shared" ref="Y1204" si="1336">INDEX(InternalRates,MATCH($S1204,InternalRates01,FALSE),2)</f>
        <v>278.98333333333335</v>
      </c>
      <c r="Z1204" s="3" t="str">
        <f t="shared" si="1315"/>
        <v>Nie</v>
      </c>
      <c r="AA1204" s="3" t="str">
        <f t="shared" si="1316"/>
        <v>SLA+ZoD</v>
      </c>
      <c r="AB1204" s="4">
        <v>99</v>
      </c>
      <c r="AC1204" s="4">
        <v>12.375</v>
      </c>
      <c r="AD1204" s="3" t="s">
        <v>49</v>
      </c>
      <c r="AE1204" s="6">
        <v>45537</v>
      </c>
      <c r="AF1204" s="3" t="s">
        <v>59</v>
      </c>
      <c r="AG1204" s="3" t="s">
        <v>49</v>
      </c>
      <c r="AH1204" s="3">
        <f>YEAR(SrcDB[[#This Row],[Datum_zverejnenia]])</f>
        <v>2022</v>
      </c>
      <c r="AI1204" s="3" cm="1">
        <f t="array" ref="AI1204">COUNT(_xlfn.UNIQUE(_xlfn._xlws.FILTER(SrcDB[ID],SrcDB[Objednavatel_ICO]=$H1204)))</f>
        <v>2</v>
      </c>
      <c r="AJ1204" s="3" cm="1">
        <f t="array" ref="AJ1204">COUNT(_xlfn.UNIQUE(_xlfn._xlws.FILTER(SrcDB[ID],SrcDB[Dodavatel_ICO]=$K1204)))</f>
        <v>10</v>
      </c>
      <c r="AK1204" s="3">
        <f t="shared" si="1285"/>
        <v>0</v>
      </c>
      <c r="AL1204" s="3">
        <f t="shared" si="1286"/>
        <v>0</v>
      </c>
      <c r="AM1204" s="17" t="str">
        <f>IF(SrcDB[[#This Row],[Pocet zmluv objednavatela]]&gt;3,SrcDB[[#This Row],[Objednavatel]],"Ostatné")</f>
        <v>Ostatné</v>
      </c>
      <c r="AN1204" s="17" t="str">
        <f>IF(SrcDB[[#This Row],[Pocet zmluv dodavatela]]&gt;3,SrcDB[[#This Row],[Dodavatel]],"Ostatné")</f>
        <v>DATALAN, a.s.</v>
      </c>
    </row>
    <row r="1205" spans="1:40" x14ac:dyDescent="0.3">
      <c r="A1205" s="2" t="s">
        <v>863</v>
      </c>
      <c r="B1205" s="2">
        <v>6648509</v>
      </c>
      <c r="C1205" s="3" t="str">
        <f t="shared" si="1279"/>
        <v>Nie</v>
      </c>
      <c r="D1205" s="3" t="str">
        <f t="shared" si="1280"/>
        <v>Áno</v>
      </c>
      <c r="E1205" s="3" t="s">
        <v>49</v>
      </c>
      <c r="F1205" s="3" t="s">
        <v>49</v>
      </c>
      <c r="G1205" s="2" t="str">
        <f t="shared" si="1281"/>
        <v>Stredné zmluvy</v>
      </c>
      <c r="H1205" s="5" t="s">
        <v>1455</v>
      </c>
      <c r="I1205" s="2" t="s">
        <v>1456</v>
      </c>
      <c r="J1205" s="2" t="s">
        <v>1457</v>
      </c>
      <c r="K1205" s="5">
        <v>35810734</v>
      </c>
      <c r="L1205" s="2" t="s">
        <v>257</v>
      </c>
      <c r="M1205" s="2" t="s">
        <v>701</v>
      </c>
      <c r="N1205" s="6">
        <v>44746</v>
      </c>
      <c r="O1205" s="4">
        <v>1755000</v>
      </c>
      <c r="P1205" s="2">
        <v>356965</v>
      </c>
      <c r="Q1205" s="2" t="s">
        <v>1462</v>
      </c>
      <c r="R1205" s="2" t="s">
        <v>1463</v>
      </c>
      <c r="S1205" s="2" t="s">
        <v>56</v>
      </c>
      <c r="T1205" s="2" t="s">
        <v>1460</v>
      </c>
      <c r="U1205" s="2" t="s">
        <v>95</v>
      </c>
      <c r="W1205" s="4">
        <v>300</v>
      </c>
      <c r="X1205" s="4">
        <v>360</v>
      </c>
      <c r="Y1205" s="4">
        <f t="shared" ref="Y1205" si="1337">INDEX(InternalRates,MATCH($S1205,InternalRates01,FALSE),2)</f>
        <v>278.98333333333335</v>
      </c>
      <c r="Z1205" s="3" t="str">
        <f t="shared" si="1315"/>
        <v>Nie</v>
      </c>
      <c r="AA1205" s="3" t="str">
        <f t="shared" si="1316"/>
        <v>SLA+ZoD</v>
      </c>
      <c r="AB1205" s="4">
        <v>191</v>
      </c>
      <c r="AC1205" s="4">
        <v>23.875</v>
      </c>
      <c r="AD1205" s="3" t="s">
        <v>49</v>
      </c>
      <c r="AE1205" s="6">
        <v>45537</v>
      </c>
      <c r="AF1205" s="3" t="s">
        <v>59</v>
      </c>
      <c r="AG1205" s="3" t="s">
        <v>49</v>
      </c>
      <c r="AH1205" s="3">
        <f>YEAR(SrcDB[[#This Row],[Datum_zverejnenia]])</f>
        <v>2022</v>
      </c>
      <c r="AI1205" s="3" cm="1">
        <f t="array" ref="AI1205">COUNT(_xlfn.UNIQUE(_xlfn._xlws.FILTER(SrcDB[ID],SrcDB[Objednavatel_ICO]=$H1205)))</f>
        <v>2</v>
      </c>
      <c r="AJ1205" s="3" cm="1">
        <f t="array" ref="AJ1205">COUNT(_xlfn.UNIQUE(_xlfn._xlws.FILTER(SrcDB[ID],SrcDB[Dodavatel_ICO]=$K1205)))</f>
        <v>10</v>
      </c>
      <c r="AK1205" s="3">
        <f t="shared" si="1285"/>
        <v>0</v>
      </c>
      <c r="AL1205" s="3">
        <f t="shared" si="1286"/>
        <v>0</v>
      </c>
      <c r="AM1205" s="17" t="str">
        <f>IF(SrcDB[[#This Row],[Pocet zmluv objednavatela]]&gt;3,SrcDB[[#This Row],[Objednavatel]],"Ostatné")</f>
        <v>Ostatné</v>
      </c>
      <c r="AN1205" s="17" t="str">
        <f>IF(SrcDB[[#This Row],[Pocet zmluv dodavatela]]&gt;3,SrcDB[[#This Row],[Dodavatel]],"Ostatné")</f>
        <v>DATALAN, a.s.</v>
      </c>
    </row>
    <row r="1206" spans="1:40" x14ac:dyDescent="0.3">
      <c r="A1206" s="2" t="s">
        <v>863</v>
      </c>
      <c r="B1206" s="2">
        <v>6648509</v>
      </c>
      <c r="C1206" s="3" t="str">
        <f t="shared" si="1279"/>
        <v>Nie</v>
      </c>
      <c r="D1206" s="3" t="str">
        <f t="shared" si="1280"/>
        <v>Áno</v>
      </c>
      <c r="E1206" s="3" t="s">
        <v>49</v>
      </c>
      <c r="F1206" s="3" t="s">
        <v>49</v>
      </c>
      <c r="G1206" s="2" t="str">
        <f t="shared" si="1281"/>
        <v>Stredné zmluvy</v>
      </c>
      <c r="H1206" s="5" t="s">
        <v>1455</v>
      </c>
      <c r="I1206" s="2" t="s">
        <v>1456</v>
      </c>
      <c r="J1206" s="2" t="s">
        <v>1457</v>
      </c>
      <c r="K1206" s="5">
        <v>35810734</v>
      </c>
      <c r="L1206" s="2" t="s">
        <v>257</v>
      </c>
      <c r="M1206" s="2" t="s">
        <v>701</v>
      </c>
      <c r="N1206" s="6">
        <v>44746</v>
      </c>
      <c r="O1206" s="4">
        <v>1755000</v>
      </c>
      <c r="P1206" s="2">
        <v>356965</v>
      </c>
      <c r="Q1206" s="2" t="s">
        <v>1462</v>
      </c>
      <c r="R1206" s="2" t="s">
        <v>1463</v>
      </c>
      <c r="S1206" s="2" t="s">
        <v>56</v>
      </c>
      <c r="T1206" s="2" t="s">
        <v>288</v>
      </c>
      <c r="U1206" s="2" t="s">
        <v>289</v>
      </c>
      <c r="W1206" s="4">
        <v>300</v>
      </c>
      <c r="X1206" s="4">
        <v>360</v>
      </c>
      <c r="Y1206" s="4">
        <f t="shared" ref="Y1206" si="1338">INDEX(InternalRates,MATCH($S1206,InternalRates01,FALSE),2)</f>
        <v>278.98333333333335</v>
      </c>
      <c r="Z1206" s="3" t="str">
        <f t="shared" si="1315"/>
        <v>Nie</v>
      </c>
      <c r="AA1206" s="3" t="str">
        <f t="shared" si="1316"/>
        <v>SLA+ZoD</v>
      </c>
      <c r="AB1206" s="4">
        <v>149</v>
      </c>
      <c r="AC1206" s="4">
        <v>18.625</v>
      </c>
      <c r="AD1206" s="3" t="s">
        <v>49</v>
      </c>
      <c r="AE1206" s="6">
        <v>45537</v>
      </c>
      <c r="AF1206" s="3" t="s">
        <v>59</v>
      </c>
      <c r="AG1206" s="3" t="s">
        <v>49</v>
      </c>
      <c r="AH1206" s="3">
        <f>YEAR(SrcDB[[#This Row],[Datum_zverejnenia]])</f>
        <v>2022</v>
      </c>
      <c r="AI1206" s="3" cm="1">
        <f t="array" ref="AI1206">COUNT(_xlfn.UNIQUE(_xlfn._xlws.FILTER(SrcDB[ID],SrcDB[Objednavatel_ICO]=$H1206)))</f>
        <v>2</v>
      </c>
      <c r="AJ1206" s="3" cm="1">
        <f t="array" ref="AJ1206">COUNT(_xlfn.UNIQUE(_xlfn._xlws.FILTER(SrcDB[ID],SrcDB[Dodavatel_ICO]=$K1206)))</f>
        <v>10</v>
      </c>
      <c r="AK1206" s="3">
        <f t="shared" si="1285"/>
        <v>0</v>
      </c>
      <c r="AL1206" s="3">
        <f t="shared" si="1286"/>
        <v>0</v>
      </c>
      <c r="AM1206" s="17" t="str">
        <f>IF(SrcDB[[#This Row],[Pocet zmluv objednavatela]]&gt;3,SrcDB[[#This Row],[Objednavatel]],"Ostatné")</f>
        <v>Ostatné</v>
      </c>
      <c r="AN1206" s="17" t="str">
        <f>IF(SrcDB[[#This Row],[Pocet zmluv dodavatela]]&gt;3,SrcDB[[#This Row],[Dodavatel]],"Ostatné")</f>
        <v>DATALAN, a.s.</v>
      </c>
    </row>
    <row r="1207" spans="1:40" x14ac:dyDescent="0.3">
      <c r="A1207" s="2" t="s">
        <v>1464</v>
      </c>
      <c r="B1207" s="2">
        <v>9567828</v>
      </c>
      <c r="C1207" s="3" t="str">
        <f t="shared" si="1279"/>
        <v>Nejasné</v>
      </c>
      <c r="D1207" s="3" t="str">
        <f t="shared" si="1280"/>
        <v>Nejasné</v>
      </c>
      <c r="E1207" s="3" t="s">
        <v>48</v>
      </c>
      <c r="F1207" s="3" t="s">
        <v>49</v>
      </c>
      <c r="G1207" s="2" t="str">
        <f t="shared" si="1281"/>
        <v>Malé zmluvy</v>
      </c>
      <c r="H1207" s="5" t="s">
        <v>1465</v>
      </c>
      <c r="I1207" s="2" t="s">
        <v>1466</v>
      </c>
      <c r="J1207" s="2" t="s">
        <v>1467</v>
      </c>
      <c r="K1207" s="5" t="s">
        <v>1468</v>
      </c>
      <c r="L1207" s="2" t="s">
        <v>1469</v>
      </c>
      <c r="M1207" s="2" t="s">
        <v>1470</v>
      </c>
      <c r="N1207" s="6">
        <v>45504</v>
      </c>
      <c r="O1207" s="4">
        <v>360000</v>
      </c>
      <c r="P1207" s="2">
        <v>114535</v>
      </c>
      <c r="Q1207" s="2" t="s">
        <v>1471</v>
      </c>
      <c r="R1207" s="2" t="s">
        <v>1472</v>
      </c>
      <c r="S1207" s="2" t="s">
        <v>160</v>
      </c>
      <c r="W1207" s="4">
        <v>597.33000000000004</v>
      </c>
      <c r="X1207" s="4">
        <f>SrcDB[[#This Row],[Cena bez DPH]]*1.2</f>
        <v>716.79600000000005</v>
      </c>
      <c r="Y1207" s="4">
        <f t="shared" ref="Y1207" si="1339">INDEX(InternalRates,MATCH($S1207,InternalRates01,FALSE),2)</f>
        <v>231.85833333333335</v>
      </c>
      <c r="Z1207" s="3" t="str">
        <f>IF(W1207&gt;0,IF(Y1207&gt;W1207,"Áno","Nie"),"Nie")</f>
        <v>Nie</v>
      </c>
      <c r="AA1207" s="3" t="str">
        <f>IF(E1207="Nie","SLA",IF(F1207="Nie","ZoD","SLA+ZoD"))</f>
        <v>SLA</v>
      </c>
      <c r="AD1207" s="3" t="s">
        <v>48</v>
      </c>
      <c r="AE1207" s="6">
        <v>45678</v>
      </c>
      <c r="AF1207" s="3" t="s">
        <v>59</v>
      </c>
      <c r="AG1207" s="3" t="s">
        <v>48</v>
      </c>
      <c r="AH1207" s="3">
        <f>YEAR(SrcDB[[#This Row],[Datum_zverejnenia]])</f>
        <v>2024</v>
      </c>
      <c r="AI1207" s="3" cm="1">
        <f t="array" ref="AI1207">COUNT(_xlfn.UNIQUE(_xlfn._xlws.FILTER(SrcDB[ID],SrcDB[Objednavatel_ICO]=$H1207)))</f>
        <v>2</v>
      </c>
      <c r="AJ1207" s="3" cm="1">
        <f t="array" ref="AJ1207">COUNT(_xlfn.UNIQUE(_xlfn._xlws.FILTER(SrcDB[ID],SrcDB[Dodavatel_ICO]=$K1207)))</f>
        <v>1</v>
      </c>
      <c r="AK1207" s="3">
        <f t="shared" si="1285"/>
        <v>1</v>
      </c>
      <c r="AL1207" s="3">
        <f t="shared" si="1286"/>
        <v>1</v>
      </c>
      <c r="AM1207" s="17" t="str">
        <f>IF(SrcDB[[#This Row],[Pocet zmluv objednavatela]]&gt;3,SrcDB[[#This Row],[Objednavatel]],"Ostatné")</f>
        <v>Ostatné</v>
      </c>
      <c r="AN1207" s="17" t="str">
        <f>IF(SrcDB[[#This Row],[Pocet zmluv dodavatela]]&gt;3,SrcDB[[#This Row],[Dodavatel]],"Ostatné")</f>
        <v>Ostatné</v>
      </c>
    </row>
    <row r="1208" spans="1:40" x14ac:dyDescent="0.3">
      <c r="A1208" s="2" t="s">
        <v>1473</v>
      </c>
      <c r="B1208" s="2">
        <v>10130229</v>
      </c>
      <c r="C1208" s="3" t="str">
        <f t="shared" si="1279"/>
        <v>Nejasné</v>
      </c>
      <c r="D1208" s="3" t="str">
        <f t="shared" si="1280"/>
        <v>Nejasné</v>
      </c>
      <c r="E1208" s="3" t="s">
        <v>48</v>
      </c>
      <c r="F1208" s="3" t="s">
        <v>49</v>
      </c>
      <c r="G1208" s="2" t="str">
        <f t="shared" si="1281"/>
        <v>Malé zmluvy</v>
      </c>
      <c r="H1208" s="5">
        <v>36856096</v>
      </c>
      <c r="I1208" s="2" t="s">
        <v>1048</v>
      </c>
      <c r="J1208" s="2" t="s">
        <v>1049</v>
      </c>
      <c r="K1208" s="5">
        <v>31387811</v>
      </c>
      <c r="L1208" s="2" t="s">
        <v>1050</v>
      </c>
      <c r="M1208" s="2" t="s">
        <v>1051</v>
      </c>
      <c r="N1208" s="6">
        <v>45631</v>
      </c>
      <c r="O1208" s="4">
        <v>256500</v>
      </c>
      <c r="P1208" s="2">
        <v>114727</v>
      </c>
      <c r="Q1208" s="2" t="s">
        <v>1474</v>
      </c>
      <c r="R1208" s="2" t="s">
        <v>1475</v>
      </c>
      <c r="S1208" s="2" t="s">
        <v>77</v>
      </c>
      <c r="T1208" s="2" t="s">
        <v>471</v>
      </c>
      <c r="W1208" s="4">
        <v>600</v>
      </c>
      <c r="X1208" s="4">
        <f>SrcDB[[#This Row],[Cena bez DPH]]*1.2</f>
        <v>720</v>
      </c>
      <c r="Y1208" s="4">
        <f t="shared" ref="Y1208" si="1340">INDEX(InternalRates,MATCH($S1208,InternalRates01,FALSE),2)</f>
        <v>278.98333333333335</v>
      </c>
      <c r="Z1208" s="3" t="str">
        <f>IF(W1208&gt;0,IF(Y1208&gt;W1208,"Áno","Nie"),"Nie")</f>
        <v>Nie</v>
      </c>
      <c r="AA1208" s="3" t="str">
        <f>IF(E1208="Nie","SLA",IF(F1208="Nie","ZoD","SLA+ZoD"))</f>
        <v>SLA</v>
      </c>
      <c r="AB1208" s="4">
        <v>2550</v>
      </c>
      <c r="AC1208" s="4">
        <v>2040</v>
      </c>
      <c r="AD1208" s="3" t="s">
        <v>48</v>
      </c>
      <c r="AE1208" s="6">
        <v>45678</v>
      </c>
      <c r="AF1208" s="3" t="s">
        <v>59</v>
      </c>
      <c r="AG1208" s="3" t="s">
        <v>48</v>
      </c>
      <c r="AH1208" s="3">
        <f>YEAR(SrcDB[[#This Row],[Datum_zverejnenia]])</f>
        <v>2024</v>
      </c>
      <c r="AI1208" s="3" cm="1">
        <f t="array" ref="AI1208">COUNT(_xlfn.UNIQUE(_xlfn._xlws.FILTER(SrcDB[ID],SrcDB[Objednavatel_ICO]=$H1208)))</f>
        <v>2</v>
      </c>
      <c r="AJ1208" s="3" cm="1">
        <f t="array" ref="AJ1208">COUNT(_xlfn.UNIQUE(_xlfn._xlws.FILTER(SrcDB[ID],SrcDB[Dodavatel_ICO]=$K1208)))</f>
        <v>3</v>
      </c>
      <c r="AK1208" s="3">
        <f t="shared" si="1285"/>
        <v>1</v>
      </c>
      <c r="AL1208" s="3">
        <f t="shared" si="1286"/>
        <v>1</v>
      </c>
      <c r="AM1208" s="17" t="str">
        <f>IF(SrcDB[[#This Row],[Pocet zmluv objednavatela]]&gt;3,SrcDB[[#This Row],[Objednavatel]],"Ostatné")</f>
        <v>Ostatné</v>
      </c>
      <c r="AN1208" s="17" t="str">
        <f>IF(SrcDB[[#This Row],[Pocet zmluv dodavatela]]&gt;3,SrcDB[[#This Row],[Dodavatel]],"Ostatné")</f>
        <v>Ostatné</v>
      </c>
    </row>
    <row r="1209" spans="1:40" x14ac:dyDescent="0.3">
      <c r="A1209" s="2" t="s">
        <v>1473</v>
      </c>
      <c r="B1209" s="2">
        <v>10130229</v>
      </c>
      <c r="C1209" s="3" t="str">
        <f t="shared" si="1279"/>
        <v>Nejasné</v>
      </c>
      <c r="D1209" s="3" t="str">
        <f t="shared" si="1280"/>
        <v>Nejasné</v>
      </c>
      <c r="E1209" s="3" t="s">
        <v>48</v>
      </c>
      <c r="F1209" s="3" t="s">
        <v>49</v>
      </c>
      <c r="G1209" s="2" t="str">
        <f t="shared" si="1281"/>
        <v>Malé zmluvy</v>
      </c>
      <c r="H1209" s="5">
        <v>36856096</v>
      </c>
      <c r="I1209" s="2" t="s">
        <v>1048</v>
      </c>
      <c r="J1209" s="2" t="s">
        <v>1049</v>
      </c>
      <c r="K1209" s="5">
        <v>31387811</v>
      </c>
      <c r="L1209" s="2" t="s">
        <v>1050</v>
      </c>
      <c r="M1209" s="2" t="s">
        <v>1051</v>
      </c>
      <c r="N1209" s="6">
        <v>45631</v>
      </c>
      <c r="O1209" s="4">
        <v>256500</v>
      </c>
      <c r="P1209" s="2">
        <v>114727</v>
      </c>
      <c r="Q1209" s="2" t="s">
        <v>1474</v>
      </c>
      <c r="R1209" s="2" t="s">
        <v>1475</v>
      </c>
      <c r="S1209" s="2" t="s">
        <v>56</v>
      </c>
      <c r="T1209" s="2" t="s">
        <v>1476</v>
      </c>
      <c r="U1209" s="2" t="s">
        <v>129</v>
      </c>
      <c r="W1209" s="4">
        <v>600</v>
      </c>
      <c r="X1209" s="4">
        <f>SrcDB[[#This Row],[Cena bez DPH]]*1.2</f>
        <v>720</v>
      </c>
      <c r="Y1209" s="4">
        <f t="shared" ref="Y1209" si="1341">INDEX(InternalRates,MATCH($S1209,InternalRates01,FALSE),2)</f>
        <v>278.98333333333335</v>
      </c>
      <c r="Z1209" s="3" t="str">
        <f>IF(W1209&gt;0,IF(Y1209&gt;W1209,"Áno","Nie"),"Nie")</f>
        <v>Nie</v>
      </c>
      <c r="AA1209" s="3" t="str">
        <f>IF(E1209="Nie","SLA",IF(F1209="Nie","ZoD","SLA+ZoD"))</f>
        <v>SLA</v>
      </c>
      <c r="AB1209" s="4">
        <v>300</v>
      </c>
      <c r="AC1209" s="4">
        <v>240</v>
      </c>
      <c r="AD1209" s="3" t="s">
        <v>48</v>
      </c>
      <c r="AE1209" s="6">
        <v>45678</v>
      </c>
      <c r="AF1209" s="3" t="s">
        <v>59</v>
      </c>
      <c r="AG1209" s="3" t="s">
        <v>48</v>
      </c>
      <c r="AH1209" s="3">
        <f>YEAR(SrcDB[[#This Row],[Datum_zverejnenia]])</f>
        <v>2024</v>
      </c>
      <c r="AI1209" s="3" cm="1">
        <f t="array" ref="AI1209">COUNT(_xlfn.UNIQUE(_xlfn._xlws.FILTER(SrcDB[ID],SrcDB[Objednavatel_ICO]=$H1209)))</f>
        <v>2</v>
      </c>
      <c r="AJ1209" s="3" cm="1">
        <f t="array" ref="AJ1209">COUNT(_xlfn.UNIQUE(_xlfn._xlws.FILTER(SrcDB[ID],SrcDB[Dodavatel_ICO]=$K1209)))</f>
        <v>3</v>
      </c>
      <c r="AK1209" s="3">
        <f t="shared" si="1285"/>
        <v>0</v>
      </c>
      <c r="AL1209" s="3">
        <f t="shared" si="1286"/>
        <v>0</v>
      </c>
      <c r="AM1209" s="17" t="str">
        <f>IF(SrcDB[[#This Row],[Pocet zmluv objednavatela]]&gt;3,SrcDB[[#This Row],[Objednavatel]],"Ostatné")</f>
        <v>Ostatné</v>
      </c>
      <c r="AN1209" s="17" t="str">
        <f>IF(SrcDB[[#This Row],[Pocet zmluv dodavatela]]&gt;3,SrcDB[[#This Row],[Dodavatel]],"Ostatné")</f>
        <v>Ostatné</v>
      </c>
    </row>
    <row r="1210" spans="1:40" x14ac:dyDescent="0.3">
      <c r="A1210" s="2" t="s">
        <v>1477</v>
      </c>
      <c r="B1210" s="2">
        <v>9007319</v>
      </c>
      <c r="C1210" s="3" t="str">
        <f t="shared" si="1279"/>
        <v>Nie</v>
      </c>
      <c r="D1210" s="3" t="str">
        <f t="shared" si="1280"/>
        <v>Áno</v>
      </c>
      <c r="E1210" s="3" t="s">
        <v>48</v>
      </c>
      <c r="F1210" s="3" t="s">
        <v>49</v>
      </c>
      <c r="G1210" s="2" t="str">
        <f t="shared" si="1281"/>
        <v>Stredné zmluvy</v>
      </c>
      <c r="H1210" s="5">
        <v>36065340</v>
      </c>
      <c r="I1210" s="2" t="s">
        <v>1289</v>
      </c>
      <c r="J1210" s="2" t="s">
        <v>1290</v>
      </c>
      <c r="K1210" s="5" t="s">
        <v>1478</v>
      </c>
      <c r="L1210" s="2" t="s">
        <v>1479</v>
      </c>
      <c r="M1210" s="2" t="s">
        <v>708</v>
      </c>
      <c r="N1210" s="6">
        <v>45356</v>
      </c>
      <c r="O1210" s="4">
        <v>4082597.65</v>
      </c>
      <c r="P1210" s="2">
        <v>114725</v>
      </c>
      <c r="Q1210" s="2" t="s">
        <v>1480</v>
      </c>
      <c r="R1210" s="2" t="s">
        <v>1481</v>
      </c>
      <c r="S1210" s="2" t="s">
        <v>69</v>
      </c>
      <c r="T1210" s="2" t="s">
        <v>285</v>
      </c>
      <c r="W1210" s="4">
        <v>690</v>
      </c>
      <c r="X1210" s="4">
        <f>SrcDB[[#This Row],[Cena bez DPH]]*1.2</f>
        <v>828</v>
      </c>
      <c r="Y1210" s="4">
        <f t="shared" ref="Y1210" si="1342">INDEX(InternalRates,MATCH($S1210,InternalRates01,FALSE),2)</f>
        <v>278.98333333333335</v>
      </c>
      <c r="Z1210" s="3" t="str">
        <f>IF(W1210&gt;0,IF(Y1210&gt;W1210,"Áno","Nie"),"Nie")</f>
        <v>Nie</v>
      </c>
      <c r="AA1210" s="3" t="str">
        <f>IF(E1210="Nie","SLA",IF(F1210="Nie","ZoD","SLA+ZoD"))</f>
        <v>SLA</v>
      </c>
      <c r="AD1210" s="3" t="s">
        <v>48</v>
      </c>
      <c r="AE1210" s="6">
        <v>45679</v>
      </c>
      <c r="AF1210" s="3" t="s">
        <v>59</v>
      </c>
      <c r="AG1210" s="3" t="s">
        <v>49</v>
      </c>
      <c r="AH1210" s="3">
        <f>YEAR(SrcDB[[#This Row],[Datum_zverejnenia]])</f>
        <v>2024</v>
      </c>
      <c r="AI1210" s="3" cm="1">
        <f t="array" ref="AI1210">COUNT(_xlfn.UNIQUE(_xlfn._xlws.FILTER(SrcDB[ID],SrcDB[Objednavatel_ICO]=$H1210)))</f>
        <v>2</v>
      </c>
      <c r="AJ1210" s="3" cm="1">
        <f t="array" ref="AJ1210">COUNT(_xlfn.UNIQUE(_xlfn._xlws.FILTER(SrcDB[ID],SrcDB[Dodavatel_ICO]=$K1210)))</f>
        <v>1</v>
      </c>
      <c r="AK1210" s="3">
        <f t="shared" si="1285"/>
        <v>1</v>
      </c>
      <c r="AL1210" s="3">
        <f t="shared" si="1286"/>
        <v>1</v>
      </c>
      <c r="AM1210" s="17" t="str">
        <f>IF(SrcDB[[#This Row],[Pocet zmluv objednavatela]]&gt;3,SrcDB[[#This Row],[Objednavatel]],"Ostatné")</f>
        <v>Ostatné</v>
      </c>
      <c r="AN1210" s="17" t="str">
        <f>IF(SrcDB[[#This Row],[Pocet zmluv dodavatela]]&gt;3,SrcDB[[#This Row],[Dodavatel]],"Ostatné")</f>
        <v>Ostatné</v>
      </c>
    </row>
    <row r="1211" spans="1:40" x14ac:dyDescent="0.3">
      <c r="A1211" s="2" t="s">
        <v>1477</v>
      </c>
      <c r="B1211" s="2">
        <v>9007319</v>
      </c>
      <c r="C1211" s="3" t="str">
        <f t="shared" si="1279"/>
        <v>Nie</v>
      </c>
      <c r="D1211" s="3" t="str">
        <f t="shared" si="1280"/>
        <v>Áno</v>
      </c>
      <c r="E1211" s="3" t="s">
        <v>48</v>
      </c>
      <c r="F1211" s="3" t="s">
        <v>49</v>
      </c>
      <c r="G1211" s="2" t="str">
        <f t="shared" si="1281"/>
        <v>Stredné zmluvy</v>
      </c>
      <c r="H1211" s="5">
        <v>36065340</v>
      </c>
      <c r="I1211" s="2" t="s">
        <v>1289</v>
      </c>
      <c r="J1211" s="2" t="s">
        <v>1290</v>
      </c>
      <c r="K1211" s="5" t="s">
        <v>1478</v>
      </c>
      <c r="L1211" s="2" t="s">
        <v>1479</v>
      </c>
      <c r="M1211" s="2" t="s">
        <v>708</v>
      </c>
      <c r="N1211" s="6">
        <v>45356</v>
      </c>
      <c r="O1211" s="4">
        <v>4082597.65</v>
      </c>
      <c r="P1211" s="2">
        <v>114725</v>
      </c>
      <c r="Q1211" s="2" t="s">
        <v>1480</v>
      </c>
      <c r="R1211" s="2" t="s">
        <v>1481</v>
      </c>
      <c r="S1211" s="2" t="s">
        <v>56</v>
      </c>
      <c r="T1211" s="2" t="s">
        <v>1119</v>
      </c>
      <c r="U1211" s="2" t="s">
        <v>95</v>
      </c>
      <c r="W1211" s="4">
        <v>690</v>
      </c>
      <c r="X1211" s="4">
        <f>SrcDB[[#This Row],[Cena bez DPH]]*1.2</f>
        <v>828</v>
      </c>
      <c r="Y1211" s="4">
        <f t="shared" ref="Y1211" si="1343">INDEX(InternalRates,MATCH($S1211,InternalRates01,FALSE),2)</f>
        <v>278.98333333333335</v>
      </c>
      <c r="Z1211" s="3" t="str">
        <f t="shared" ref="Z1211:Z1219" si="1344">IF(W1211&gt;0,IF(Y1211&gt;W1211,"Áno","Nie"),"Nie")</f>
        <v>Nie</v>
      </c>
      <c r="AA1211" s="3" t="str">
        <f t="shared" ref="AA1211:AA1219" si="1345">IF(E1211="Nie","SLA",IF(F1211="Nie","ZoD","SLA+ZoD"))</f>
        <v>SLA</v>
      </c>
      <c r="AD1211" s="3" t="s">
        <v>48</v>
      </c>
      <c r="AE1211" s="6">
        <v>45679</v>
      </c>
      <c r="AF1211" s="3" t="s">
        <v>59</v>
      </c>
      <c r="AG1211" s="3" t="s">
        <v>49</v>
      </c>
      <c r="AH1211" s="3">
        <f>YEAR(SrcDB[[#This Row],[Datum_zverejnenia]])</f>
        <v>2024</v>
      </c>
      <c r="AI1211" s="3" cm="1">
        <f t="array" ref="AI1211">COUNT(_xlfn.UNIQUE(_xlfn._xlws.FILTER(SrcDB[ID],SrcDB[Objednavatel_ICO]=$H1211)))</f>
        <v>2</v>
      </c>
      <c r="AJ1211" s="3" cm="1">
        <f t="array" ref="AJ1211">COUNT(_xlfn.UNIQUE(_xlfn._xlws.FILTER(SrcDB[ID],SrcDB[Dodavatel_ICO]=$K1211)))</f>
        <v>1</v>
      </c>
      <c r="AK1211" s="3">
        <f t="shared" si="1285"/>
        <v>0</v>
      </c>
      <c r="AL1211" s="3">
        <f t="shared" si="1286"/>
        <v>0</v>
      </c>
      <c r="AM1211" s="17" t="str">
        <f>IF(SrcDB[[#This Row],[Pocet zmluv objednavatela]]&gt;3,SrcDB[[#This Row],[Objednavatel]],"Ostatné")</f>
        <v>Ostatné</v>
      </c>
      <c r="AN1211" s="17" t="str">
        <f>IF(SrcDB[[#This Row],[Pocet zmluv dodavatela]]&gt;3,SrcDB[[#This Row],[Dodavatel]],"Ostatné")</f>
        <v>Ostatné</v>
      </c>
    </row>
    <row r="1212" spans="1:40" x14ac:dyDescent="0.3">
      <c r="A1212" s="2" t="s">
        <v>1477</v>
      </c>
      <c r="B1212" s="2">
        <v>9007319</v>
      </c>
      <c r="C1212" s="3" t="str">
        <f t="shared" si="1279"/>
        <v>Nie</v>
      </c>
      <c r="D1212" s="3" t="str">
        <f t="shared" si="1280"/>
        <v>Áno</v>
      </c>
      <c r="E1212" s="3" t="s">
        <v>48</v>
      </c>
      <c r="F1212" s="3" t="s">
        <v>49</v>
      </c>
      <c r="G1212" s="2" t="str">
        <f t="shared" si="1281"/>
        <v>Stredné zmluvy</v>
      </c>
      <c r="H1212" s="5">
        <v>36065340</v>
      </c>
      <c r="I1212" s="2" t="s">
        <v>1289</v>
      </c>
      <c r="J1212" s="2" t="s">
        <v>1290</v>
      </c>
      <c r="K1212" s="5" t="s">
        <v>1478</v>
      </c>
      <c r="L1212" s="2" t="s">
        <v>1479</v>
      </c>
      <c r="M1212" s="2" t="s">
        <v>708</v>
      </c>
      <c r="N1212" s="6">
        <v>45356</v>
      </c>
      <c r="O1212" s="4">
        <v>4082597.65</v>
      </c>
      <c r="P1212" s="2">
        <v>114725</v>
      </c>
      <c r="Q1212" s="2" t="s">
        <v>1480</v>
      </c>
      <c r="R1212" s="2" t="s">
        <v>1481</v>
      </c>
      <c r="S1212" s="2" t="s">
        <v>71</v>
      </c>
      <c r="T1212" s="2" t="s">
        <v>196</v>
      </c>
      <c r="W1212" s="4">
        <v>790</v>
      </c>
      <c r="X1212" s="4">
        <f>SrcDB[[#This Row],[Cena bez DPH]]*1.2</f>
        <v>948</v>
      </c>
      <c r="Y1212" s="4">
        <f t="shared" ref="Y1212" si="1346">INDEX(InternalRates,MATCH($S1212,InternalRates01,FALSE),2)</f>
        <v>354.0333333333333</v>
      </c>
      <c r="Z1212" s="3" t="str">
        <f t="shared" si="1344"/>
        <v>Nie</v>
      </c>
      <c r="AA1212" s="3" t="str">
        <f t="shared" si="1345"/>
        <v>SLA</v>
      </c>
      <c r="AD1212" s="3" t="s">
        <v>48</v>
      </c>
      <c r="AE1212" s="6">
        <v>45679</v>
      </c>
      <c r="AF1212" s="3" t="s">
        <v>59</v>
      </c>
      <c r="AG1212" s="3" t="s">
        <v>49</v>
      </c>
      <c r="AH1212" s="3">
        <f>YEAR(SrcDB[[#This Row],[Datum_zverejnenia]])</f>
        <v>2024</v>
      </c>
      <c r="AI1212" s="3" cm="1">
        <f t="array" ref="AI1212">COUNT(_xlfn.UNIQUE(_xlfn._xlws.FILTER(SrcDB[ID],SrcDB[Objednavatel_ICO]=$H1212)))</f>
        <v>2</v>
      </c>
      <c r="AJ1212" s="3" cm="1">
        <f t="array" ref="AJ1212">COUNT(_xlfn.UNIQUE(_xlfn._xlws.FILTER(SrcDB[ID],SrcDB[Dodavatel_ICO]=$K1212)))</f>
        <v>1</v>
      </c>
      <c r="AK1212" s="3">
        <f t="shared" si="1285"/>
        <v>0</v>
      </c>
      <c r="AL1212" s="3">
        <f t="shared" si="1286"/>
        <v>0</v>
      </c>
      <c r="AM1212" s="17" t="str">
        <f>IF(SrcDB[[#This Row],[Pocet zmluv objednavatela]]&gt;3,SrcDB[[#This Row],[Objednavatel]],"Ostatné")</f>
        <v>Ostatné</v>
      </c>
      <c r="AN1212" s="17" t="str">
        <f>IF(SrcDB[[#This Row],[Pocet zmluv dodavatela]]&gt;3,SrcDB[[#This Row],[Dodavatel]],"Ostatné")</f>
        <v>Ostatné</v>
      </c>
    </row>
    <row r="1213" spans="1:40" x14ac:dyDescent="0.3">
      <c r="A1213" s="2" t="s">
        <v>1477</v>
      </c>
      <c r="B1213" s="2">
        <v>9007319</v>
      </c>
      <c r="C1213" s="3" t="str">
        <f t="shared" si="1279"/>
        <v>Nie</v>
      </c>
      <c r="D1213" s="3" t="str">
        <f t="shared" si="1280"/>
        <v>Áno</v>
      </c>
      <c r="E1213" s="3" t="s">
        <v>48</v>
      </c>
      <c r="F1213" s="3" t="s">
        <v>49</v>
      </c>
      <c r="G1213" s="2" t="str">
        <f t="shared" si="1281"/>
        <v>Stredné zmluvy</v>
      </c>
      <c r="H1213" s="5">
        <v>36065340</v>
      </c>
      <c r="I1213" s="2" t="s">
        <v>1289</v>
      </c>
      <c r="J1213" s="2" t="s">
        <v>1290</v>
      </c>
      <c r="K1213" s="5" t="s">
        <v>1478</v>
      </c>
      <c r="L1213" s="2" t="s">
        <v>1479</v>
      </c>
      <c r="M1213" s="2" t="s">
        <v>708</v>
      </c>
      <c r="N1213" s="6">
        <v>45356</v>
      </c>
      <c r="O1213" s="4">
        <v>4082597.65</v>
      </c>
      <c r="P1213" s="2">
        <v>114725</v>
      </c>
      <c r="Q1213" s="2" t="s">
        <v>1480</v>
      </c>
      <c r="R1213" s="2" t="s">
        <v>1481</v>
      </c>
      <c r="S1213" s="2" t="s">
        <v>73</v>
      </c>
      <c r="T1213" s="2" t="s">
        <v>90</v>
      </c>
      <c r="W1213" s="4">
        <v>580</v>
      </c>
      <c r="X1213" s="4">
        <f>SrcDB[[#This Row],[Cena bez DPH]]*1.2</f>
        <v>696</v>
      </c>
      <c r="Y1213" s="4">
        <f t="shared" ref="Y1213" si="1347">INDEX(InternalRates,MATCH($S1213,InternalRates01,FALSE),2)</f>
        <v>278.98333333333335</v>
      </c>
      <c r="Z1213" s="3" t="str">
        <f t="shared" si="1344"/>
        <v>Nie</v>
      </c>
      <c r="AA1213" s="3" t="str">
        <f t="shared" si="1345"/>
        <v>SLA</v>
      </c>
      <c r="AD1213" s="3" t="s">
        <v>48</v>
      </c>
      <c r="AE1213" s="6">
        <v>45679</v>
      </c>
      <c r="AF1213" s="3" t="s">
        <v>59</v>
      </c>
      <c r="AG1213" s="3" t="s">
        <v>49</v>
      </c>
      <c r="AH1213" s="3">
        <f>YEAR(SrcDB[[#This Row],[Datum_zverejnenia]])</f>
        <v>2024</v>
      </c>
      <c r="AI1213" s="3" cm="1">
        <f t="array" ref="AI1213">COUNT(_xlfn.UNIQUE(_xlfn._xlws.FILTER(SrcDB[ID],SrcDB[Objednavatel_ICO]=$H1213)))</f>
        <v>2</v>
      </c>
      <c r="AJ1213" s="3" cm="1">
        <f t="array" ref="AJ1213">COUNT(_xlfn.UNIQUE(_xlfn._xlws.FILTER(SrcDB[ID],SrcDB[Dodavatel_ICO]=$K1213)))</f>
        <v>1</v>
      </c>
      <c r="AK1213" s="3">
        <f t="shared" si="1285"/>
        <v>0</v>
      </c>
      <c r="AL1213" s="3">
        <f t="shared" si="1286"/>
        <v>0</v>
      </c>
      <c r="AM1213" s="17" t="str">
        <f>IF(SrcDB[[#This Row],[Pocet zmluv objednavatela]]&gt;3,SrcDB[[#This Row],[Objednavatel]],"Ostatné")</f>
        <v>Ostatné</v>
      </c>
      <c r="AN1213" s="17" t="str">
        <f>IF(SrcDB[[#This Row],[Pocet zmluv dodavatela]]&gt;3,SrcDB[[#This Row],[Dodavatel]],"Ostatné")</f>
        <v>Ostatné</v>
      </c>
    </row>
    <row r="1214" spans="1:40" x14ac:dyDescent="0.3">
      <c r="A1214" s="2" t="s">
        <v>1477</v>
      </c>
      <c r="B1214" s="2">
        <v>9007319</v>
      </c>
      <c r="C1214" s="3" t="str">
        <f t="shared" si="1279"/>
        <v>Nie</v>
      </c>
      <c r="D1214" s="3" t="str">
        <f t="shared" si="1280"/>
        <v>Áno</v>
      </c>
      <c r="E1214" s="3" t="s">
        <v>48</v>
      </c>
      <c r="F1214" s="3" t="s">
        <v>49</v>
      </c>
      <c r="G1214" s="2" t="str">
        <f t="shared" si="1281"/>
        <v>Stredné zmluvy</v>
      </c>
      <c r="H1214" s="5">
        <v>36065340</v>
      </c>
      <c r="I1214" s="2" t="s">
        <v>1289</v>
      </c>
      <c r="J1214" s="2" t="s">
        <v>1290</v>
      </c>
      <c r="K1214" s="5" t="s">
        <v>1478</v>
      </c>
      <c r="L1214" s="2" t="s">
        <v>1479</v>
      </c>
      <c r="M1214" s="2" t="s">
        <v>708</v>
      </c>
      <c r="N1214" s="6">
        <v>45356</v>
      </c>
      <c r="O1214" s="4">
        <v>4082597.65</v>
      </c>
      <c r="P1214" s="2">
        <v>114725</v>
      </c>
      <c r="Q1214" s="2" t="s">
        <v>1480</v>
      </c>
      <c r="R1214" s="2" t="s">
        <v>1481</v>
      </c>
      <c r="S1214" s="2" t="s">
        <v>56</v>
      </c>
      <c r="T1214" s="2" t="s">
        <v>1482</v>
      </c>
      <c r="U1214" s="2" t="s">
        <v>58</v>
      </c>
      <c r="W1214" s="4">
        <v>650</v>
      </c>
      <c r="X1214" s="4">
        <f>SrcDB[[#This Row],[Cena bez DPH]]*1.2</f>
        <v>780</v>
      </c>
      <c r="Y1214" s="4">
        <f t="shared" ref="Y1214" si="1348">INDEX(InternalRates,MATCH($S1214,InternalRates01,FALSE),2)</f>
        <v>278.98333333333335</v>
      </c>
      <c r="Z1214" s="3" t="str">
        <f t="shared" si="1344"/>
        <v>Nie</v>
      </c>
      <c r="AA1214" s="3" t="str">
        <f t="shared" si="1345"/>
        <v>SLA</v>
      </c>
      <c r="AD1214" s="3" t="s">
        <v>48</v>
      </c>
      <c r="AE1214" s="6">
        <v>45679</v>
      </c>
      <c r="AF1214" s="3" t="s">
        <v>59</v>
      </c>
      <c r="AG1214" s="3" t="s">
        <v>49</v>
      </c>
      <c r="AH1214" s="3">
        <f>YEAR(SrcDB[[#This Row],[Datum_zverejnenia]])</f>
        <v>2024</v>
      </c>
      <c r="AI1214" s="3" cm="1">
        <f t="array" ref="AI1214">COUNT(_xlfn.UNIQUE(_xlfn._xlws.FILTER(SrcDB[ID],SrcDB[Objednavatel_ICO]=$H1214)))</f>
        <v>2</v>
      </c>
      <c r="AJ1214" s="3" cm="1">
        <f t="array" ref="AJ1214">COUNT(_xlfn.UNIQUE(_xlfn._xlws.FILTER(SrcDB[ID],SrcDB[Dodavatel_ICO]=$K1214)))</f>
        <v>1</v>
      </c>
      <c r="AK1214" s="3">
        <f t="shared" si="1285"/>
        <v>0</v>
      </c>
      <c r="AL1214" s="3">
        <f t="shared" si="1286"/>
        <v>0</v>
      </c>
      <c r="AM1214" s="17" t="str">
        <f>IF(SrcDB[[#This Row],[Pocet zmluv objednavatela]]&gt;3,SrcDB[[#This Row],[Objednavatel]],"Ostatné")</f>
        <v>Ostatné</v>
      </c>
      <c r="AN1214" s="17" t="str">
        <f>IF(SrcDB[[#This Row],[Pocet zmluv dodavatela]]&gt;3,SrcDB[[#This Row],[Dodavatel]],"Ostatné")</f>
        <v>Ostatné</v>
      </c>
    </row>
    <row r="1215" spans="1:40" x14ac:dyDescent="0.3">
      <c r="A1215" s="2" t="s">
        <v>1477</v>
      </c>
      <c r="B1215" s="2">
        <v>9007319</v>
      </c>
      <c r="C1215" s="3" t="str">
        <f t="shared" si="1279"/>
        <v>Nie</v>
      </c>
      <c r="D1215" s="3" t="str">
        <f t="shared" si="1280"/>
        <v>Áno</v>
      </c>
      <c r="E1215" s="3" t="s">
        <v>48</v>
      </c>
      <c r="F1215" s="3" t="s">
        <v>49</v>
      </c>
      <c r="G1215" s="2" t="str">
        <f t="shared" si="1281"/>
        <v>Stredné zmluvy</v>
      </c>
      <c r="H1215" s="5">
        <v>36065340</v>
      </c>
      <c r="I1215" s="2" t="s">
        <v>1289</v>
      </c>
      <c r="J1215" s="2" t="s">
        <v>1290</v>
      </c>
      <c r="K1215" s="5" t="s">
        <v>1478</v>
      </c>
      <c r="L1215" s="2" t="s">
        <v>1479</v>
      </c>
      <c r="M1215" s="2" t="s">
        <v>708</v>
      </c>
      <c r="N1215" s="6">
        <v>45356</v>
      </c>
      <c r="O1215" s="4">
        <v>4082597.65</v>
      </c>
      <c r="P1215" s="2">
        <v>114725</v>
      </c>
      <c r="Q1215" s="2" t="s">
        <v>1480</v>
      </c>
      <c r="R1215" s="2" t="s">
        <v>1481</v>
      </c>
      <c r="S1215" s="2" t="s">
        <v>56</v>
      </c>
      <c r="T1215" s="2" t="s">
        <v>1483</v>
      </c>
      <c r="U1215" s="2" t="s">
        <v>76</v>
      </c>
      <c r="W1215" s="4">
        <v>550</v>
      </c>
      <c r="X1215" s="4">
        <f>SrcDB[[#This Row],[Cena bez DPH]]*1.2</f>
        <v>660</v>
      </c>
      <c r="Y1215" s="4">
        <f t="shared" ref="Y1215" si="1349">INDEX(InternalRates,MATCH($S1215,InternalRates01,FALSE),2)</f>
        <v>278.98333333333335</v>
      </c>
      <c r="Z1215" s="3" t="str">
        <f t="shared" si="1344"/>
        <v>Nie</v>
      </c>
      <c r="AA1215" s="3" t="str">
        <f t="shared" si="1345"/>
        <v>SLA</v>
      </c>
      <c r="AD1215" s="3" t="s">
        <v>48</v>
      </c>
      <c r="AE1215" s="6">
        <v>45679</v>
      </c>
      <c r="AF1215" s="3" t="s">
        <v>59</v>
      </c>
      <c r="AG1215" s="3" t="s">
        <v>49</v>
      </c>
      <c r="AH1215" s="3">
        <f>YEAR(SrcDB[[#This Row],[Datum_zverejnenia]])</f>
        <v>2024</v>
      </c>
      <c r="AI1215" s="3" cm="1">
        <f t="array" ref="AI1215">COUNT(_xlfn.UNIQUE(_xlfn._xlws.FILTER(SrcDB[ID],SrcDB[Objednavatel_ICO]=$H1215)))</f>
        <v>2</v>
      </c>
      <c r="AJ1215" s="3" cm="1">
        <f t="array" ref="AJ1215">COUNT(_xlfn.UNIQUE(_xlfn._xlws.FILTER(SrcDB[ID],SrcDB[Dodavatel_ICO]=$K1215)))</f>
        <v>1</v>
      </c>
      <c r="AK1215" s="3">
        <f t="shared" si="1285"/>
        <v>0</v>
      </c>
      <c r="AL1215" s="3">
        <f t="shared" si="1286"/>
        <v>0</v>
      </c>
      <c r="AM1215" s="17" t="str">
        <f>IF(SrcDB[[#This Row],[Pocet zmluv objednavatela]]&gt;3,SrcDB[[#This Row],[Objednavatel]],"Ostatné")</f>
        <v>Ostatné</v>
      </c>
      <c r="AN1215" s="17" t="str">
        <f>IF(SrcDB[[#This Row],[Pocet zmluv dodavatela]]&gt;3,SrcDB[[#This Row],[Dodavatel]],"Ostatné")</f>
        <v>Ostatné</v>
      </c>
    </row>
    <row r="1216" spans="1:40" x14ac:dyDescent="0.3">
      <c r="A1216" s="2" t="s">
        <v>1477</v>
      </c>
      <c r="B1216" s="2">
        <v>9007319</v>
      </c>
      <c r="C1216" s="3" t="str">
        <f t="shared" si="1279"/>
        <v>Nie</v>
      </c>
      <c r="D1216" s="3" t="str">
        <f t="shared" si="1280"/>
        <v>Áno</v>
      </c>
      <c r="E1216" s="3" t="s">
        <v>48</v>
      </c>
      <c r="F1216" s="3" t="s">
        <v>49</v>
      </c>
      <c r="G1216" s="2" t="str">
        <f t="shared" si="1281"/>
        <v>Stredné zmluvy</v>
      </c>
      <c r="H1216" s="5">
        <v>36065340</v>
      </c>
      <c r="I1216" s="2" t="s">
        <v>1289</v>
      </c>
      <c r="J1216" s="2" t="s">
        <v>1290</v>
      </c>
      <c r="K1216" s="5" t="s">
        <v>1478</v>
      </c>
      <c r="L1216" s="2" t="s">
        <v>1479</v>
      </c>
      <c r="M1216" s="2" t="s">
        <v>708</v>
      </c>
      <c r="N1216" s="6">
        <v>45356</v>
      </c>
      <c r="O1216" s="4">
        <v>4082597.65</v>
      </c>
      <c r="P1216" s="2">
        <v>114725</v>
      </c>
      <c r="Q1216" s="2" t="s">
        <v>1480</v>
      </c>
      <c r="R1216" s="2" t="s">
        <v>1481</v>
      </c>
      <c r="S1216" s="2" t="s">
        <v>77</v>
      </c>
      <c r="T1216" s="2" t="s">
        <v>1097</v>
      </c>
      <c r="W1216" s="4">
        <v>580</v>
      </c>
      <c r="X1216" s="4">
        <f>SrcDB[[#This Row],[Cena bez DPH]]*1.2</f>
        <v>696</v>
      </c>
      <c r="Y1216" s="4">
        <f t="shared" ref="Y1216" si="1350">INDEX(InternalRates,MATCH($S1216,InternalRates01,FALSE),2)</f>
        <v>278.98333333333335</v>
      </c>
      <c r="Z1216" s="3" t="str">
        <f t="shared" si="1344"/>
        <v>Nie</v>
      </c>
      <c r="AA1216" s="3" t="str">
        <f t="shared" si="1345"/>
        <v>SLA</v>
      </c>
      <c r="AD1216" s="3" t="s">
        <v>48</v>
      </c>
      <c r="AE1216" s="6">
        <v>45679</v>
      </c>
      <c r="AF1216" s="3" t="s">
        <v>59</v>
      </c>
      <c r="AG1216" s="3" t="s">
        <v>49</v>
      </c>
      <c r="AH1216" s="3">
        <f>YEAR(SrcDB[[#This Row],[Datum_zverejnenia]])</f>
        <v>2024</v>
      </c>
      <c r="AI1216" s="3" cm="1">
        <f t="array" ref="AI1216">COUNT(_xlfn.UNIQUE(_xlfn._xlws.FILTER(SrcDB[ID],SrcDB[Objednavatel_ICO]=$H1216)))</f>
        <v>2</v>
      </c>
      <c r="AJ1216" s="3" cm="1">
        <f t="array" ref="AJ1216">COUNT(_xlfn.UNIQUE(_xlfn._xlws.FILTER(SrcDB[ID],SrcDB[Dodavatel_ICO]=$K1216)))</f>
        <v>1</v>
      </c>
      <c r="AK1216" s="3">
        <f t="shared" si="1285"/>
        <v>0</v>
      </c>
      <c r="AL1216" s="3">
        <f t="shared" si="1286"/>
        <v>0</v>
      </c>
      <c r="AM1216" s="17" t="str">
        <f>IF(SrcDB[[#This Row],[Pocet zmluv objednavatela]]&gt;3,SrcDB[[#This Row],[Objednavatel]],"Ostatné")</f>
        <v>Ostatné</v>
      </c>
      <c r="AN1216" s="17" t="str">
        <f>IF(SrcDB[[#This Row],[Pocet zmluv dodavatela]]&gt;3,SrcDB[[#This Row],[Dodavatel]],"Ostatné")</f>
        <v>Ostatné</v>
      </c>
    </row>
    <row r="1217" spans="1:40" x14ac:dyDescent="0.3">
      <c r="A1217" s="2" t="s">
        <v>1477</v>
      </c>
      <c r="B1217" s="2">
        <v>9007319</v>
      </c>
      <c r="C1217" s="3" t="str">
        <f t="shared" si="1279"/>
        <v>Nie</v>
      </c>
      <c r="D1217" s="3" t="str">
        <f t="shared" si="1280"/>
        <v>Áno</v>
      </c>
      <c r="E1217" s="3" t="s">
        <v>48</v>
      </c>
      <c r="F1217" s="3" t="s">
        <v>49</v>
      </c>
      <c r="G1217" s="2" t="str">
        <f t="shared" si="1281"/>
        <v>Stredné zmluvy</v>
      </c>
      <c r="H1217" s="5">
        <v>36065340</v>
      </c>
      <c r="I1217" s="2" t="s">
        <v>1289</v>
      </c>
      <c r="J1217" s="2" t="s">
        <v>1290</v>
      </c>
      <c r="K1217" s="5" t="s">
        <v>1478</v>
      </c>
      <c r="L1217" s="2" t="s">
        <v>1479</v>
      </c>
      <c r="M1217" s="2" t="s">
        <v>708</v>
      </c>
      <c r="N1217" s="6">
        <v>45356</v>
      </c>
      <c r="O1217" s="4">
        <v>4082597.65</v>
      </c>
      <c r="P1217" s="2">
        <v>114725</v>
      </c>
      <c r="Q1217" s="2" t="s">
        <v>1480</v>
      </c>
      <c r="R1217" s="2" t="s">
        <v>1481</v>
      </c>
      <c r="S1217" s="2" t="s">
        <v>79</v>
      </c>
      <c r="T1217" s="2" t="s">
        <v>93</v>
      </c>
      <c r="W1217" s="4">
        <v>490</v>
      </c>
      <c r="X1217" s="4">
        <f>SrcDB[[#This Row],[Cena bez DPH]]*1.2</f>
        <v>588</v>
      </c>
      <c r="Y1217" s="4">
        <f t="shared" ref="Y1217" si="1351">INDEX(InternalRates,MATCH($S1217,InternalRates01,FALSE),2)</f>
        <v>278.98333333333335</v>
      </c>
      <c r="Z1217" s="3" t="str">
        <f t="shared" si="1344"/>
        <v>Nie</v>
      </c>
      <c r="AA1217" s="3" t="str">
        <f t="shared" si="1345"/>
        <v>SLA</v>
      </c>
      <c r="AD1217" s="3" t="s">
        <v>48</v>
      </c>
      <c r="AE1217" s="6">
        <v>45679</v>
      </c>
      <c r="AF1217" s="3" t="s">
        <v>59</v>
      </c>
      <c r="AG1217" s="3" t="s">
        <v>49</v>
      </c>
      <c r="AH1217" s="3">
        <f>YEAR(SrcDB[[#This Row],[Datum_zverejnenia]])</f>
        <v>2024</v>
      </c>
      <c r="AI1217" s="3" cm="1">
        <f t="array" ref="AI1217">COUNT(_xlfn.UNIQUE(_xlfn._xlws.FILTER(SrcDB[ID],SrcDB[Objednavatel_ICO]=$H1217)))</f>
        <v>2</v>
      </c>
      <c r="AJ1217" s="3" cm="1">
        <f t="array" ref="AJ1217">COUNT(_xlfn.UNIQUE(_xlfn._xlws.FILTER(SrcDB[ID],SrcDB[Dodavatel_ICO]=$K1217)))</f>
        <v>1</v>
      </c>
      <c r="AK1217" s="3">
        <f t="shared" si="1285"/>
        <v>0</v>
      </c>
      <c r="AL1217" s="3">
        <f t="shared" si="1286"/>
        <v>0</v>
      </c>
      <c r="AM1217" s="17" t="str">
        <f>IF(SrcDB[[#This Row],[Pocet zmluv objednavatela]]&gt;3,SrcDB[[#This Row],[Objednavatel]],"Ostatné")</f>
        <v>Ostatné</v>
      </c>
      <c r="AN1217" s="17" t="str">
        <f>IF(SrcDB[[#This Row],[Pocet zmluv dodavatela]]&gt;3,SrcDB[[#This Row],[Dodavatel]],"Ostatné")</f>
        <v>Ostatné</v>
      </c>
    </row>
    <row r="1218" spans="1:40" x14ac:dyDescent="0.3">
      <c r="A1218" s="2" t="s">
        <v>1477</v>
      </c>
      <c r="B1218" s="2">
        <v>9007319</v>
      </c>
      <c r="C1218" s="3" t="str">
        <f t="shared" ref="C1218:C1279" si="1352">IF(OR(NOT(ISERROR(FIND("O DIEL",UPPER($A1218)))),NOT(ISERROR(FIND("O IMPLEM",UPPER($A1218)))))=TRUE,"Áno",IF(OR(NOT(ISERROR(FIND("PODPOR",UPPER($A1218)))),NOT(ISERROR(FIND("SLA",UPPER($A1218)))),NOT(ISERROR(FIND("SERVIS",UPPER($A1218)))))=TRUE,"Nie","Nejasné"))</f>
        <v>Nie</v>
      </c>
      <c r="D1218" s="3" t="str">
        <f t="shared" ref="D1218:D1279" si="1353">IF(OR(NOT(ISERROR(FIND("PODPOR",UPPER($A1218)))),NOT(ISERROR(FIND("SLA",UPPER($A1218)))),NOT(ISERROR(FIND("SERVIS",UPPER($A1218)))))=TRUE,"Áno",IF(OR(NOT(ISERROR(FIND("O DIEL",UPPER($A1218)))),NOT(ISERROR(FIND("O IMPLEM",UPPER($A1218)))))=TRUE,"Nie","Nejasné"))</f>
        <v>Áno</v>
      </c>
      <c r="E1218" s="3" t="s">
        <v>48</v>
      </c>
      <c r="F1218" s="3" t="s">
        <v>49</v>
      </c>
      <c r="G1218" s="2" t="str">
        <f t="shared" ref="G1218:G1279" si="1354">IF($O1218&gt;=8000000,"Veľké zmluvy",IF($O1218&gt;=1000000,"Stredné zmluvy","Malé zmluvy"))</f>
        <v>Stredné zmluvy</v>
      </c>
      <c r="H1218" s="5">
        <v>36065340</v>
      </c>
      <c r="I1218" s="2" t="s">
        <v>1289</v>
      </c>
      <c r="J1218" s="2" t="s">
        <v>1290</v>
      </c>
      <c r="K1218" s="5" t="s">
        <v>1478</v>
      </c>
      <c r="L1218" s="2" t="s">
        <v>1479</v>
      </c>
      <c r="M1218" s="2" t="s">
        <v>708</v>
      </c>
      <c r="N1218" s="6">
        <v>45356</v>
      </c>
      <c r="O1218" s="4">
        <v>4082597.65</v>
      </c>
      <c r="P1218" s="2">
        <v>114725</v>
      </c>
      <c r="Q1218" s="2" t="s">
        <v>1480</v>
      </c>
      <c r="R1218" s="2" t="s">
        <v>1481</v>
      </c>
      <c r="S1218" s="2" t="s">
        <v>162</v>
      </c>
      <c r="T1218" s="2" t="s">
        <v>1484</v>
      </c>
      <c r="W1218" s="4">
        <v>520</v>
      </c>
      <c r="X1218" s="4">
        <f>SrcDB[[#This Row],[Cena bez DPH]]*1.2</f>
        <v>624</v>
      </c>
      <c r="Y1218" s="4">
        <f t="shared" ref="Y1218" si="1355">INDEX(InternalRates,MATCH($S1218,InternalRates01,FALSE),2)</f>
        <v>231.85833333333335</v>
      </c>
      <c r="Z1218" s="3" t="str">
        <f t="shared" si="1344"/>
        <v>Nie</v>
      </c>
      <c r="AA1218" s="3" t="str">
        <f t="shared" si="1345"/>
        <v>SLA</v>
      </c>
      <c r="AD1218" s="3" t="s">
        <v>48</v>
      </c>
      <c r="AE1218" s="6">
        <v>45679</v>
      </c>
      <c r="AF1218" s="3" t="s">
        <v>59</v>
      </c>
      <c r="AG1218" s="3" t="s">
        <v>49</v>
      </c>
      <c r="AH1218" s="3">
        <f>YEAR(SrcDB[[#This Row],[Datum_zverejnenia]])</f>
        <v>2024</v>
      </c>
      <c r="AI1218" s="3" cm="1">
        <f t="array" ref="AI1218">COUNT(_xlfn.UNIQUE(_xlfn._xlws.FILTER(SrcDB[ID],SrcDB[Objednavatel_ICO]=$H1218)))</f>
        <v>2</v>
      </c>
      <c r="AJ1218" s="3" cm="1">
        <f t="array" ref="AJ1218">COUNT(_xlfn.UNIQUE(_xlfn._xlws.FILTER(SrcDB[ID],SrcDB[Dodavatel_ICO]=$K1218)))</f>
        <v>1</v>
      </c>
      <c r="AK1218" s="3">
        <f t="shared" si="1285"/>
        <v>0</v>
      </c>
      <c r="AL1218" s="3">
        <f t="shared" si="1286"/>
        <v>0</v>
      </c>
      <c r="AM1218" s="17" t="str">
        <f>IF(SrcDB[[#This Row],[Pocet zmluv objednavatela]]&gt;3,SrcDB[[#This Row],[Objednavatel]],"Ostatné")</f>
        <v>Ostatné</v>
      </c>
      <c r="AN1218" s="17" t="str">
        <f>IF(SrcDB[[#This Row],[Pocet zmluv dodavatela]]&gt;3,SrcDB[[#This Row],[Dodavatel]],"Ostatné")</f>
        <v>Ostatné</v>
      </c>
    </row>
    <row r="1219" spans="1:40" x14ac:dyDescent="0.3">
      <c r="A1219" s="2" t="s">
        <v>1477</v>
      </c>
      <c r="B1219" s="2">
        <v>9007319</v>
      </c>
      <c r="C1219" s="3" t="str">
        <f t="shared" si="1352"/>
        <v>Nie</v>
      </c>
      <c r="D1219" s="3" t="str">
        <f t="shared" si="1353"/>
        <v>Áno</v>
      </c>
      <c r="E1219" s="3" t="s">
        <v>48</v>
      </c>
      <c r="F1219" s="3" t="s">
        <v>49</v>
      </c>
      <c r="G1219" s="2" t="str">
        <f t="shared" si="1354"/>
        <v>Stredné zmluvy</v>
      </c>
      <c r="H1219" s="5">
        <v>36065340</v>
      </c>
      <c r="I1219" s="2" t="s">
        <v>1289</v>
      </c>
      <c r="J1219" s="2" t="s">
        <v>1290</v>
      </c>
      <c r="K1219" s="5" t="s">
        <v>1478</v>
      </c>
      <c r="L1219" s="2" t="s">
        <v>1479</v>
      </c>
      <c r="M1219" s="2" t="s">
        <v>708</v>
      </c>
      <c r="N1219" s="6">
        <v>45356</v>
      </c>
      <c r="O1219" s="4">
        <v>4082597.65</v>
      </c>
      <c r="P1219" s="2">
        <v>114725</v>
      </c>
      <c r="Q1219" s="2" t="s">
        <v>1480</v>
      </c>
      <c r="R1219" s="2" t="s">
        <v>1481</v>
      </c>
      <c r="S1219" s="2" t="s">
        <v>102</v>
      </c>
      <c r="T1219" s="2" t="s">
        <v>333</v>
      </c>
      <c r="W1219" s="4">
        <v>520</v>
      </c>
      <c r="X1219" s="4">
        <f>SrcDB[[#This Row],[Cena bez DPH]]*1.2</f>
        <v>624</v>
      </c>
      <c r="Y1219" s="4">
        <f t="shared" ref="Y1219" si="1356">INDEX(InternalRates,MATCH($S1219,InternalRates01,FALSE),2)</f>
        <v>278.98333333333335</v>
      </c>
      <c r="Z1219" s="3" t="str">
        <f t="shared" si="1344"/>
        <v>Nie</v>
      </c>
      <c r="AA1219" s="3" t="str">
        <f t="shared" si="1345"/>
        <v>SLA</v>
      </c>
      <c r="AD1219" s="3" t="s">
        <v>48</v>
      </c>
      <c r="AE1219" s="6">
        <v>45679</v>
      </c>
      <c r="AF1219" s="3" t="s">
        <v>59</v>
      </c>
      <c r="AG1219" s="3" t="s">
        <v>49</v>
      </c>
      <c r="AH1219" s="3">
        <f>YEAR(SrcDB[[#This Row],[Datum_zverejnenia]])</f>
        <v>2024</v>
      </c>
      <c r="AI1219" s="3" cm="1">
        <f t="array" ref="AI1219">COUNT(_xlfn.UNIQUE(_xlfn._xlws.FILTER(SrcDB[ID],SrcDB[Objednavatel_ICO]=$H1219)))</f>
        <v>2</v>
      </c>
      <c r="AJ1219" s="3" cm="1">
        <f t="array" ref="AJ1219">COUNT(_xlfn.UNIQUE(_xlfn._xlws.FILTER(SrcDB[ID],SrcDB[Dodavatel_ICO]=$K1219)))</f>
        <v>1</v>
      </c>
      <c r="AK1219" s="3">
        <f t="shared" si="1285"/>
        <v>0</v>
      </c>
      <c r="AL1219" s="3">
        <f t="shared" si="1286"/>
        <v>0</v>
      </c>
      <c r="AM1219" s="17" t="str">
        <f>IF(SrcDB[[#This Row],[Pocet zmluv objednavatela]]&gt;3,SrcDB[[#This Row],[Objednavatel]],"Ostatné")</f>
        <v>Ostatné</v>
      </c>
      <c r="AN1219" s="17" t="str">
        <f>IF(SrcDB[[#This Row],[Pocet zmluv dodavatela]]&gt;3,SrcDB[[#This Row],[Dodavatel]],"Ostatné")</f>
        <v>Ostatné</v>
      </c>
    </row>
    <row r="1220" spans="1:40" x14ac:dyDescent="0.3">
      <c r="A1220" s="2" t="s">
        <v>1485</v>
      </c>
      <c r="B1220" s="2">
        <v>9996282</v>
      </c>
      <c r="C1220" s="3" t="str">
        <f t="shared" si="1352"/>
        <v>Nie</v>
      </c>
      <c r="D1220" s="3" t="str">
        <f t="shared" si="1353"/>
        <v>Áno</v>
      </c>
      <c r="E1220" s="3" t="s">
        <v>48</v>
      </c>
      <c r="F1220" s="3" t="s">
        <v>49</v>
      </c>
      <c r="G1220" s="2" t="str">
        <f t="shared" si="1354"/>
        <v>Stredné zmluvy</v>
      </c>
      <c r="H1220" s="5" t="s">
        <v>524</v>
      </c>
      <c r="I1220" s="2" t="s">
        <v>525</v>
      </c>
      <c r="J1220" s="2" t="s">
        <v>1486</v>
      </c>
      <c r="K1220" s="5">
        <v>35955678</v>
      </c>
      <c r="L1220" s="2" t="s">
        <v>179</v>
      </c>
      <c r="M1220" s="2" t="s">
        <v>180</v>
      </c>
      <c r="N1220" s="6">
        <v>45602</v>
      </c>
      <c r="O1220" s="4">
        <v>4690920</v>
      </c>
      <c r="P1220" s="2">
        <v>114499</v>
      </c>
      <c r="Q1220" s="2" t="s">
        <v>1487</v>
      </c>
      <c r="R1220" s="2" t="s">
        <v>1488</v>
      </c>
      <c r="S1220" s="2" t="s">
        <v>69</v>
      </c>
      <c r="T1220" s="2" t="s">
        <v>70</v>
      </c>
      <c r="W1220" s="4">
        <v>640</v>
      </c>
      <c r="X1220" s="4">
        <f>SrcDB[[#This Row],[Cena bez DPH]]*1.2</f>
        <v>768</v>
      </c>
      <c r="Y1220" s="4">
        <f t="shared" ref="Y1220" si="1357">INDEX(InternalRates,MATCH($S1220,InternalRates01,FALSE),2)</f>
        <v>278.98333333333335</v>
      </c>
      <c r="Z1220" s="3" t="str">
        <f>IF(W1220&gt;0,IF(Y1220&gt;W1220,"Áno","Nie"),"Nie")</f>
        <v>Nie</v>
      </c>
      <c r="AA1220" s="3" t="str">
        <f>IF(E1220="Nie","SLA",IF(F1220="Nie","ZoD","SLA+ZoD"))</f>
        <v>SLA</v>
      </c>
      <c r="AB1220" s="4">
        <v>450</v>
      </c>
      <c r="AC1220" s="4">
        <v>112.5</v>
      </c>
      <c r="AD1220" s="3" t="s">
        <v>48</v>
      </c>
      <c r="AE1220" s="6">
        <v>45679</v>
      </c>
      <c r="AF1220" s="3" t="s">
        <v>59</v>
      </c>
      <c r="AG1220" s="3" t="s">
        <v>49</v>
      </c>
      <c r="AH1220" s="3">
        <f>YEAR(SrcDB[[#This Row],[Datum_zverejnenia]])</f>
        <v>2024</v>
      </c>
      <c r="AI1220" s="3" cm="1">
        <f t="array" ref="AI1220">COUNT(_xlfn.UNIQUE(_xlfn._xlws.FILTER(SrcDB[ID],SrcDB[Objednavatel_ICO]=$H1220)))</f>
        <v>4</v>
      </c>
      <c r="AJ1220" s="3" cm="1">
        <f t="array" ref="AJ1220">COUNT(_xlfn.UNIQUE(_xlfn._xlws.FILTER(SrcDB[ID],SrcDB[Dodavatel_ICO]=$K1220)))</f>
        <v>14</v>
      </c>
      <c r="AK1220" s="3">
        <f t="shared" ref="AK1220:AK1281" si="1358">IF($H1219&lt;&gt;$H1220,1,IF($B1219&lt;&gt;$B1220,1,0))</f>
        <v>1</v>
      </c>
      <c r="AL1220" s="3">
        <f t="shared" ref="AL1220:AL1281" si="1359">IF($K1219&lt;&gt;$K1220,1,IF($B1219&lt;&gt;$B1220,1,0))</f>
        <v>1</v>
      </c>
      <c r="AM1220" s="17" t="str">
        <f>IF(SrcDB[[#This Row],[Pocet zmluv objednavatela]]&gt;3,SrcDB[[#This Row],[Objednavatel]],"Ostatné")</f>
        <v>Ministerstvo hospodárstva Slovenskej republiky</v>
      </c>
      <c r="AN1220" s="17" t="str">
        <f>IF(SrcDB[[#This Row],[Pocet zmluv dodavatela]]&gt;3,SrcDB[[#This Row],[Dodavatel]],"Ostatné")</f>
        <v>SOITRON, s.r.o.</v>
      </c>
    </row>
    <row r="1221" spans="1:40" x14ac:dyDescent="0.3">
      <c r="A1221" s="2" t="s">
        <v>1485</v>
      </c>
      <c r="B1221" s="2">
        <v>9996282</v>
      </c>
      <c r="C1221" s="3" t="str">
        <f t="shared" si="1352"/>
        <v>Nie</v>
      </c>
      <c r="D1221" s="3" t="str">
        <f t="shared" si="1353"/>
        <v>Áno</v>
      </c>
      <c r="E1221" s="3" t="s">
        <v>48</v>
      </c>
      <c r="F1221" s="3" t="s">
        <v>49</v>
      </c>
      <c r="G1221" s="2" t="str">
        <f t="shared" si="1354"/>
        <v>Stredné zmluvy</v>
      </c>
      <c r="H1221" s="5" t="s">
        <v>524</v>
      </c>
      <c r="I1221" s="2" t="s">
        <v>525</v>
      </c>
      <c r="J1221" s="2" t="s">
        <v>1486</v>
      </c>
      <c r="K1221" s="5">
        <v>35955678</v>
      </c>
      <c r="L1221" s="2" t="s">
        <v>179</v>
      </c>
      <c r="M1221" s="2" t="s">
        <v>180</v>
      </c>
      <c r="N1221" s="6">
        <v>45602</v>
      </c>
      <c r="O1221" s="4">
        <v>4690920</v>
      </c>
      <c r="P1221" s="2">
        <v>114499</v>
      </c>
      <c r="Q1221" s="2" t="s">
        <v>1487</v>
      </c>
      <c r="R1221" s="2" t="s">
        <v>1488</v>
      </c>
      <c r="S1221" s="2" t="s">
        <v>71</v>
      </c>
      <c r="T1221" s="2" t="s">
        <v>1489</v>
      </c>
      <c r="W1221" s="4">
        <v>750</v>
      </c>
      <c r="X1221" s="4">
        <f>SrcDB[[#This Row],[Cena bez DPH]]*1.2</f>
        <v>900</v>
      </c>
      <c r="Y1221" s="4">
        <f t="shared" ref="Y1221" si="1360">INDEX(InternalRates,MATCH($S1221,InternalRates01,FALSE),2)</f>
        <v>354.0333333333333</v>
      </c>
      <c r="Z1221" s="3" t="str">
        <f>IF(W1221&gt;0,IF(Y1221&gt;W1221,"Áno","Nie"),"Nie")</f>
        <v>Nie</v>
      </c>
      <c r="AA1221" s="3" t="str">
        <f>IF(E1221="Nie","SLA",IF(F1221="Nie","ZoD","SLA+ZoD"))</f>
        <v>SLA</v>
      </c>
      <c r="AB1221" s="4">
        <v>450</v>
      </c>
      <c r="AC1221" s="4">
        <v>112.5</v>
      </c>
      <c r="AD1221" s="3" t="s">
        <v>48</v>
      </c>
      <c r="AE1221" s="6">
        <v>45679</v>
      </c>
      <c r="AF1221" s="3" t="s">
        <v>59</v>
      </c>
      <c r="AG1221" s="3" t="s">
        <v>49</v>
      </c>
      <c r="AH1221" s="3">
        <f>YEAR(SrcDB[[#This Row],[Datum_zverejnenia]])</f>
        <v>2024</v>
      </c>
      <c r="AI1221" s="3" cm="1">
        <f t="array" ref="AI1221">COUNT(_xlfn.UNIQUE(_xlfn._xlws.FILTER(SrcDB[ID],SrcDB[Objednavatel_ICO]=$H1221)))</f>
        <v>4</v>
      </c>
      <c r="AJ1221" s="3" cm="1">
        <f t="array" ref="AJ1221">COUNT(_xlfn.UNIQUE(_xlfn._xlws.FILTER(SrcDB[ID],SrcDB[Dodavatel_ICO]=$K1221)))</f>
        <v>14</v>
      </c>
      <c r="AK1221" s="3">
        <f t="shared" si="1358"/>
        <v>0</v>
      </c>
      <c r="AL1221" s="3">
        <f t="shared" si="1359"/>
        <v>0</v>
      </c>
      <c r="AM1221" s="17" t="str">
        <f>IF(SrcDB[[#This Row],[Pocet zmluv objednavatela]]&gt;3,SrcDB[[#This Row],[Objednavatel]],"Ostatné")</f>
        <v>Ministerstvo hospodárstva Slovenskej republiky</v>
      </c>
      <c r="AN1221" s="17" t="str">
        <f>IF(SrcDB[[#This Row],[Pocet zmluv dodavatela]]&gt;3,SrcDB[[#This Row],[Dodavatel]],"Ostatné")</f>
        <v>SOITRON, s.r.o.</v>
      </c>
    </row>
    <row r="1222" spans="1:40" x14ac:dyDescent="0.3">
      <c r="A1222" s="2" t="s">
        <v>1485</v>
      </c>
      <c r="B1222" s="2">
        <v>9996282</v>
      </c>
      <c r="C1222" s="3" t="str">
        <f t="shared" si="1352"/>
        <v>Nie</v>
      </c>
      <c r="D1222" s="3" t="str">
        <f t="shared" si="1353"/>
        <v>Áno</v>
      </c>
      <c r="E1222" s="3" t="s">
        <v>48</v>
      </c>
      <c r="F1222" s="3" t="s">
        <v>49</v>
      </c>
      <c r="G1222" s="2" t="str">
        <f t="shared" si="1354"/>
        <v>Stredné zmluvy</v>
      </c>
      <c r="H1222" s="5" t="s">
        <v>524</v>
      </c>
      <c r="I1222" s="2" t="s">
        <v>525</v>
      </c>
      <c r="J1222" s="2" t="s">
        <v>1486</v>
      </c>
      <c r="K1222" s="5">
        <v>35955678</v>
      </c>
      <c r="L1222" s="2" t="s">
        <v>179</v>
      </c>
      <c r="M1222" s="2" t="s">
        <v>180</v>
      </c>
      <c r="N1222" s="6">
        <v>45602</v>
      </c>
      <c r="O1222" s="4">
        <v>4690920</v>
      </c>
      <c r="P1222" s="2">
        <v>114499</v>
      </c>
      <c r="Q1222" s="2" t="s">
        <v>1487</v>
      </c>
      <c r="R1222" s="2" t="s">
        <v>1488</v>
      </c>
      <c r="S1222" s="2" t="s">
        <v>56</v>
      </c>
      <c r="T1222" s="2" t="s">
        <v>1490</v>
      </c>
      <c r="U1222" s="2" t="s">
        <v>97</v>
      </c>
      <c r="W1222" s="4">
        <v>750</v>
      </c>
      <c r="X1222" s="4">
        <f>SrcDB[[#This Row],[Cena bez DPH]]*1.2</f>
        <v>900</v>
      </c>
      <c r="Y1222" s="4">
        <f t="shared" ref="Y1222" si="1361">INDEX(InternalRates,MATCH($S1222,InternalRates01,FALSE),2)</f>
        <v>278.98333333333335</v>
      </c>
      <c r="Z1222" s="3" t="str">
        <f t="shared" ref="Z1222:Z1259" si="1362">IF(W1222&gt;0,IF(Y1222&gt;W1222,"Áno","Nie"),"Nie")</f>
        <v>Nie</v>
      </c>
      <c r="AA1222" s="3" t="str">
        <f t="shared" ref="AA1222:AA1259" si="1363">IF(E1222="Nie","SLA",IF(F1222="Nie","ZoD","SLA+ZoD"))</f>
        <v>SLA</v>
      </c>
      <c r="AB1222" s="4">
        <v>450</v>
      </c>
      <c r="AC1222" s="4">
        <v>112.5</v>
      </c>
      <c r="AD1222" s="3" t="s">
        <v>48</v>
      </c>
      <c r="AE1222" s="6">
        <v>45679</v>
      </c>
      <c r="AF1222" s="3" t="s">
        <v>59</v>
      </c>
      <c r="AG1222" s="3" t="s">
        <v>49</v>
      </c>
      <c r="AH1222" s="3">
        <f>YEAR(SrcDB[[#This Row],[Datum_zverejnenia]])</f>
        <v>2024</v>
      </c>
      <c r="AI1222" s="3" cm="1">
        <f t="array" ref="AI1222">COUNT(_xlfn.UNIQUE(_xlfn._xlws.FILTER(SrcDB[ID],SrcDB[Objednavatel_ICO]=$H1222)))</f>
        <v>4</v>
      </c>
      <c r="AJ1222" s="3" cm="1">
        <f t="array" ref="AJ1222">COUNT(_xlfn.UNIQUE(_xlfn._xlws.FILTER(SrcDB[ID],SrcDB[Dodavatel_ICO]=$K1222)))</f>
        <v>14</v>
      </c>
      <c r="AK1222" s="3">
        <f t="shared" si="1358"/>
        <v>0</v>
      </c>
      <c r="AL1222" s="3">
        <f t="shared" si="1359"/>
        <v>0</v>
      </c>
      <c r="AM1222" s="17" t="str">
        <f>IF(SrcDB[[#This Row],[Pocet zmluv objednavatela]]&gt;3,SrcDB[[#This Row],[Objednavatel]],"Ostatné")</f>
        <v>Ministerstvo hospodárstva Slovenskej republiky</v>
      </c>
      <c r="AN1222" s="17" t="str">
        <f>IF(SrcDB[[#This Row],[Pocet zmluv dodavatela]]&gt;3,SrcDB[[#This Row],[Dodavatel]],"Ostatné")</f>
        <v>SOITRON, s.r.o.</v>
      </c>
    </row>
    <row r="1223" spans="1:40" x14ac:dyDescent="0.3">
      <c r="A1223" s="2" t="s">
        <v>1485</v>
      </c>
      <c r="B1223" s="2">
        <v>9996282</v>
      </c>
      <c r="C1223" s="3" t="str">
        <f t="shared" si="1352"/>
        <v>Nie</v>
      </c>
      <c r="D1223" s="3" t="str">
        <f t="shared" si="1353"/>
        <v>Áno</v>
      </c>
      <c r="E1223" s="3" t="s">
        <v>48</v>
      </c>
      <c r="F1223" s="3" t="s">
        <v>49</v>
      </c>
      <c r="G1223" s="2" t="str">
        <f t="shared" si="1354"/>
        <v>Stredné zmluvy</v>
      </c>
      <c r="H1223" s="5" t="s">
        <v>524</v>
      </c>
      <c r="I1223" s="2" t="s">
        <v>525</v>
      </c>
      <c r="J1223" s="2" t="s">
        <v>1486</v>
      </c>
      <c r="K1223" s="5">
        <v>35955678</v>
      </c>
      <c r="L1223" s="2" t="s">
        <v>179</v>
      </c>
      <c r="M1223" s="2" t="s">
        <v>180</v>
      </c>
      <c r="N1223" s="6">
        <v>45602</v>
      </c>
      <c r="O1223" s="4">
        <v>4690920</v>
      </c>
      <c r="P1223" s="2">
        <v>114499</v>
      </c>
      <c r="Q1223" s="2" t="s">
        <v>1487</v>
      </c>
      <c r="R1223" s="2" t="s">
        <v>1488</v>
      </c>
      <c r="S1223" s="2" t="s">
        <v>56</v>
      </c>
      <c r="T1223" s="2" t="s">
        <v>1491</v>
      </c>
      <c r="U1223" s="2" t="s">
        <v>113</v>
      </c>
      <c r="W1223" s="4">
        <v>750</v>
      </c>
      <c r="X1223" s="4">
        <f>SrcDB[[#This Row],[Cena bez DPH]]*1.2</f>
        <v>900</v>
      </c>
      <c r="Y1223" s="4">
        <f t="shared" ref="Y1223" si="1364">INDEX(InternalRates,MATCH($S1223,InternalRates01,FALSE),2)</f>
        <v>278.98333333333335</v>
      </c>
      <c r="Z1223" s="3" t="str">
        <f t="shared" si="1362"/>
        <v>Nie</v>
      </c>
      <c r="AA1223" s="3" t="str">
        <f t="shared" si="1363"/>
        <v>SLA</v>
      </c>
      <c r="AB1223" s="4">
        <v>120</v>
      </c>
      <c r="AC1223" s="4">
        <v>30</v>
      </c>
      <c r="AD1223" s="3" t="s">
        <v>48</v>
      </c>
      <c r="AE1223" s="6">
        <v>45679</v>
      </c>
      <c r="AF1223" s="3" t="s">
        <v>59</v>
      </c>
      <c r="AG1223" s="3" t="s">
        <v>49</v>
      </c>
      <c r="AH1223" s="3">
        <f>YEAR(SrcDB[[#This Row],[Datum_zverejnenia]])</f>
        <v>2024</v>
      </c>
      <c r="AI1223" s="3" cm="1">
        <f t="array" ref="AI1223">COUNT(_xlfn.UNIQUE(_xlfn._xlws.FILTER(SrcDB[ID],SrcDB[Objednavatel_ICO]=$H1223)))</f>
        <v>4</v>
      </c>
      <c r="AJ1223" s="3" cm="1">
        <f t="array" ref="AJ1223">COUNT(_xlfn.UNIQUE(_xlfn._xlws.FILTER(SrcDB[ID],SrcDB[Dodavatel_ICO]=$K1223)))</f>
        <v>14</v>
      </c>
      <c r="AK1223" s="3">
        <f t="shared" si="1358"/>
        <v>0</v>
      </c>
      <c r="AL1223" s="3">
        <f t="shared" si="1359"/>
        <v>0</v>
      </c>
      <c r="AM1223" s="17" t="str">
        <f>IF(SrcDB[[#This Row],[Pocet zmluv objednavatela]]&gt;3,SrcDB[[#This Row],[Objednavatel]],"Ostatné")</f>
        <v>Ministerstvo hospodárstva Slovenskej republiky</v>
      </c>
      <c r="AN1223" s="17" t="str">
        <f>IF(SrcDB[[#This Row],[Pocet zmluv dodavatela]]&gt;3,SrcDB[[#This Row],[Dodavatel]],"Ostatné")</f>
        <v>SOITRON, s.r.o.</v>
      </c>
    </row>
    <row r="1224" spans="1:40" x14ac:dyDescent="0.3">
      <c r="A1224" s="2" t="s">
        <v>1485</v>
      </c>
      <c r="B1224" s="2">
        <v>9996282</v>
      </c>
      <c r="C1224" s="3" t="str">
        <f t="shared" si="1352"/>
        <v>Nie</v>
      </c>
      <c r="D1224" s="3" t="str">
        <f t="shared" si="1353"/>
        <v>Áno</v>
      </c>
      <c r="E1224" s="3" t="s">
        <v>48</v>
      </c>
      <c r="F1224" s="3" t="s">
        <v>49</v>
      </c>
      <c r="G1224" s="2" t="str">
        <f t="shared" si="1354"/>
        <v>Stredné zmluvy</v>
      </c>
      <c r="H1224" s="5" t="s">
        <v>524</v>
      </c>
      <c r="I1224" s="2" t="s">
        <v>525</v>
      </c>
      <c r="J1224" s="2" t="s">
        <v>1486</v>
      </c>
      <c r="K1224" s="5">
        <v>35955678</v>
      </c>
      <c r="L1224" s="2" t="s">
        <v>179</v>
      </c>
      <c r="M1224" s="2" t="s">
        <v>180</v>
      </c>
      <c r="N1224" s="6">
        <v>45602</v>
      </c>
      <c r="O1224" s="4">
        <v>4690920</v>
      </c>
      <c r="P1224" s="2">
        <v>114499</v>
      </c>
      <c r="Q1224" s="2" t="s">
        <v>1487</v>
      </c>
      <c r="R1224" s="2" t="s">
        <v>1488</v>
      </c>
      <c r="S1224" s="2" t="s">
        <v>56</v>
      </c>
      <c r="T1224" s="2" t="s">
        <v>1492</v>
      </c>
      <c r="U1224" s="2" t="s">
        <v>95</v>
      </c>
      <c r="W1224" s="4">
        <v>750</v>
      </c>
      <c r="X1224" s="4">
        <f>SrcDB[[#This Row],[Cena bez DPH]]*1.2</f>
        <v>900</v>
      </c>
      <c r="Y1224" s="4">
        <f t="shared" ref="Y1224" si="1365">INDEX(InternalRates,MATCH($S1224,InternalRates01,FALSE),2)</f>
        <v>278.98333333333335</v>
      </c>
      <c r="Z1224" s="3" t="str">
        <f t="shared" si="1362"/>
        <v>Nie</v>
      </c>
      <c r="AA1224" s="3" t="str">
        <f t="shared" si="1363"/>
        <v>SLA</v>
      </c>
      <c r="AB1224" s="4">
        <v>120</v>
      </c>
      <c r="AC1224" s="4">
        <v>30</v>
      </c>
      <c r="AD1224" s="3" t="s">
        <v>48</v>
      </c>
      <c r="AE1224" s="6">
        <v>45679</v>
      </c>
      <c r="AF1224" s="3" t="s">
        <v>59</v>
      </c>
      <c r="AG1224" s="3" t="s">
        <v>49</v>
      </c>
      <c r="AH1224" s="3">
        <f>YEAR(SrcDB[[#This Row],[Datum_zverejnenia]])</f>
        <v>2024</v>
      </c>
      <c r="AI1224" s="3" cm="1">
        <f t="array" ref="AI1224">COUNT(_xlfn.UNIQUE(_xlfn._xlws.FILTER(SrcDB[ID],SrcDB[Objednavatel_ICO]=$H1224)))</f>
        <v>4</v>
      </c>
      <c r="AJ1224" s="3" cm="1">
        <f t="array" ref="AJ1224">COUNT(_xlfn.UNIQUE(_xlfn._xlws.FILTER(SrcDB[ID],SrcDB[Dodavatel_ICO]=$K1224)))</f>
        <v>14</v>
      </c>
      <c r="AK1224" s="3">
        <f t="shared" si="1358"/>
        <v>0</v>
      </c>
      <c r="AL1224" s="3">
        <f t="shared" si="1359"/>
        <v>0</v>
      </c>
      <c r="AM1224" s="17" t="str">
        <f>IF(SrcDB[[#This Row],[Pocet zmluv objednavatela]]&gt;3,SrcDB[[#This Row],[Objednavatel]],"Ostatné")</f>
        <v>Ministerstvo hospodárstva Slovenskej republiky</v>
      </c>
      <c r="AN1224" s="17" t="str">
        <f>IF(SrcDB[[#This Row],[Pocet zmluv dodavatela]]&gt;3,SrcDB[[#This Row],[Dodavatel]],"Ostatné")</f>
        <v>SOITRON, s.r.o.</v>
      </c>
    </row>
    <row r="1225" spans="1:40" x14ac:dyDescent="0.3">
      <c r="A1225" s="2" t="s">
        <v>1485</v>
      </c>
      <c r="B1225" s="2">
        <v>9996282</v>
      </c>
      <c r="C1225" s="3" t="str">
        <f t="shared" si="1352"/>
        <v>Nie</v>
      </c>
      <c r="D1225" s="3" t="str">
        <f t="shared" si="1353"/>
        <v>Áno</v>
      </c>
      <c r="E1225" s="3" t="s">
        <v>48</v>
      </c>
      <c r="F1225" s="3" t="s">
        <v>49</v>
      </c>
      <c r="G1225" s="2" t="str">
        <f t="shared" si="1354"/>
        <v>Stredné zmluvy</v>
      </c>
      <c r="H1225" s="5" t="s">
        <v>524</v>
      </c>
      <c r="I1225" s="2" t="s">
        <v>525</v>
      </c>
      <c r="J1225" s="2" t="s">
        <v>1486</v>
      </c>
      <c r="K1225" s="5">
        <v>35955678</v>
      </c>
      <c r="L1225" s="2" t="s">
        <v>179</v>
      </c>
      <c r="M1225" s="2" t="s">
        <v>180</v>
      </c>
      <c r="N1225" s="6">
        <v>45602</v>
      </c>
      <c r="O1225" s="4">
        <v>4690920</v>
      </c>
      <c r="P1225" s="2">
        <v>114499</v>
      </c>
      <c r="Q1225" s="2" t="s">
        <v>1487</v>
      </c>
      <c r="R1225" s="2" t="s">
        <v>1488</v>
      </c>
      <c r="S1225" s="2" t="s">
        <v>56</v>
      </c>
      <c r="T1225" s="2" t="s">
        <v>1493</v>
      </c>
      <c r="U1225" s="2" t="s">
        <v>58</v>
      </c>
      <c r="W1225" s="4">
        <v>680</v>
      </c>
      <c r="X1225" s="4">
        <f>SrcDB[[#This Row],[Cena bez DPH]]*1.2</f>
        <v>816</v>
      </c>
      <c r="Y1225" s="4">
        <f t="shared" ref="Y1225" si="1366">INDEX(InternalRates,MATCH($S1225,InternalRates01,FALSE),2)</f>
        <v>278.98333333333335</v>
      </c>
      <c r="Z1225" s="3" t="str">
        <f t="shared" si="1362"/>
        <v>Nie</v>
      </c>
      <c r="AA1225" s="3" t="str">
        <f t="shared" si="1363"/>
        <v>SLA</v>
      </c>
      <c r="AB1225" s="4">
        <v>60</v>
      </c>
      <c r="AC1225" s="4">
        <v>15</v>
      </c>
      <c r="AD1225" s="3" t="s">
        <v>48</v>
      </c>
      <c r="AE1225" s="6">
        <v>45679</v>
      </c>
      <c r="AF1225" s="3" t="s">
        <v>59</v>
      </c>
      <c r="AG1225" s="3" t="s">
        <v>49</v>
      </c>
      <c r="AH1225" s="3">
        <f>YEAR(SrcDB[[#This Row],[Datum_zverejnenia]])</f>
        <v>2024</v>
      </c>
      <c r="AI1225" s="3" cm="1">
        <f t="array" ref="AI1225">COUNT(_xlfn.UNIQUE(_xlfn._xlws.FILTER(SrcDB[ID],SrcDB[Objednavatel_ICO]=$H1225)))</f>
        <v>4</v>
      </c>
      <c r="AJ1225" s="3" cm="1">
        <f t="array" ref="AJ1225">COUNT(_xlfn.UNIQUE(_xlfn._xlws.FILTER(SrcDB[ID],SrcDB[Dodavatel_ICO]=$K1225)))</f>
        <v>14</v>
      </c>
      <c r="AK1225" s="3">
        <f t="shared" si="1358"/>
        <v>0</v>
      </c>
      <c r="AL1225" s="3">
        <f t="shared" si="1359"/>
        <v>0</v>
      </c>
      <c r="AM1225" s="17" t="str">
        <f>IF(SrcDB[[#This Row],[Pocet zmluv objednavatela]]&gt;3,SrcDB[[#This Row],[Objednavatel]],"Ostatné")</f>
        <v>Ministerstvo hospodárstva Slovenskej republiky</v>
      </c>
      <c r="AN1225" s="17" t="str">
        <f>IF(SrcDB[[#This Row],[Pocet zmluv dodavatela]]&gt;3,SrcDB[[#This Row],[Dodavatel]],"Ostatné")</f>
        <v>SOITRON, s.r.o.</v>
      </c>
    </row>
    <row r="1226" spans="1:40" x14ac:dyDescent="0.3">
      <c r="A1226" s="2" t="s">
        <v>1485</v>
      </c>
      <c r="B1226" s="2">
        <v>9996282</v>
      </c>
      <c r="C1226" s="3" t="str">
        <f t="shared" si="1352"/>
        <v>Nie</v>
      </c>
      <c r="D1226" s="3" t="str">
        <f t="shared" si="1353"/>
        <v>Áno</v>
      </c>
      <c r="E1226" s="3" t="s">
        <v>48</v>
      </c>
      <c r="F1226" s="3" t="s">
        <v>49</v>
      </c>
      <c r="G1226" s="2" t="str">
        <f t="shared" si="1354"/>
        <v>Stredné zmluvy</v>
      </c>
      <c r="H1226" s="5" t="s">
        <v>524</v>
      </c>
      <c r="I1226" s="2" t="s">
        <v>525</v>
      </c>
      <c r="J1226" s="2" t="s">
        <v>1486</v>
      </c>
      <c r="K1226" s="5">
        <v>35955678</v>
      </c>
      <c r="L1226" s="2" t="s">
        <v>179</v>
      </c>
      <c r="M1226" s="2" t="s">
        <v>180</v>
      </c>
      <c r="N1226" s="6">
        <v>45602</v>
      </c>
      <c r="O1226" s="4">
        <v>4690920</v>
      </c>
      <c r="P1226" s="2">
        <v>114499</v>
      </c>
      <c r="Q1226" s="2" t="s">
        <v>1487</v>
      </c>
      <c r="R1226" s="2" t="s">
        <v>1488</v>
      </c>
      <c r="S1226" s="2" t="s">
        <v>79</v>
      </c>
      <c r="T1226" s="2" t="s">
        <v>1494</v>
      </c>
      <c r="W1226" s="4">
        <v>500</v>
      </c>
      <c r="X1226" s="4">
        <f>SrcDB[[#This Row],[Cena bez DPH]]*1.2</f>
        <v>600</v>
      </c>
      <c r="Y1226" s="4">
        <f t="shared" ref="Y1226" si="1367">INDEX(InternalRates,MATCH($S1226,InternalRates01,FALSE),2)</f>
        <v>278.98333333333335</v>
      </c>
      <c r="Z1226" s="3" t="str">
        <f t="shared" si="1362"/>
        <v>Nie</v>
      </c>
      <c r="AA1226" s="3" t="str">
        <f t="shared" si="1363"/>
        <v>SLA</v>
      </c>
      <c r="AB1226" s="4">
        <v>200</v>
      </c>
      <c r="AC1226" s="4">
        <v>50</v>
      </c>
      <c r="AD1226" s="3" t="s">
        <v>48</v>
      </c>
      <c r="AE1226" s="6">
        <v>45679</v>
      </c>
      <c r="AF1226" s="3" t="s">
        <v>59</v>
      </c>
      <c r="AG1226" s="3" t="s">
        <v>49</v>
      </c>
      <c r="AH1226" s="3">
        <f>YEAR(SrcDB[[#This Row],[Datum_zverejnenia]])</f>
        <v>2024</v>
      </c>
      <c r="AI1226" s="3" cm="1">
        <f t="array" ref="AI1226">COUNT(_xlfn.UNIQUE(_xlfn._xlws.FILTER(SrcDB[ID],SrcDB[Objednavatel_ICO]=$H1226)))</f>
        <v>4</v>
      </c>
      <c r="AJ1226" s="3" cm="1">
        <f t="array" ref="AJ1226">COUNT(_xlfn.UNIQUE(_xlfn._xlws.FILTER(SrcDB[ID],SrcDB[Dodavatel_ICO]=$K1226)))</f>
        <v>14</v>
      </c>
      <c r="AK1226" s="3">
        <f t="shared" si="1358"/>
        <v>0</v>
      </c>
      <c r="AL1226" s="3">
        <f t="shared" si="1359"/>
        <v>0</v>
      </c>
      <c r="AM1226" s="17" t="str">
        <f>IF(SrcDB[[#This Row],[Pocet zmluv objednavatela]]&gt;3,SrcDB[[#This Row],[Objednavatel]],"Ostatné")</f>
        <v>Ministerstvo hospodárstva Slovenskej republiky</v>
      </c>
      <c r="AN1226" s="17" t="str">
        <f>IF(SrcDB[[#This Row],[Pocet zmluv dodavatela]]&gt;3,SrcDB[[#This Row],[Dodavatel]],"Ostatné")</f>
        <v>SOITRON, s.r.o.</v>
      </c>
    </row>
    <row r="1227" spans="1:40" x14ac:dyDescent="0.3">
      <c r="A1227" s="2" t="s">
        <v>1485</v>
      </c>
      <c r="B1227" s="2">
        <v>9996282</v>
      </c>
      <c r="C1227" s="3" t="str">
        <f t="shared" si="1352"/>
        <v>Nie</v>
      </c>
      <c r="D1227" s="3" t="str">
        <f t="shared" si="1353"/>
        <v>Áno</v>
      </c>
      <c r="E1227" s="3" t="s">
        <v>48</v>
      </c>
      <c r="F1227" s="3" t="s">
        <v>49</v>
      </c>
      <c r="G1227" s="2" t="str">
        <f t="shared" si="1354"/>
        <v>Stredné zmluvy</v>
      </c>
      <c r="H1227" s="5" t="s">
        <v>524</v>
      </c>
      <c r="I1227" s="2" t="s">
        <v>525</v>
      </c>
      <c r="J1227" s="2" t="s">
        <v>1486</v>
      </c>
      <c r="K1227" s="5">
        <v>35955678</v>
      </c>
      <c r="L1227" s="2" t="s">
        <v>179</v>
      </c>
      <c r="M1227" s="2" t="s">
        <v>180</v>
      </c>
      <c r="N1227" s="6">
        <v>45602</v>
      </c>
      <c r="O1227" s="4">
        <v>4690920</v>
      </c>
      <c r="P1227" s="2">
        <v>114499</v>
      </c>
      <c r="Q1227" s="2" t="s">
        <v>1487</v>
      </c>
      <c r="R1227" s="2" t="s">
        <v>1488</v>
      </c>
      <c r="S1227" s="2" t="s">
        <v>56</v>
      </c>
      <c r="T1227" s="2" t="s">
        <v>1495</v>
      </c>
      <c r="U1227" s="2" t="s">
        <v>95</v>
      </c>
      <c r="W1227" s="4">
        <v>550</v>
      </c>
      <c r="X1227" s="4">
        <f>SrcDB[[#This Row],[Cena bez DPH]]*1.2</f>
        <v>660</v>
      </c>
      <c r="Y1227" s="4">
        <f t="shared" ref="Y1227" si="1368">INDEX(InternalRates,MATCH($S1227,InternalRates01,FALSE),2)</f>
        <v>278.98333333333335</v>
      </c>
      <c r="Z1227" s="3" t="str">
        <f t="shared" si="1362"/>
        <v>Nie</v>
      </c>
      <c r="AA1227" s="3" t="str">
        <f t="shared" si="1363"/>
        <v>SLA</v>
      </c>
      <c r="AB1227" s="4">
        <v>80</v>
      </c>
      <c r="AC1227" s="4">
        <v>20</v>
      </c>
      <c r="AD1227" s="3" t="s">
        <v>48</v>
      </c>
      <c r="AE1227" s="6">
        <v>45679</v>
      </c>
      <c r="AF1227" s="3" t="s">
        <v>59</v>
      </c>
      <c r="AG1227" s="3" t="s">
        <v>49</v>
      </c>
      <c r="AH1227" s="3">
        <f>YEAR(SrcDB[[#This Row],[Datum_zverejnenia]])</f>
        <v>2024</v>
      </c>
      <c r="AI1227" s="3" cm="1">
        <f t="array" ref="AI1227">COUNT(_xlfn.UNIQUE(_xlfn._xlws.FILTER(SrcDB[ID],SrcDB[Objednavatel_ICO]=$H1227)))</f>
        <v>4</v>
      </c>
      <c r="AJ1227" s="3" cm="1">
        <f t="array" ref="AJ1227">COUNT(_xlfn.UNIQUE(_xlfn._xlws.FILTER(SrcDB[ID],SrcDB[Dodavatel_ICO]=$K1227)))</f>
        <v>14</v>
      </c>
      <c r="AK1227" s="3">
        <f t="shared" si="1358"/>
        <v>0</v>
      </c>
      <c r="AL1227" s="3">
        <f t="shared" si="1359"/>
        <v>0</v>
      </c>
      <c r="AM1227" s="17" t="str">
        <f>IF(SrcDB[[#This Row],[Pocet zmluv objednavatela]]&gt;3,SrcDB[[#This Row],[Objednavatel]],"Ostatné")</f>
        <v>Ministerstvo hospodárstva Slovenskej republiky</v>
      </c>
      <c r="AN1227" s="17" t="str">
        <f>IF(SrcDB[[#This Row],[Pocet zmluv dodavatela]]&gt;3,SrcDB[[#This Row],[Dodavatel]],"Ostatné")</f>
        <v>SOITRON, s.r.o.</v>
      </c>
    </row>
    <row r="1228" spans="1:40" x14ac:dyDescent="0.3">
      <c r="A1228" s="2" t="s">
        <v>1485</v>
      </c>
      <c r="B1228" s="2">
        <v>9996282</v>
      </c>
      <c r="C1228" s="3" t="str">
        <f t="shared" si="1352"/>
        <v>Nie</v>
      </c>
      <c r="D1228" s="3" t="str">
        <f t="shared" si="1353"/>
        <v>Áno</v>
      </c>
      <c r="E1228" s="3" t="s">
        <v>48</v>
      </c>
      <c r="F1228" s="3" t="s">
        <v>49</v>
      </c>
      <c r="G1228" s="2" t="str">
        <f t="shared" si="1354"/>
        <v>Stredné zmluvy</v>
      </c>
      <c r="H1228" s="5" t="s">
        <v>524</v>
      </c>
      <c r="I1228" s="2" t="s">
        <v>525</v>
      </c>
      <c r="J1228" s="2" t="s">
        <v>1486</v>
      </c>
      <c r="K1228" s="5">
        <v>35955678</v>
      </c>
      <c r="L1228" s="2" t="s">
        <v>179</v>
      </c>
      <c r="M1228" s="2" t="s">
        <v>180</v>
      </c>
      <c r="N1228" s="6">
        <v>45602</v>
      </c>
      <c r="O1228" s="4">
        <v>4690920</v>
      </c>
      <c r="P1228" s="2">
        <v>114499</v>
      </c>
      <c r="Q1228" s="2" t="s">
        <v>1487</v>
      </c>
      <c r="R1228" s="2" t="s">
        <v>1488</v>
      </c>
      <c r="S1228" s="2" t="s">
        <v>56</v>
      </c>
      <c r="T1228" s="2" t="s">
        <v>1496</v>
      </c>
      <c r="U1228" s="2" t="s">
        <v>97</v>
      </c>
      <c r="W1228" s="4">
        <v>680</v>
      </c>
      <c r="X1228" s="4">
        <f>SrcDB[[#This Row],[Cena bez DPH]]*1.2</f>
        <v>816</v>
      </c>
      <c r="Y1228" s="4">
        <f t="shared" ref="Y1228" si="1369">INDEX(InternalRates,MATCH($S1228,InternalRates01,FALSE),2)</f>
        <v>278.98333333333335</v>
      </c>
      <c r="Z1228" s="3" t="str">
        <f t="shared" si="1362"/>
        <v>Nie</v>
      </c>
      <c r="AA1228" s="3" t="str">
        <f t="shared" si="1363"/>
        <v>SLA</v>
      </c>
      <c r="AB1228" s="4">
        <v>450</v>
      </c>
      <c r="AC1228" s="4">
        <v>112.5</v>
      </c>
      <c r="AD1228" s="3" t="s">
        <v>48</v>
      </c>
      <c r="AE1228" s="6">
        <v>45679</v>
      </c>
      <c r="AF1228" s="3" t="s">
        <v>59</v>
      </c>
      <c r="AG1228" s="3" t="s">
        <v>49</v>
      </c>
      <c r="AH1228" s="3">
        <f>YEAR(SrcDB[[#This Row],[Datum_zverejnenia]])</f>
        <v>2024</v>
      </c>
      <c r="AI1228" s="3" cm="1">
        <f t="array" ref="AI1228">COUNT(_xlfn.UNIQUE(_xlfn._xlws.FILTER(SrcDB[ID],SrcDB[Objednavatel_ICO]=$H1228)))</f>
        <v>4</v>
      </c>
      <c r="AJ1228" s="3" cm="1">
        <f t="array" ref="AJ1228">COUNT(_xlfn.UNIQUE(_xlfn._xlws.FILTER(SrcDB[ID],SrcDB[Dodavatel_ICO]=$K1228)))</f>
        <v>14</v>
      </c>
      <c r="AK1228" s="3">
        <f t="shared" si="1358"/>
        <v>0</v>
      </c>
      <c r="AL1228" s="3">
        <f t="shared" si="1359"/>
        <v>0</v>
      </c>
      <c r="AM1228" s="17" t="str">
        <f>IF(SrcDB[[#This Row],[Pocet zmluv objednavatela]]&gt;3,SrcDB[[#This Row],[Objednavatel]],"Ostatné")</f>
        <v>Ministerstvo hospodárstva Slovenskej republiky</v>
      </c>
      <c r="AN1228" s="17" t="str">
        <f>IF(SrcDB[[#This Row],[Pocet zmluv dodavatela]]&gt;3,SrcDB[[#This Row],[Dodavatel]],"Ostatné")</f>
        <v>SOITRON, s.r.o.</v>
      </c>
    </row>
    <row r="1229" spans="1:40" x14ac:dyDescent="0.3">
      <c r="A1229" s="2" t="s">
        <v>1485</v>
      </c>
      <c r="B1229" s="2">
        <v>9996282</v>
      </c>
      <c r="C1229" s="3" t="str">
        <f t="shared" si="1352"/>
        <v>Nie</v>
      </c>
      <c r="D1229" s="3" t="str">
        <f t="shared" si="1353"/>
        <v>Áno</v>
      </c>
      <c r="E1229" s="3" t="s">
        <v>48</v>
      </c>
      <c r="F1229" s="3" t="s">
        <v>49</v>
      </c>
      <c r="G1229" s="2" t="str">
        <f t="shared" si="1354"/>
        <v>Stredné zmluvy</v>
      </c>
      <c r="H1229" s="5" t="s">
        <v>524</v>
      </c>
      <c r="I1229" s="2" t="s">
        <v>525</v>
      </c>
      <c r="J1229" s="2" t="s">
        <v>1486</v>
      </c>
      <c r="K1229" s="5">
        <v>35955678</v>
      </c>
      <c r="L1229" s="2" t="s">
        <v>179</v>
      </c>
      <c r="M1229" s="2" t="s">
        <v>180</v>
      </c>
      <c r="N1229" s="6">
        <v>45602</v>
      </c>
      <c r="O1229" s="4">
        <v>4690920</v>
      </c>
      <c r="P1229" s="2">
        <v>114499</v>
      </c>
      <c r="Q1229" s="2" t="s">
        <v>1487</v>
      </c>
      <c r="R1229" s="2" t="s">
        <v>1488</v>
      </c>
      <c r="S1229" s="2" t="s">
        <v>56</v>
      </c>
      <c r="T1229" s="2" t="s">
        <v>1497</v>
      </c>
      <c r="U1229" s="2" t="s">
        <v>289</v>
      </c>
      <c r="W1229" s="4">
        <v>770</v>
      </c>
      <c r="X1229" s="4">
        <f>SrcDB[[#This Row],[Cena bez DPH]]*1.2</f>
        <v>924</v>
      </c>
      <c r="Y1229" s="4">
        <f t="shared" ref="Y1229" si="1370">INDEX(InternalRates,MATCH($S1229,InternalRates01,FALSE),2)</f>
        <v>278.98333333333335</v>
      </c>
      <c r="Z1229" s="3" t="str">
        <f t="shared" si="1362"/>
        <v>Nie</v>
      </c>
      <c r="AA1229" s="3" t="str">
        <f t="shared" si="1363"/>
        <v>SLA</v>
      </c>
      <c r="AB1229" s="4">
        <v>550</v>
      </c>
      <c r="AC1229" s="4">
        <v>137.5</v>
      </c>
      <c r="AD1229" s="3" t="s">
        <v>48</v>
      </c>
      <c r="AE1229" s="6">
        <v>45679</v>
      </c>
      <c r="AF1229" s="3" t="s">
        <v>59</v>
      </c>
      <c r="AG1229" s="3" t="s">
        <v>49</v>
      </c>
      <c r="AH1229" s="3">
        <f>YEAR(SrcDB[[#This Row],[Datum_zverejnenia]])</f>
        <v>2024</v>
      </c>
      <c r="AI1229" s="3" cm="1">
        <f t="array" ref="AI1229">COUNT(_xlfn.UNIQUE(_xlfn._xlws.FILTER(SrcDB[ID],SrcDB[Objednavatel_ICO]=$H1229)))</f>
        <v>4</v>
      </c>
      <c r="AJ1229" s="3" cm="1">
        <f t="array" ref="AJ1229">COUNT(_xlfn.UNIQUE(_xlfn._xlws.FILTER(SrcDB[ID],SrcDB[Dodavatel_ICO]=$K1229)))</f>
        <v>14</v>
      </c>
      <c r="AK1229" s="3">
        <f t="shared" si="1358"/>
        <v>0</v>
      </c>
      <c r="AL1229" s="3">
        <f t="shared" si="1359"/>
        <v>0</v>
      </c>
      <c r="AM1229" s="17" t="str">
        <f>IF(SrcDB[[#This Row],[Pocet zmluv objednavatela]]&gt;3,SrcDB[[#This Row],[Objednavatel]],"Ostatné")</f>
        <v>Ministerstvo hospodárstva Slovenskej republiky</v>
      </c>
      <c r="AN1229" s="17" t="str">
        <f>IF(SrcDB[[#This Row],[Pocet zmluv dodavatela]]&gt;3,SrcDB[[#This Row],[Dodavatel]],"Ostatné")</f>
        <v>SOITRON, s.r.o.</v>
      </c>
    </row>
    <row r="1230" spans="1:40" x14ac:dyDescent="0.3">
      <c r="A1230" s="2" t="s">
        <v>1485</v>
      </c>
      <c r="B1230" s="2">
        <v>9996282</v>
      </c>
      <c r="C1230" s="3" t="str">
        <f t="shared" si="1352"/>
        <v>Nie</v>
      </c>
      <c r="D1230" s="3" t="str">
        <f t="shared" si="1353"/>
        <v>Áno</v>
      </c>
      <c r="E1230" s="3" t="s">
        <v>48</v>
      </c>
      <c r="F1230" s="3" t="s">
        <v>49</v>
      </c>
      <c r="G1230" s="2" t="str">
        <f t="shared" si="1354"/>
        <v>Stredné zmluvy</v>
      </c>
      <c r="H1230" s="5" t="s">
        <v>524</v>
      </c>
      <c r="I1230" s="2" t="s">
        <v>525</v>
      </c>
      <c r="J1230" s="2" t="s">
        <v>1486</v>
      </c>
      <c r="K1230" s="5">
        <v>35955678</v>
      </c>
      <c r="L1230" s="2" t="s">
        <v>179</v>
      </c>
      <c r="M1230" s="2" t="s">
        <v>180</v>
      </c>
      <c r="N1230" s="6">
        <v>45602</v>
      </c>
      <c r="O1230" s="4">
        <v>4690920</v>
      </c>
      <c r="P1230" s="2">
        <v>114499</v>
      </c>
      <c r="Q1230" s="2" t="s">
        <v>1487</v>
      </c>
      <c r="R1230" s="2" t="s">
        <v>1488</v>
      </c>
      <c r="S1230" s="2" t="s">
        <v>56</v>
      </c>
      <c r="T1230" s="2" t="s">
        <v>1498</v>
      </c>
      <c r="U1230" s="2" t="s">
        <v>58</v>
      </c>
      <c r="W1230" s="4">
        <v>770</v>
      </c>
      <c r="X1230" s="4">
        <f>SrcDB[[#This Row],[Cena bez DPH]]*1.2</f>
        <v>924</v>
      </c>
      <c r="Y1230" s="4">
        <f t="shared" ref="Y1230" si="1371">INDEX(InternalRates,MATCH($S1230,InternalRates01,FALSE),2)</f>
        <v>278.98333333333335</v>
      </c>
      <c r="Z1230" s="3" t="str">
        <f t="shared" si="1362"/>
        <v>Nie</v>
      </c>
      <c r="AA1230" s="3" t="str">
        <f t="shared" si="1363"/>
        <v>SLA</v>
      </c>
      <c r="AB1230" s="4">
        <v>200</v>
      </c>
      <c r="AC1230" s="4">
        <v>50</v>
      </c>
      <c r="AD1230" s="3" t="s">
        <v>48</v>
      </c>
      <c r="AE1230" s="6">
        <v>45679</v>
      </c>
      <c r="AF1230" s="3" t="s">
        <v>59</v>
      </c>
      <c r="AG1230" s="3" t="s">
        <v>49</v>
      </c>
      <c r="AH1230" s="3">
        <f>YEAR(SrcDB[[#This Row],[Datum_zverejnenia]])</f>
        <v>2024</v>
      </c>
      <c r="AI1230" s="3" cm="1">
        <f t="array" ref="AI1230">COUNT(_xlfn.UNIQUE(_xlfn._xlws.FILTER(SrcDB[ID],SrcDB[Objednavatel_ICO]=$H1230)))</f>
        <v>4</v>
      </c>
      <c r="AJ1230" s="3" cm="1">
        <f t="array" ref="AJ1230">COUNT(_xlfn.UNIQUE(_xlfn._xlws.FILTER(SrcDB[ID],SrcDB[Dodavatel_ICO]=$K1230)))</f>
        <v>14</v>
      </c>
      <c r="AK1230" s="3">
        <f t="shared" si="1358"/>
        <v>0</v>
      </c>
      <c r="AL1230" s="3">
        <f t="shared" si="1359"/>
        <v>0</v>
      </c>
      <c r="AM1230" s="17" t="str">
        <f>IF(SrcDB[[#This Row],[Pocet zmluv objednavatela]]&gt;3,SrcDB[[#This Row],[Objednavatel]],"Ostatné")</f>
        <v>Ministerstvo hospodárstva Slovenskej republiky</v>
      </c>
      <c r="AN1230" s="17" t="str">
        <f>IF(SrcDB[[#This Row],[Pocet zmluv dodavatela]]&gt;3,SrcDB[[#This Row],[Dodavatel]],"Ostatné")</f>
        <v>SOITRON, s.r.o.</v>
      </c>
    </row>
    <row r="1231" spans="1:40" x14ac:dyDescent="0.3">
      <c r="A1231" s="2" t="s">
        <v>176</v>
      </c>
      <c r="B1231" s="2">
        <v>9763111</v>
      </c>
      <c r="C1231" s="3" t="str">
        <f t="shared" si="1352"/>
        <v>Áno</v>
      </c>
      <c r="D1231" s="3" t="str">
        <f t="shared" si="1353"/>
        <v>Nie</v>
      </c>
      <c r="E1231" s="3" t="s">
        <v>49</v>
      </c>
      <c r="F1231" s="3" t="s">
        <v>48</v>
      </c>
      <c r="G1231" s="2" t="str">
        <f t="shared" si="1354"/>
        <v>Malé zmluvy</v>
      </c>
      <c r="H1231" s="5">
        <v>36063606</v>
      </c>
      <c r="I1231" s="2" t="s">
        <v>907</v>
      </c>
      <c r="J1231" s="2" t="s">
        <v>908</v>
      </c>
      <c r="K1231" s="5" t="s">
        <v>1499</v>
      </c>
      <c r="L1231" s="2" t="s">
        <v>1500</v>
      </c>
      <c r="M1231" s="2" t="s">
        <v>1501</v>
      </c>
      <c r="N1231" s="6">
        <v>45551</v>
      </c>
      <c r="O1231" s="4">
        <v>388780.44</v>
      </c>
      <c r="P1231" s="2">
        <v>6215909</v>
      </c>
      <c r="Q1231" s="2" t="s">
        <v>1502</v>
      </c>
      <c r="R1231" s="2" t="s">
        <v>1503</v>
      </c>
      <c r="S1231" s="2" t="s">
        <v>73</v>
      </c>
      <c r="T1231" s="2" t="s">
        <v>1394</v>
      </c>
      <c r="W1231" s="4">
        <v>850</v>
      </c>
      <c r="X1231" s="4">
        <f>SrcDB[[#This Row],[Cena bez DPH]]*1.2</f>
        <v>1020</v>
      </c>
      <c r="Y1231" s="4">
        <f t="shared" ref="Y1231" si="1372">INDEX(InternalRates,MATCH($S1231,InternalRates01,FALSE),2)</f>
        <v>278.98333333333335</v>
      </c>
      <c r="Z1231" s="3" t="str">
        <f t="shared" si="1362"/>
        <v>Nie</v>
      </c>
      <c r="AA1231" s="3" t="str">
        <f t="shared" si="1363"/>
        <v>ZoD</v>
      </c>
      <c r="AB1231" s="4">
        <v>50.5</v>
      </c>
      <c r="AC1231" s="4">
        <f>SrcDB[[#This Row],[Množstvo práce]]/(165/365)</f>
        <v>111.71212121212122</v>
      </c>
      <c r="AD1231" s="3" t="s">
        <v>49</v>
      </c>
      <c r="AE1231" s="6">
        <v>45679</v>
      </c>
      <c r="AF1231" s="3" t="s">
        <v>59</v>
      </c>
      <c r="AG1231" s="3" t="s">
        <v>49</v>
      </c>
      <c r="AH1231" s="3">
        <f>YEAR(SrcDB[[#This Row],[Datum_zverejnenia]])</f>
        <v>2024</v>
      </c>
      <c r="AI1231" s="3" cm="1">
        <f t="array" ref="AI1231">COUNT(_xlfn.UNIQUE(_xlfn._xlws.FILTER(SrcDB[ID],SrcDB[Objednavatel_ICO]=$H1231)))</f>
        <v>3</v>
      </c>
      <c r="AJ1231" s="3" cm="1">
        <f t="array" ref="AJ1231">COUNT(_xlfn.UNIQUE(_xlfn._xlws.FILTER(SrcDB[ID],SrcDB[Dodavatel_ICO]=$K1231)))</f>
        <v>3</v>
      </c>
      <c r="AK1231" s="3">
        <f t="shared" si="1358"/>
        <v>1</v>
      </c>
      <c r="AL1231" s="3">
        <f t="shared" si="1359"/>
        <v>1</v>
      </c>
      <c r="AM1231" s="17" t="str">
        <f>IF(SrcDB[[#This Row],[Pocet zmluv objednavatela]]&gt;3,SrcDB[[#This Row],[Objednavatel]],"Ostatné")</f>
        <v>Ostatné</v>
      </c>
      <c r="AN1231" s="17" t="str">
        <f>IF(SrcDB[[#This Row],[Pocet zmluv dodavatela]]&gt;3,SrcDB[[#This Row],[Dodavatel]],"Ostatné")</f>
        <v>Ostatné</v>
      </c>
    </row>
    <row r="1232" spans="1:40" x14ac:dyDescent="0.3">
      <c r="A1232" s="2" t="s">
        <v>176</v>
      </c>
      <c r="B1232" s="2">
        <v>9763111</v>
      </c>
      <c r="C1232" s="3" t="str">
        <f t="shared" si="1352"/>
        <v>Áno</v>
      </c>
      <c r="D1232" s="3" t="str">
        <f t="shared" si="1353"/>
        <v>Nie</v>
      </c>
      <c r="E1232" s="3" t="s">
        <v>49</v>
      </c>
      <c r="F1232" s="3" t="s">
        <v>48</v>
      </c>
      <c r="G1232" s="2" t="str">
        <f t="shared" si="1354"/>
        <v>Malé zmluvy</v>
      </c>
      <c r="H1232" s="5">
        <v>36063606</v>
      </c>
      <c r="I1232" s="2" t="s">
        <v>907</v>
      </c>
      <c r="J1232" s="2" t="s">
        <v>908</v>
      </c>
      <c r="K1232" s="5" t="s">
        <v>1499</v>
      </c>
      <c r="L1232" s="2" t="s">
        <v>1500</v>
      </c>
      <c r="M1232" s="2" t="s">
        <v>1501</v>
      </c>
      <c r="N1232" s="6">
        <v>45551</v>
      </c>
      <c r="O1232" s="4">
        <v>388780.44</v>
      </c>
      <c r="P1232" s="2">
        <v>6215909</v>
      </c>
      <c r="Q1232" s="2" t="s">
        <v>1502</v>
      </c>
      <c r="R1232" s="2" t="s">
        <v>1503</v>
      </c>
      <c r="S1232" s="2" t="s">
        <v>183</v>
      </c>
      <c r="T1232" s="2" t="s">
        <v>1504</v>
      </c>
      <c r="W1232" s="4">
        <v>770</v>
      </c>
      <c r="X1232" s="4">
        <f>SrcDB[[#This Row],[Cena bez DPH]]*1.2</f>
        <v>924</v>
      </c>
      <c r="Y1232" s="4">
        <f t="shared" ref="Y1232" si="1373">INDEX(InternalRates,MATCH($S1232,InternalRates01,FALSE),2)</f>
        <v>278.98333333333335</v>
      </c>
      <c r="Z1232" s="3" t="str">
        <f t="shared" si="1362"/>
        <v>Nie</v>
      </c>
      <c r="AA1232" s="3" t="str">
        <f t="shared" si="1363"/>
        <v>ZoD</v>
      </c>
      <c r="AB1232" s="4">
        <f>269.5+25.5+8.5</f>
        <v>303.5</v>
      </c>
      <c r="AC1232" s="4">
        <f>SrcDB[[#This Row],[Množstvo práce]]/(165/365)</f>
        <v>671.37878787878788</v>
      </c>
      <c r="AD1232" s="3" t="s">
        <v>49</v>
      </c>
      <c r="AE1232" s="6">
        <v>45679</v>
      </c>
      <c r="AF1232" s="3" t="s">
        <v>59</v>
      </c>
      <c r="AG1232" s="3" t="s">
        <v>49</v>
      </c>
      <c r="AH1232" s="3">
        <f>YEAR(SrcDB[[#This Row],[Datum_zverejnenia]])</f>
        <v>2024</v>
      </c>
      <c r="AI1232" s="3" cm="1">
        <f t="array" ref="AI1232">COUNT(_xlfn.UNIQUE(_xlfn._xlws.FILTER(SrcDB[ID],SrcDB[Objednavatel_ICO]=$H1232)))</f>
        <v>3</v>
      </c>
      <c r="AJ1232" s="3" cm="1">
        <f t="array" ref="AJ1232">COUNT(_xlfn.UNIQUE(_xlfn._xlws.FILTER(SrcDB[ID],SrcDB[Dodavatel_ICO]=$K1232)))</f>
        <v>3</v>
      </c>
      <c r="AK1232" s="3">
        <f t="shared" si="1358"/>
        <v>0</v>
      </c>
      <c r="AL1232" s="3">
        <f t="shared" si="1359"/>
        <v>0</v>
      </c>
      <c r="AM1232" s="17" t="str">
        <f>IF(SrcDB[[#This Row],[Pocet zmluv objednavatela]]&gt;3,SrcDB[[#This Row],[Objednavatel]],"Ostatné")</f>
        <v>Ostatné</v>
      </c>
      <c r="AN1232" s="17" t="str">
        <f>IF(SrcDB[[#This Row],[Pocet zmluv dodavatela]]&gt;3,SrcDB[[#This Row],[Dodavatel]],"Ostatné")</f>
        <v>Ostatné</v>
      </c>
    </row>
    <row r="1233" spans="1:40" x14ac:dyDescent="0.3">
      <c r="A1233" s="2" t="s">
        <v>176</v>
      </c>
      <c r="B1233" s="2">
        <v>9763111</v>
      </c>
      <c r="C1233" s="3" t="str">
        <f t="shared" si="1352"/>
        <v>Áno</v>
      </c>
      <c r="D1233" s="3" t="str">
        <f t="shared" si="1353"/>
        <v>Nie</v>
      </c>
      <c r="E1233" s="3" t="s">
        <v>49</v>
      </c>
      <c r="F1233" s="3" t="s">
        <v>48</v>
      </c>
      <c r="G1233" s="2" t="str">
        <f t="shared" si="1354"/>
        <v>Malé zmluvy</v>
      </c>
      <c r="H1233" s="5">
        <v>36063606</v>
      </c>
      <c r="I1233" s="2" t="s">
        <v>907</v>
      </c>
      <c r="J1233" s="2" t="s">
        <v>908</v>
      </c>
      <c r="K1233" s="5" t="s">
        <v>1499</v>
      </c>
      <c r="L1233" s="2" t="s">
        <v>1500</v>
      </c>
      <c r="M1233" s="2" t="s">
        <v>1501</v>
      </c>
      <c r="N1233" s="6">
        <v>45551</v>
      </c>
      <c r="O1233" s="4">
        <v>388780.44</v>
      </c>
      <c r="P1233" s="2">
        <v>6215909</v>
      </c>
      <c r="Q1233" s="2" t="s">
        <v>1502</v>
      </c>
      <c r="R1233" s="2" t="s">
        <v>1503</v>
      </c>
      <c r="S1233" s="2" t="s">
        <v>183</v>
      </c>
      <c r="T1233" s="2" t="s">
        <v>1505</v>
      </c>
      <c r="W1233" s="4">
        <v>608.25</v>
      </c>
      <c r="X1233" s="4">
        <f>SrcDB[[#This Row],[Cena bez DPH]]*1.2</f>
        <v>729.9</v>
      </c>
      <c r="Y1233" s="4">
        <f t="shared" ref="Y1233" si="1374">INDEX(InternalRates,MATCH($S1233,InternalRates01,FALSE),2)</f>
        <v>278.98333333333335</v>
      </c>
      <c r="Z1233" s="3" t="str">
        <f t="shared" si="1362"/>
        <v>Nie</v>
      </c>
      <c r="AA1233" s="3" t="str">
        <f t="shared" si="1363"/>
        <v>ZoD</v>
      </c>
      <c r="AB1233" s="4">
        <v>300</v>
      </c>
      <c r="AC1233" s="4">
        <f>SrcDB[[#This Row],[Množstvo práce]]/(165/365)</f>
        <v>663.63636363636363</v>
      </c>
      <c r="AD1233" s="3" t="s">
        <v>49</v>
      </c>
      <c r="AE1233" s="6">
        <v>45679</v>
      </c>
      <c r="AF1233" s="3" t="s">
        <v>59</v>
      </c>
      <c r="AG1233" s="3" t="s">
        <v>49</v>
      </c>
      <c r="AH1233" s="3">
        <f>YEAR(SrcDB[[#This Row],[Datum_zverejnenia]])</f>
        <v>2024</v>
      </c>
      <c r="AI1233" s="3" cm="1">
        <f t="array" ref="AI1233">COUNT(_xlfn.UNIQUE(_xlfn._xlws.FILTER(SrcDB[ID],SrcDB[Objednavatel_ICO]=$H1233)))</f>
        <v>3</v>
      </c>
      <c r="AJ1233" s="3" cm="1">
        <f t="array" ref="AJ1233">COUNT(_xlfn.UNIQUE(_xlfn._xlws.FILTER(SrcDB[ID],SrcDB[Dodavatel_ICO]=$K1233)))</f>
        <v>3</v>
      </c>
      <c r="AK1233" s="3">
        <f t="shared" si="1358"/>
        <v>0</v>
      </c>
      <c r="AL1233" s="3">
        <f t="shared" si="1359"/>
        <v>0</v>
      </c>
      <c r="AM1233" s="17" t="str">
        <f>IF(SrcDB[[#This Row],[Pocet zmluv objednavatela]]&gt;3,SrcDB[[#This Row],[Objednavatel]],"Ostatné")</f>
        <v>Ostatné</v>
      </c>
      <c r="AN1233" s="17" t="str">
        <f>IF(SrcDB[[#This Row],[Pocet zmluv dodavatela]]&gt;3,SrcDB[[#This Row],[Dodavatel]],"Ostatné")</f>
        <v>Ostatné</v>
      </c>
    </row>
    <row r="1234" spans="1:40" x14ac:dyDescent="0.3">
      <c r="A1234" s="2" t="s">
        <v>1506</v>
      </c>
      <c r="B1234" s="2">
        <v>9850698</v>
      </c>
      <c r="C1234" s="3" t="str">
        <f t="shared" si="1352"/>
        <v>Nejasné</v>
      </c>
      <c r="D1234" s="3" t="str">
        <f t="shared" si="1353"/>
        <v>Nejasné</v>
      </c>
      <c r="E1234" s="3" t="s">
        <v>48</v>
      </c>
      <c r="F1234" s="3" t="s">
        <v>49</v>
      </c>
      <c r="G1234" s="2" t="str">
        <f t="shared" si="1354"/>
        <v>Veľké zmluvy</v>
      </c>
      <c r="H1234" s="5" t="s">
        <v>231</v>
      </c>
      <c r="I1234" s="2" t="s">
        <v>232</v>
      </c>
      <c r="J1234" s="2" t="s">
        <v>233</v>
      </c>
      <c r="K1234" s="5" t="s">
        <v>1507</v>
      </c>
      <c r="L1234" s="2" t="s">
        <v>1508</v>
      </c>
      <c r="M1234" s="2" t="s">
        <v>1509</v>
      </c>
      <c r="N1234" s="6">
        <v>45569</v>
      </c>
      <c r="O1234" s="4">
        <v>21230559.600000001</v>
      </c>
      <c r="P1234" s="2">
        <v>114497</v>
      </c>
      <c r="Q1234" s="2" t="s">
        <v>1510</v>
      </c>
      <c r="R1234" s="2" t="s">
        <v>1511</v>
      </c>
      <c r="S1234" s="2" t="s">
        <v>183</v>
      </c>
      <c r="T1234" s="2" t="s">
        <v>1512</v>
      </c>
      <c r="W1234" s="4">
        <f>76*8</f>
        <v>608</v>
      </c>
      <c r="X1234" s="4">
        <f>SrcDB[[#This Row],[Cena bez DPH]]*1.2</f>
        <v>729.6</v>
      </c>
      <c r="Y1234" s="4">
        <f t="shared" ref="Y1234" si="1375">INDEX(InternalRates,MATCH($S1234,InternalRates01,FALSE),2)</f>
        <v>278.98333333333335</v>
      </c>
      <c r="Z1234" s="3" t="str">
        <f t="shared" si="1362"/>
        <v>Nie</v>
      </c>
      <c r="AA1234" s="3" t="str">
        <f t="shared" si="1363"/>
        <v>SLA</v>
      </c>
      <c r="AB1234" s="4">
        <f>17000/8</f>
        <v>2125</v>
      </c>
      <c r="AC1234" s="4">
        <f>SrcDB[[#This Row],[Množstvo práce]]/3</f>
        <v>708.33333333333337</v>
      </c>
      <c r="AD1234" s="3" t="s">
        <v>48</v>
      </c>
      <c r="AE1234" s="6">
        <v>45679</v>
      </c>
      <c r="AF1234" s="3" t="s">
        <v>59</v>
      </c>
      <c r="AG1234" s="3" t="s">
        <v>48</v>
      </c>
      <c r="AH1234" s="3">
        <f>YEAR(SrcDB[[#This Row],[Datum_zverejnenia]])</f>
        <v>2024</v>
      </c>
      <c r="AI1234" s="3" cm="1">
        <f t="array" ref="AI1234">COUNT(_xlfn.UNIQUE(_xlfn._xlws.FILTER(SrcDB[ID],SrcDB[Objednavatel_ICO]=$H1234)))</f>
        <v>9</v>
      </c>
      <c r="AJ1234" s="3" cm="1">
        <f t="array" ref="AJ1234">COUNT(_xlfn.UNIQUE(_xlfn._xlws.FILTER(SrcDB[ID],SrcDB[Dodavatel_ICO]=$K1234)))</f>
        <v>1</v>
      </c>
      <c r="AK1234" s="3">
        <f t="shared" si="1358"/>
        <v>1</v>
      </c>
      <c r="AL1234" s="3">
        <f t="shared" si="1359"/>
        <v>1</v>
      </c>
      <c r="AM1234" s="17" t="str">
        <f>IF(SrcDB[[#This Row],[Pocet zmluv objednavatela]]&gt;3,SrcDB[[#This Row],[Objednavatel]],"Ostatné")</f>
        <v>Ministerstvo školstva, výskumu, vývoja a mládeže SR</v>
      </c>
      <c r="AN1234" s="17" t="str">
        <f>IF(SrcDB[[#This Row],[Pocet zmluv dodavatela]]&gt;3,SrcDB[[#This Row],[Dodavatel]],"Ostatné")</f>
        <v>Ostatné</v>
      </c>
    </row>
    <row r="1235" spans="1:40" x14ac:dyDescent="0.3">
      <c r="A1235" s="2" t="s">
        <v>1513</v>
      </c>
      <c r="B1235" s="2">
        <v>10102923</v>
      </c>
      <c r="C1235" s="3" t="str">
        <f t="shared" si="1352"/>
        <v>Nie</v>
      </c>
      <c r="D1235" s="3" t="str">
        <f t="shared" si="1353"/>
        <v>Áno</v>
      </c>
      <c r="E1235" s="3" t="s">
        <v>48</v>
      </c>
      <c r="F1235" s="3" t="s">
        <v>49</v>
      </c>
      <c r="G1235" s="2" t="str">
        <f t="shared" si="1354"/>
        <v>Stredné zmluvy</v>
      </c>
      <c r="H1235" s="5">
        <v>42499500</v>
      </c>
      <c r="I1235" s="2" t="s">
        <v>464</v>
      </c>
      <c r="J1235" s="2" t="s">
        <v>465</v>
      </c>
      <c r="K1235" s="5">
        <v>35760419</v>
      </c>
      <c r="L1235" s="2" t="s">
        <v>85</v>
      </c>
      <c r="N1235" s="6">
        <v>45625</v>
      </c>
      <c r="O1235" s="4">
        <v>5160750</v>
      </c>
      <c r="P1235" s="2">
        <v>114725</v>
      </c>
      <c r="Q1235" s="2" t="s">
        <v>1514</v>
      </c>
      <c r="R1235" s="2" t="s">
        <v>1515</v>
      </c>
      <c r="S1235" s="2" t="s">
        <v>183</v>
      </c>
      <c r="T1235" s="2" t="s">
        <v>1516</v>
      </c>
      <c r="W1235" s="4">
        <v>642.48</v>
      </c>
      <c r="X1235" s="4">
        <f>SrcDB[[#This Row],[Cena bez DPH]]*1.2</f>
        <v>770.976</v>
      </c>
      <c r="Y1235" s="4">
        <f t="shared" ref="Y1235" si="1376">INDEX(InternalRates,MATCH($S1235,InternalRates01,FALSE),2)</f>
        <v>278.98333333333335</v>
      </c>
      <c r="Z1235" s="3" t="str">
        <f t="shared" si="1362"/>
        <v>Nie</v>
      </c>
      <c r="AA1235" s="3" t="str">
        <f t="shared" si="1363"/>
        <v>SLA</v>
      </c>
      <c r="AD1235" s="3" t="s">
        <v>48</v>
      </c>
      <c r="AE1235" s="6">
        <v>45679</v>
      </c>
      <c r="AF1235" s="3" t="s">
        <v>59</v>
      </c>
      <c r="AG1235" s="3" t="s">
        <v>60</v>
      </c>
      <c r="AH1235" s="3">
        <f>YEAR(SrcDB[[#This Row],[Datum_zverejnenia]])</f>
        <v>2024</v>
      </c>
      <c r="AI1235" s="3" cm="1">
        <f t="array" ref="AI1235">COUNT(_xlfn.UNIQUE(_xlfn._xlws.FILTER(SrcDB[ID],SrcDB[Objednavatel_ICO]=$H1235)))</f>
        <v>25</v>
      </c>
      <c r="AJ1235" s="3" cm="1">
        <f t="array" ref="AJ1235">COUNT(_xlfn.UNIQUE(_xlfn._xlws.FILTER(SrcDB[ID],SrcDB[Dodavatel_ICO]=$K1235)))</f>
        <v>34</v>
      </c>
      <c r="AK1235" s="3">
        <f t="shared" si="1358"/>
        <v>1</v>
      </c>
      <c r="AL1235" s="3">
        <f t="shared" si="1359"/>
        <v>1</v>
      </c>
      <c r="AM1235" s="17" t="str">
        <f>IF(SrcDB[[#This Row],[Pocet zmluv objednavatela]]&gt;3,SrcDB[[#This Row],[Objednavatel]],"Ostatné")</f>
        <v>Finančné riaditeľstvo SR</v>
      </c>
      <c r="AN1235" s="17" t="str">
        <f>IF(SrcDB[[#This Row],[Pocet zmluv dodavatela]]&gt;3,SrcDB[[#This Row],[Dodavatel]],"Ostatné")</f>
        <v>Asseco Central Europe, a.s.</v>
      </c>
    </row>
    <row r="1236" spans="1:40" x14ac:dyDescent="0.3">
      <c r="A1236" s="2" t="s">
        <v>1513</v>
      </c>
      <c r="B1236" s="2">
        <v>10102923</v>
      </c>
      <c r="C1236" s="3" t="str">
        <f t="shared" si="1352"/>
        <v>Nie</v>
      </c>
      <c r="D1236" s="3" t="str">
        <f t="shared" si="1353"/>
        <v>Áno</v>
      </c>
      <c r="E1236" s="3" t="s">
        <v>48</v>
      </c>
      <c r="F1236" s="3" t="s">
        <v>49</v>
      </c>
      <c r="G1236" s="2" t="str">
        <f t="shared" si="1354"/>
        <v>Stredné zmluvy</v>
      </c>
      <c r="H1236" s="5">
        <v>42499500</v>
      </c>
      <c r="I1236" s="2" t="s">
        <v>464</v>
      </c>
      <c r="J1236" s="2" t="s">
        <v>465</v>
      </c>
      <c r="K1236" s="5">
        <v>35760419</v>
      </c>
      <c r="L1236" s="2" t="s">
        <v>85</v>
      </c>
      <c r="N1236" s="6">
        <v>45625</v>
      </c>
      <c r="O1236" s="4">
        <v>5160750</v>
      </c>
      <c r="P1236" s="2">
        <v>114725</v>
      </c>
      <c r="Q1236" s="2" t="s">
        <v>1514</v>
      </c>
      <c r="R1236" s="2" t="s">
        <v>1515</v>
      </c>
      <c r="S1236" s="2" t="s">
        <v>183</v>
      </c>
      <c r="T1236" s="2" t="s">
        <v>1517</v>
      </c>
      <c r="W1236" s="4">
        <v>963.76</v>
      </c>
      <c r="X1236" s="4">
        <f>SrcDB[[#This Row],[Cena bez DPH]]*1.2</f>
        <v>1156.5119999999999</v>
      </c>
      <c r="Y1236" s="4">
        <f t="shared" ref="Y1236" si="1377">INDEX(InternalRates,MATCH($S1236,InternalRates01,FALSE),2)</f>
        <v>278.98333333333335</v>
      </c>
      <c r="Z1236" s="3" t="str">
        <f t="shared" si="1362"/>
        <v>Nie</v>
      </c>
      <c r="AA1236" s="3" t="str">
        <f t="shared" si="1363"/>
        <v>SLA</v>
      </c>
      <c r="AD1236" s="3" t="s">
        <v>48</v>
      </c>
      <c r="AE1236" s="6">
        <v>45679</v>
      </c>
      <c r="AF1236" s="3" t="s">
        <v>59</v>
      </c>
      <c r="AG1236" s="3" t="s">
        <v>60</v>
      </c>
      <c r="AH1236" s="3">
        <f>YEAR(SrcDB[[#This Row],[Datum_zverejnenia]])</f>
        <v>2024</v>
      </c>
      <c r="AI1236" s="3" cm="1">
        <f t="array" ref="AI1236">COUNT(_xlfn.UNIQUE(_xlfn._xlws.FILTER(SrcDB[ID],SrcDB[Objednavatel_ICO]=$H1236)))</f>
        <v>25</v>
      </c>
      <c r="AJ1236" s="3" cm="1">
        <f t="array" ref="AJ1236">COUNT(_xlfn.UNIQUE(_xlfn._xlws.FILTER(SrcDB[ID],SrcDB[Dodavatel_ICO]=$K1236)))</f>
        <v>34</v>
      </c>
      <c r="AK1236" s="3">
        <f t="shared" si="1358"/>
        <v>0</v>
      </c>
      <c r="AL1236" s="3">
        <f t="shared" si="1359"/>
        <v>0</v>
      </c>
      <c r="AM1236" s="17" t="str">
        <f>IF(SrcDB[[#This Row],[Pocet zmluv objednavatela]]&gt;3,SrcDB[[#This Row],[Objednavatel]],"Ostatné")</f>
        <v>Finančné riaditeľstvo SR</v>
      </c>
      <c r="AN1236" s="17" t="str">
        <f>IF(SrcDB[[#This Row],[Pocet zmluv dodavatela]]&gt;3,SrcDB[[#This Row],[Dodavatel]],"Ostatné")</f>
        <v>Asseco Central Europe, a.s.</v>
      </c>
    </row>
    <row r="1237" spans="1:40" x14ac:dyDescent="0.3">
      <c r="A1237" s="2" t="s">
        <v>1518</v>
      </c>
      <c r="B1237" s="2">
        <v>9147995</v>
      </c>
      <c r="C1237" s="3" t="str">
        <f t="shared" si="1352"/>
        <v>Nejasné</v>
      </c>
      <c r="D1237" s="3" t="str">
        <f t="shared" si="1353"/>
        <v>Nejasné</v>
      </c>
      <c r="E1237" s="3" t="s">
        <v>48</v>
      </c>
      <c r="F1237" s="3" t="s">
        <v>49</v>
      </c>
      <c r="G1237" s="2" t="str">
        <f t="shared" si="1354"/>
        <v>Malé zmluvy</v>
      </c>
      <c r="H1237" s="5">
        <v>30807484</v>
      </c>
      <c r="I1237" s="2" t="s">
        <v>50</v>
      </c>
      <c r="J1237" s="2" t="s">
        <v>1519</v>
      </c>
      <c r="K1237" s="5">
        <v>35785306</v>
      </c>
      <c r="L1237" s="2" t="s">
        <v>118</v>
      </c>
      <c r="M1237" s="2" t="s">
        <v>604</v>
      </c>
      <c r="N1237" s="6">
        <v>45392</v>
      </c>
      <c r="O1237" s="4">
        <v>214440</v>
      </c>
      <c r="P1237" s="2">
        <v>114493</v>
      </c>
      <c r="Q1237" s="2" t="s">
        <v>1520</v>
      </c>
      <c r="R1237" s="2" t="s">
        <v>1521</v>
      </c>
      <c r="S1237" s="2" t="s">
        <v>160</v>
      </c>
      <c r="T1237" s="2" t="s">
        <v>1522</v>
      </c>
      <c r="W1237" s="4">
        <v>585</v>
      </c>
      <c r="X1237" s="4">
        <f>SrcDB[[#This Row],[Cena bez DPH]]*1.2</f>
        <v>702</v>
      </c>
      <c r="Y1237" s="4">
        <f t="shared" ref="Y1237" si="1378">INDEX(InternalRates,MATCH($S1237,InternalRates01,FALSE),2)</f>
        <v>231.85833333333335</v>
      </c>
      <c r="Z1237" s="3" t="str">
        <f t="shared" si="1362"/>
        <v>Nie</v>
      </c>
      <c r="AA1237" s="3" t="str">
        <f t="shared" si="1363"/>
        <v>SLA</v>
      </c>
      <c r="AB1237" s="4">
        <v>269</v>
      </c>
      <c r="AC1237" s="4">
        <f>SrcDB[[#This Row],[Množstvo práce]]</f>
        <v>269</v>
      </c>
      <c r="AD1237" s="3" t="s">
        <v>48</v>
      </c>
      <c r="AE1237" s="6">
        <v>45679</v>
      </c>
      <c r="AF1237" s="3" t="s">
        <v>59</v>
      </c>
      <c r="AG1237" s="3" t="s">
        <v>49</v>
      </c>
      <c r="AH1237" s="3">
        <f>YEAR(SrcDB[[#This Row],[Datum_zverejnenia]])</f>
        <v>2024</v>
      </c>
      <c r="AI1237" s="3" cm="1">
        <f t="array" ref="AI1237">COUNT(_xlfn.UNIQUE(_xlfn._xlws.FILTER(SrcDB[ID],SrcDB[Objednavatel_ICO]=$H1237)))</f>
        <v>14</v>
      </c>
      <c r="AJ1237" s="3" cm="1">
        <f t="array" ref="AJ1237">COUNT(_xlfn.UNIQUE(_xlfn._xlws.FILTER(SrcDB[ID],SrcDB[Dodavatel_ICO]=$K1237)))</f>
        <v>9</v>
      </c>
      <c r="AK1237" s="3">
        <f t="shared" si="1358"/>
        <v>1</v>
      </c>
      <c r="AL1237" s="3">
        <f t="shared" si="1359"/>
        <v>1</v>
      </c>
      <c r="AM1237" s="17" t="str">
        <f>IF(SrcDB[[#This Row],[Pocet zmluv objednavatela]]&gt;3,SrcDB[[#This Row],[Objednavatel]],"Ostatné")</f>
        <v>Sociálna poisťovňa, ústredie</v>
      </c>
      <c r="AN1237" s="17" t="str">
        <f>IF(SrcDB[[#This Row],[Pocet zmluv dodavatela]]&gt;3,SrcDB[[#This Row],[Dodavatel]],"Ostatné")</f>
        <v>DXC Technology Slovakia s.r.o.</v>
      </c>
    </row>
    <row r="1238" spans="1:40" x14ac:dyDescent="0.3">
      <c r="A1238" s="2" t="s">
        <v>1518</v>
      </c>
      <c r="B1238" s="2">
        <v>9147995</v>
      </c>
      <c r="C1238" s="3" t="str">
        <f t="shared" si="1352"/>
        <v>Nejasné</v>
      </c>
      <c r="D1238" s="3" t="str">
        <f t="shared" si="1353"/>
        <v>Nejasné</v>
      </c>
      <c r="E1238" s="3" t="s">
        <v>48</v>
      </c>
      <c r="F1238" s="3" t="s">
        <v>49</v>
      </c>
      <c r="G1238" s="2" t="str">
        <f t="shared" si="1354"/>
        <v>Malé zmluvy</v>
      </c>
      <c r="H1238" s="5">
        <v>30807484</v>
      </c>
      <c r="I1238" s="2" t="s">
        <v>50</v>
      </c>
      <c r="J1238" s="2" t="s">
        <v>1519</v>
      </c>
      <c r="K1238" s="5">
        <v>35785306</v>
      </c>
      <c r="L1238" s="2" t="s">
        <v>118</v>
      </c>
      <c r="M1238" s="2" t="s">
        <v>604</v>
      </c>
      <c r="N1238" s="6">
        <v>45392</v>
      </c>
      <c r="O1238" s="4">
        <v>214440</v>
      </c>
      <c r="P1238" s="2">
        <v>114493</v>
      </c>
      <c r="Q1238" s="2" t="s">
        <v>1520</v>
      </c>
      <c r="R1238" s="2" t="s">
        <v>1521</v>
      </c>
      <c r="S1238" s="2" t="s">
        <v>98</v>
      </c>
      <c r="T1238" s="2" t="s">
        <v>1523</v>
      </c>
      <c r="W1238" s="4">
        <v>550</v>
      </c>
      <c r="X1238" s="4">
        <f>SrcDB[[#This Row],[Cena bez DPH]]*1.2</f>
        <v>660</v>
      </c>
      <c r="Y1238" s="4">
        <f t="shared" ref="Y1238" si="1379">INDEX(InternalRates,MATCH($S1238,InternalRates01,FALSE),2)</f>
        <v>278.98333333333335</v>
      </c>
      <c r="Z1238" s="3" t="str">
        <f t="shared" si="1362"/>
        <v>Nie</v>
      </c>
      <c r="AA1238" s="3" t="str">
        <f t="shared" si="1363"/>
        <v>SLA</v>
      </c>
      <c r="AB1238" s="4">
        <v>15</v>
      </c>
      <c r="AC1238" s="4">
        <f>SrcDB[[#This Row],[Množstvo práce]]</f>
        <v>15</v>
      </c>
      <c r="AD1238" s="3" t="s">
        <v>48</v>
      </c>
      <c r="AE1238" s="6">
        <v>45679</v>
      </c>
      <c r="AF1238" s="3" t="s">
        <v>59</v>
      </c>
      <c r="AG1238" s="3" t="s">
        <v>49</v>
      </c>
      <c r="AH1238" s="3">
        <f>YEAR(SrcDB[[#This Row],[Datum_zverejnenia]])</f>
        <v>2024</v>
      </c>
      <c r="AI1238" s="3" cm="1">
        <f t="array" ref="AI1238">COUNT(_xlfn.UNIQUE(_xlfn._xlws.FILTER(SrcDB[ID],SrcDB[Objednavatel_ICO]=$H1238)))</f>
        <v>14</v>
      </c>
      <c r="AJ1238" s="3" cm="1">
        <f t="array" ref="AJ1238">COUNT(_xlfn.UNIQUE(_xlfn._xlws.FILTER(SrcDB[ID],SrcDB[Dodavatel_ICO]=$K1238)))</f>
        <v>9</v>
      </c>
      <c r="AK1238" s="3">
        <f t="shared" si="1358"/>
        <v>0</v>
      </c>
      <c r="AL1238" s="3">
        <f t="shared" si="1359"/>
        <v>0</v>
      </c>
      <c r="AM1238" s="17" t="str">
        <f>IF(SrcDB[[#This Row],[Pocet zmluv objednavatela]]&gt;3,SrcDB[[#This Row],[Objednavatel]],"Ostatné")</f>
        <v>Sociálna poisťovňa, ústredie</v>
      </c>
      <c r="AN1238" s="17" t="str">
        <f>IF(SrcDB[[#This Row],[Pocet zmluv dodavatela]]&gt;3,SrcDB[[#This Row],[Dodavatel]],"Ostatné")</f>
        <v>DXC Technology Slovakia s.r.o.</v>
      </c>
    </row>
    <row r="1239" spans="1:40" x14ac:dyDescent="0.3">
      <c r="A1239" s="2" t="s">
        <v>863</v>
      </c>
      <c r="B1239" s="2">
        <v>10129580</v>
      </c>
      <c r="C1239" s="3" t="str">
        <f t="shared" si="1352"/>
        <v>Nie</v>
      </c>
      <c r="D1239" s="3" t="str">
        <f t="shared" si="1353"/>
        <v>Áno</v>
      </c>
      <c r="E1239" s="3" t="s">
        <v>48</v>
      </c>
      <c r="F1239" s="3" t="s">
        <v>49</v>
      </c>
      <c r="G1239" s="2" t="str">
        <f t="shared" si="1354"/>
        <v>Veľké zmluvy</v>
      </c>
      <c r="H1239" s="5" t="s">
        <v>1524</v>
      </c>
      <c r="I1239" s="2" t="s">
        <v>1525</v>
      </c>
      <c r="J1239" s="2" t="s">
        <v>1526</v>
      </c>
      <c r="K1239" s="5" t="s">
        <v>1527</v>
      </c>
      <c r="L1239" s="2" t="s">
        <v>1528</v>
      </c>
      <c r="M1239" s="2" t="s">
        <v>1529</v>
      </c>
      <c r="N1239" s="6">
        <v>45631</v>
      </c>
      <c r="O1239" s="4">
        <v>9692480</v>
      </c>
      <c r="P1239" s="2">
        <v>6215909</v>
      </c>
      <c r="Q1239" s="2" t="s">
        <v>1530</v>
      </c>
      <c r="R1239" s="2" t="s">
        <v>1531</v>
      </c>
      <c r="S1239" s="2" t="s">
        <v>160</v>
      </c>
      <c r="T1239" s="2" t="s">
        <v>1365</v>
      </c>
      <c r="W1239" s="4">
        <v>400</v>
      </c>
      <c r="X1239" s="4">
        <f>SrcDB[[#This Row],[Cena bez DPH]]*1.2</f>
        <v>480</v>
      </c>
      <c r="Y1239" s="4">
        <f t="shared" ref="Y1239" si="1380">INDEX(InternalRates,MATCH($S1239,InternalRates01,FALSE),2)</f>
        <v>231.85833333333335</v>
      </c>
      <c r="Z1239" s="3" t="str">
        <f t="shared" si="1362"/>
        <v>Nie</v>
      </c>
      <c r="AA1239" s="3" t="str">
        <f t="shared" si="1363"/>
        <v>SLA</v>
      </c>
      <c r="AB1239" s="4">
        <v>2000</v>
      </c>
      <c r="AC1239" s="4">
        <f>SrcDB[[#This Row],[Množstvo práce]]/4</f>
        <v>500</v>
      </c>
      <c r="AD1239" s="3" t="s">
        <v>48</v>
      </c>
      <c r="AE1239" s="6">
        <v>45679</v>
      </c>
      <c r="AF1239" s="3" t="s">
        <v>59</v>
      </c>
      <c r="AG1239" s="3" t="s">
        <v>48</v>
      </c>
      <c r="AH1239" s="3">
        <f>YEAR(SrcDB[[#This Row],[Datum_zverejnenia]])</f>
        <v>2024</v>
      </c>
      <c r="AI1239" s="3" cm="1">
        <f t="array" ref="AI1239">COUNT(_xlfn.UNIQUE(_xlfn._xlws.FILTER(SrcDB[ID],SrcDB[Objednavatel_ICO]=$H1239)))</f>
        <v>1</v>
      </c>
      <c r="AJ1239" s="3" cm="1">
        <f t="array" ref="AJ1239">COUNT(_xlfn.UNIQUE(_xlfn._xlws.FILTER(SrcDB[ID],SrcDB[Dodavatel_ICO]=$K1239)))</f>
        <v>1</v>
      </c>
      <c r="AK1239" s="3">
        <f t="shared" si="1358"/>
        <v>1</v>
      </c>
      <c r="AL1239" s="3">
        <f t="shared" si="1359"/>
        <v>1</v>
      </c>
      <c r="AM1239" s="17" t="str">
        <f>IF(SrcDB[[#This Row],[Pocet zmluv objednavatela]]&gt;3,SrcDB[[#This Row],[Objednavatel]],"Ostatné")</f>
        <v>Ostatné</v>
      </c>
      <c r="AN1239" s="17" t="str">
        <f>IF(SrcDB[[#This Row],[Pocet zmluv dodavatela]]&gt;3,SrcDB[[#This Row],[Dodavatel]],"Ostatné")</f>
        <v>Ostatné</v>
      </c>
    </row>
    <row r="1240" spans="1:40" x14ac:dyDescent="0.3">
      <c r="A1240" s="2" t="s">
        <v>1532</v>
      </c>
      <c r="B1240" s="2">
        <v>10110313</v>
      </c>
      <c r="C1240" s="3" t="str">
        <f t="shared" si="1352"/>
        <v>Nie</v>
      </c>
      <c r="D1240" s="3" t="str">
        <f t="shared" si="1353"/>
        <v>Áno</v>
      </c>
      <c r="E1240" s="3" t="s">
        <v>48</v>
      </c>
      <c r="F1240" s="3" t="s">
        <v>49</v>
      </c>
      <c r="G1240" s="2" t="str">
        <f t="shared" si="1354"/>
        <v>Malé zmluvy</v>
      </c>
      <c r="H1240" s="5">
        <v>35815256</v>
      </c>
      <c r="I1240" s="2" t="s">
        <v>574</v>
      </c>
      <c r="J1240" s="2" t="s">
        <v>575</v>
      </c>
      <c r="K1240" s="5" t="s">
        <v>1533</v>
      </c>
      <c r="L1240" s="2" t="s">
        <v>1534</v>
      </c>
      <c r="M1240" s="2" t="s">
        <v>1535</v>
      </c>
      <c r="N1240" s="6">
        <v>45628</v>
      </c>
      <c r="O1240" s="4">
        <v>292411.02</v>
      </c>
      <c r="P1240" s="2">
        <v>114499</v>
      </c>
      <c r="Q1240" s="2" t="s">
        <v>1536</v>
      </c>
      <c r="R1240" s="2" t="s">
        <v>1537</v>
      </c>
      <c r="S1240" s="2" t="s">
        <v>123</v>
      </c>
      <c r="T1240" s="2" t="s">
        <v>1538</v>
      </c>
      <c r="V1240" s="2" t="s">
        <v>583</v>
      </c>
      <c r="W1240" s="4">
        <v>500</v>
      </c>
      <c r="X1240" s="4">
        <f>SrcDB[[#This Row],[Cena bez DPH]]*1.2</f>
        <v>600</v>
      </c>
      <c r="Y1240" s="4">
        <f t="shared" ref="Y1240" si="1381">INDEX(InternalRates,MATCH($S1240,InternalRates01,FALSE),2)</f>
        <v>231.85833333333335</v>
      </c>
      <c r="Z1240" s="3" t="str">
        <f t="shared" si="1362"/>
        <v>Nie</v>
      </c>
      <c r="AA1240" s="3" t="str">
        <f t="shared" si="1363"/>
        <v>SLA</v>
      </c>
      <c r="AD1240" s="3" t="s">
        <v>48</v>
      </c>
      <c r="AE1240" s="6">
        <v>45679</v>
      </c>
      <c r="AF1240" s="3" t="s">
        <v>59</v>
      </c>
      <c r="AG1240" s="3" t="s">
        <v>48</v>
      </c>
      <c r="AH1240" s="3">
        <f>YEAR(SrcDB[[#This Row],[Datum_zverejnenia]])</f>
        <v>2024</v>
      </c>
      <c r="AI1240" s="3" cm="1">
        <f t="array" ref="AI1240">COUNT(_xlfn.UNIQUE(_xlfn._xlws.FILTER(SrcDB[ID],SrcDB[Objednavatel_ICO]=$H1240)))</f>
        <v>6</v>
      </c>
      <c r="AJ1240" s="3" cm="1">
        <f t="array" ref="AJ1240">COUNT(_xlfn.UNIQUE(_xlfn._xlws.FILTER(SrcDB[ID],SrcDB[Dodavatel_ICO]=$K1240)))</f>
        <v>1</v>
      </c>
      <c r="AK1240" s="3">
        <f t="shared" si="1358"/>
        <v>1</v>
      </c>
      <c r="AL1240" s="3">
        <f t="shared" si="1359"/>
        <v>1</v>
      </c>
      <c r="AM1240" s="17" t="str">
        <f>IF(SrcDB[[#This Row],[Pocet zmluv objednavatela]]&gt;3,SrcDB[[#This Row],[Objednavatel]],"Ostatné")</f>
        <v>Slovenský plynárenský priemysel, a.s.</v>
      </c>
      <c r="AN1240" s="17" t="str">
        <f>IF(SrcDB[[#This Row],[Pocet zmluv dodavatela]]&gt;3,SrcDB[[#This Row],[Dodavatel]],"Ostatné")</f>
        <v>Ostatné</v>
      </c>
    </row>
    <row r="1241" spans="1:40" x14ac:dyDescent="0.3">
      <c r="A1241" s="2" t="s">
        <v>1532</v>
      </c>
      <c r="B1241" s="2">
        <v>10110313</v>
      </c>
      <c r="C1241" s="3" t="str">
        <f t="shared" si="1352"/>
        <v>Nie</v>
      </c>
      <c r="D1241" s="3" t="str">
        <f t="shared" si="1353"/>
        <v>Áno</v>
      </c>
      <c r="E1241" s="3" t="s">
        <v>48</v>
      </c>
      <c r="F1241" s="3" t="s">
        <v>49</v>
      </c>
      <c r="G1241" s="2" t="str">
        <f t="shared" si="1354"/>
        <v>Malé zmluvy</v>
      </c>
      <c r="H1241" s="5">
        <v>35815256</v>
      </c>
      <c r="I1241" s="2" t="s">
        <v>574</v>
      </c>
      <c r="J1241" s="2" t="s">
        <v>575</v>
      </c>
      <c r="K1241" s="5" t="s">
        <v>1533</v>
      </c>
      <c r="L1241" s="2" t="s">
        <v>1534</v>
      </c>
      <c r="M1241" s="2" t="s">
        <v>1535</v>
      </c>
      <c r="N1241" s="6">
        <v>45628</v>
      </c>
      <c r="O1241" s="4">
        <v>292411.02</v>
      </c>
      <c r="P1241" s="2">
        <v>114499</v>
      </c>
      <c r="Q1241" s="2" t="s">
        <v>1536</v>
      </c>
      <c r="R1241" s="2" t="s">
        <v>1537</v>
      </c>
      <c r="S1241" s="2" t="s">
        <v>123</v>
      </c>
      <c r="T1241" s="2" t="s">
        <v>1539</v>
      </c>
      <c r="V1241" s="2" t="s">
        <v>175</v>
      </c>
      <c r="W1241" s="4">
        <v>540</v>
      </c>
      <c r="X1241" s="4">
        <f>SrcDB[[#This Row],[Cena bez DPH]]*1.2</f>
        <v>648</v>
      </c>
      <c r="Y1241" s="4">
        <f t="shared" ref="Y1241" si="1382">INDEX(InternalRates,MATCH($S1241,InternalRates01,FALSE),2)</f>
        <v>231.85833333333335</v>
      </c>
      <c r="Z1241" s="3" t="str">
        <f t="shared" si="1362"/>
        <v>Nie</v>
      </c>
      <c r="AA1241" s="3" t="str">
        <f t="shared" si="1363"/>
        <v>SLA</v>
      </c>
      <c r="AD1241" s="3" t="s">
        <v>48</v>
      </c>
      <c r="AE1241" s="6">
        <v>45679</v>
      </c>
      <c r="AF1241" s="3" t="s">
        <v>59</v>
      </c>
      <c r="AG1241" s="3" t="s">
        <v>48</v>
      </c>
      <c r="AH1241" s="3">
        <f>YEAR(SrcDB[[#This Row],[Datum_zverejnenia]])</f>
        <v>2024</v>
      </c>
      <c r="AI1241" s="3" cm="1">
        <f t="array" ref="AI1241">COUNT(_xlfn.UNIQUE(_xlfn._xlws.FILTER(SrcDB[ID],SrcDB[Objednavatel_ICO]=$H1241)))</f>
        <v>6</v>
      </c>
      <c r="AJ1241" s="3" cm="1">
        <f t="array" ref="AJ1241">COUNT(_xlfn.UNIQUE(_xlfn._xlws.FILTER(SrcDB[ID],SrcDB[Dodavatel_ICO]=$K1241)))</f>
        <v>1</v>
      </c>
      <c r="AK1241" s="3">
        <f t="shared" si="1358"/>
        <v>0</v>
      </c>
      <c r="AL1241" s="3">
        <f t="shared" si="1359"/>
        <v>0</v>
      </c>
      <c r="AM1241" s="17" t="str">
        <f>IF(SrcDB[[#This Row],[Pocet zmluv objednavatela]]&gt;3,SrcDB[[#This Row],[Objednavatel]],"Ostatné")</f>
        <v>Slovenský plynárenský priemysel, a.s.</v>
      </c>
      <c r="AN1241" s="17" t="str">
        <f>IF(SrcDB[[#This Row],[Pocet zmluv dodavatela]]&gt;3,SrcDB[[#This Row],[Dodavatel]],"Ostatné")</f>
        <v>Ostatné</v>
      </c>
    </row>
    <row r="1242" spans="1:40" x14ac:dyDescent="0.3">
      <c r="A1242" s="2" t="s">
        <v>1532</v>
      </c>
      <c r="B1242" s="2">
        <v>10110313</v>
      </c>
      <c r="C1242" s="3" t="str">
        <f t="shared" si="1352"/>
        <v>Nie</v>
      </c>
      <c r="D1242" s="3" t="str">
        <f t="shared" si="1353"/>
        <v>Áno</v>
      </c>
      <c r="E1242" s="3" t="s">
        <v>48</v>
      </c>
      <c r="F1242" s="3" t="s">
        <v>49</v>
      </c>
      <c r="G1242" s="2" t="str">
        <f t="shared" si="1354"/>
        <v>Malé zmluvy</v>
      </c>
      <c r="H1242" s="5">
        <v>35815256</v>
      </c>
      <c r="I1242" s="2" t="s">
        <v>574</v>
      </c>
      <c r="J1242" s="2" t="s">
        <v>575</v>
      </c>
      <c r="K1242" s="5" t="s">
        <v>1533</v>
      </c>
      <c r="L1242" s="2" t="s">
        <v>1534</v>
      </c>
      <c r="M1242" s="2" t="s">
        <v>1535</v>
      </c>
      <c r="N1242" s="6">
        <v>45628</v>
      </c>
      <c r="O1242" s="4">
        <v>292411.02</v>
      </c>
      <c r="P1242" s="2">
        <v>114499</v>
      </c>
      <c r="Q1242" s="2" t="s">
        <v>1536</v>
      </c>
      <c r="R1242" s="2" t="s">
        <v>1537</v>
      </c>
      <c r="S1242" s="2" t="s">
        <v>73</v>
      </c>
      <c r="T1242" s="2" t="s">
        <v>1540</v>
      </c>
      <c r="W1242" s="4">
        <v>540</v>
      </c>
      <c r="X1242" s="4">
        <f>SrcDB[[#This Row],[Cena bez DPH]]*1.2</f>
        <v>648</v>
      </c>
      <c r="Y1242" s="4">
        <f t="shared" ref="Y1242" si="1383">INDEX(InternalRates,MATCH($S1242,InternalRates01,FALSE),2)</f>
        <v>278.98333333333335</v>
      </c>
      <c r="Z1242" s="3" t="str">
        <f t="shared" si="1362"/>
        <v>Nie</v>
      </c>
      <c r="AA1242" s="3" t="str">
        <f t="shared" si="1363"/>
        <v>SLA</v>
      </c>
      <c r="AD1242" s="3" t="s">
        <v>48</v>
      </c>
      <c r="AE1242" s="6">
        <v>45679</v>
      </c>
      <c r="AF1242" s="3" t="s">
        <v>59</v>
      </c>
      <c r="AG1242" s="3" t="s">
        <v>48</v>
      </c>
      <c r="AH1242" s="3">
        <f>YEAR(SrcDB[[#This Row],[Datum_zverejnenia]])</f>
        <v>2024</v>
      </c>
      <c r="AI1242" s="3" cm="1">
        <f t="array" ref="AI1242">COUNT(_xlfn.UNIQUE(_xlfn._xlws.FILTER(SrcDB[ID],SrcDB[Objednavatel_ICO]=$H1242)))</f>
        <v>6</v>
      </c>
      <c r="AJ1242" s="3" cm="1">
        <f t="array" ref="AJ1242">COUNT(_xlfn.UNIQUE(_xlfn._xlws.FILTER(SrcDB[ID],SrcDB[Dodavatel_ICO]=$K1242)))</f>
        <v>1</v>
      </c>
      <c r="AK1242" s="3">
        <f t="shared" si="1358"/>
        <v>0</v>
      </c>
      <c r="AL1242" s="3">
        <f t="shared" si="1359"/>
        <v>0</v>
      </c>
      <c r="AM1242" s="17" t="str">
        <f>IF(SrcDB[[#This Row],[Pocet zmluv objednavatela]]&gt;3,SrcDB[[#This Row],[Objednavatel]],"Ostatné")</f>
        <v>Slovenský plynárenský priemysel, a.s.</v>
      </c>
      <c r="AN1242" s="17" t="str">
        <f>IF(SrcDB[[#This Row],[Pocet zmluv dodavatela]]&gt;3,SrcDB[[#This Row],[Dodavatel]],"Ostatné")</f>
        <v>Ostatné</v>
      </c>
    </row>
    <row r="1243" spans="1:40" x14ac:dyDescent="0.3">
      <c r="A1243" s="2" t="s">
        <v>1532</v>
      </c>
      <c r="B1243" s="2">
        <v>10110313</v>
      </c>
      <c r="C1243" s="3" t="str">
        <f t="shared" si="1352"/>
        <v>Nie</v>
      </c>
      <c r="D1243" s="3" t="str">
        <f t="shared" si="1353"/>
        <v>Áno</v>
      </c>
      <c r="E1243" s="3" t="s">
        <v>48</v>
      </c>
      <c r="F1243" s="3" t="s">
        <v>49</v>
      </c>
      <c r="G1243" s="2" t="str">
        <f t="shared" si="1354"/>
        <v>Malé zmluvy</v>
      </c>
      <c r="H1243" s="5">
        <v>35815256</v>
      </c>
      <c r="I1243" s="2" t="s">
        <v>574</v>
      </c>
      <c r="J1243" s="2" t="s">
        <v>575</v>
      </c>
      <c r="K1243" s="5" t="s">
        <v>1533</v>
      </c>
      <c r="L1243" s="2" t="s">
        <v>1534</v>
      </c>
      <c r="M1243" s="2" t="s">
        <v>1535</v>
      </c>
      <c r="N1243" s="6">
        <v>45628</v>
      </c>
      <c r="O1243" s="4">
        <v>292411.02</v>
      </c>
      <c r="P1243" s="2">
        <v>114499</v>
      </c>
      <c r="Q1243" s="2" t="s">
        <v>1536</v>
      </c>
      <c r="R1243" s="2" t="s">
        <v>1537</v>
      </c>
      <c r="S1243" s="2" t="s">
        <v>77</v>
      </c>
      <c r="T1243" s="2" t="s">
        <v>1541</v>
      </c>
      <c r="W1243" s="4">
        <v>540</v>
      </c>
      <c r="X1243" s="4">
        <f>SrcDB[[#This Row],[Cena bez DPH]]*1.2</f>
        <v>648</v>
      </c>
      <c r="Y1243" s="4">
        <f t="shared" ref="Y1243" si="1384">INDEX(InternalRates,MATCH($S1243,InternalRates01,FALSE),2)</f>
        <v>278.98333333333335</v>
      </c>
      <c r="Z1243" s="3" t="str">
        <f t="shared" si="1362"/>
        <v>Nie</v>
      </c>
      <c r="AA1243" s="3" t="str">
        <f t="shared" si="1363"/>
        <v>SLA</v>
      </c>
      <c r="AD1243" s="3" t="s">
        <v>48</v>
      </c>
      <c r="AE1243" s="6">
        <v>45679</v>
      </c>
      <c r="AF1243" s="3" t="s">
        <v>59</v>
      </c>
      <c r="AG1243" s="3" t="s">
        <v>48</v>
      </c>
      <c r="AH1243" s="3">
        <f>YEAR(SrcDB[[#This Row],[Datum_zverejnenia]])</f>
        <v>2024</v>
      </c>
      <c r="AI1243" s="3" cm="1">
        <f t="array" ref="AI1243">COUNT(_xlfn.UNIQUE(_xlfn._xlws.FILTER(SrcDB[ID],SrcDB[Objednavatel_ICO]=$H1243)))</f>
        <v>6</v>
      </c>
      <c r="AJ1243" s="3" cm="1">
        <f t="array" ref="AJ1243">COUNT(_xlfn.UNIQUE(_xlfn._xlws.FILTER(SrcDB[ID],SrcDB[Dodavatel_ICO]=$K1243)))</f>
        <v>1</v>
      </c>
      <c r="AK1243" s="3">
        <f t="shared" si="1358"/>
        <v>0</v>
      </c>
      <c r="AL1243" s="3">
        <f t="shared" si="1359"/>
        <v>0</v>
      </c>
      <c r="AM1243" s="17" t="str">
        <f>IF(SrcDB[[#This Row],[Pocet zmluv objednavatela]]&gt;3,SrcDB[[#This Row],[Objednavatel]],"Ostatné")</f>
        <v>Slovenský plynárenský priemysel, a.s.</v>
      </c>
      <c r="AN1243" s="17" t="str">
        <f>IF(SrcDB[[#This Row],[Pocet zmluv dodavatela]]&gt;3,SrcDB[[#This Row],[Dodavatel]],"Ostatné")</f>
        <v>Ostatné</v>
      </c>
    </row>
    <row r="1244" spans="1:40" x14ac:dyDescent="0.3">
      <c r="A1244" s="2" t="s">
        <v>1532</v>
      </c>
      <c r="B1244" s="2">
        <v>10110313</v>
      </c>
      <c r="C1244" s="3" t="str">
        <f t="shared" si="1352"/>
        <v>Nie</v>
      </c>
      <c r="D1244" s="3" t="str">
        <f t="shared" si="1353"/>
        <v>Áno</v>
      </c>
      <c r="E1244" s="3" t="s">
        <v>48</v>
      </c>
      <c r="F1244" s="3" t="s">
        <v>49</v>
      </c>
      <c r="G1244" s="2" t="str">
        <f t="shared" si="1354"/>
        <v>Malé zmluvy</v>
      </c>
      <c r="H1244" s="5">
        <v>35815256</v>
      </c>
      <c r="I1244" s="2" t="s">
        <v>574</v>
      </c>
      <c r="J1244" s="2" t="s">
        <v>575</v>
      </c>
      <c r="K1244" s="5" t="s">
        <v>1533</v>
      </c>
      <c r="L1244" s="2" t="s">
        <v>1534</v>
      </c>
      <c r="M1244" s="2" t="s">
        <v>1535</v>
      </c>
      <c r="N1244" s="6">
        <v>45628</v>
      </c>
      <c r="O1244" s="4">
        <v>292411.02</v>
      </c>
      <c r="P1244" s="2">
        <v>114499</v>
      </c>
      <c r="Q1244" s="2" t="s">
        <v>1536</v>
      </c>
      <c r="R1244" s="2" t="s">
        <v>1537</v>
      </c>
      <c r="S1244" s="2" t="s">
        <v>98</v>
      </c>
      <c r="T1244" s="2" t="s">
        <v>1542</v>
      </c>
      <c r="W1244" s="4">
        <v>530</v>
      </c>
      <c r="X1244" s="4">
        <f>SrcDB[[#This Row],[Cena bez DPH]]*1.2</f>
        <v>636</v>
      </c>
      <c r="Y1244" s="4">
        <f t="shared" ref="Y1244" si="1385">INDEX(InternalRates,MATCH($S1244,InternalRates01,FALSE),2)</f>
        <v>278.98333333333335</v>
      </c>
      <c r="Z1244" s="3" t="str">
        <f t="shared" si="1362"/>
        <v>Nie</v>
      </c>
      <c r="AA1244" s="3" t="str">
        <f t="shared" si="1363"/>
        <v>SLA</v>
      </c>
      <c r="AD1244" s="3" t="s">
        <v>48</v>
      </c>
      <c r="AE1244" s="6">
        <v>45679</v>
      </c>
      <c r="AF1244" s="3" t="s">
        <v>59</v>
      </c>
      <c r="AG1244" s="3" t="s">
        <v>48</v>
      </c>
      <c r="AH1244" s="3">
        <f>YEAR(SrcDB[[#This Row],[Datum_zverejnenia]])</f>
        <v>2024</v>
      </c>
      <c r="AI1244" s="3" cm="1">
        <f t="array" ref="AI1244">COUNT(_xlfn.UNIQUE(_xlfn._xlws.FILTER(SrcDB[ID],SrcDB[Objednavatel_ICO]=$H1244)))</f>
        <v>6</v>
      </c>
      <c r="AJ1244" s="3" cm="1">
        <f t="array" ref="AJ1244">COUNT(_xlfn.UNIQUE(_xlfn._xlws.FILTER(SrcDB[ID],SrcDB[Dodavatel_ICO]=$K1244)))</f>
        <v>1</v>
      </c>
      <c r="AK1244" s="3">
        <f t="shared" si="1358"/>
        <v>0</v>
      </c>
      <c r="AL1244" s="3">
        <f t="shared" si="1359"/>
        <v>0</v>
      </c>
      <c r="AM1244" s="17" t="str">
        <f>IF(SrcDB[[#This Row],[Pocet zmluv objednavatela]]&gt;3,SrcDB[[#This Row],[Objednavatel]],"Ostatné")</f>
        <v>Slovenský plynárenský priemysel, a.s.</v>
      </c>
      <c r="AN1244" s="17" t="str">
        <f>IF(SrcDB[[#This Row],[Pocet zmluv dodavatela]]&gt;3,SrcDB[[#This Row],[Dodavatel]],"Ostatné")</f>
        <v>Ostatné</v>
      </c>
    </row>
    <row r="1245" spans="1:40" x14ac:dyDescent="0.3">
      <c r="A1245" s="2" t="s">
        <v>81</v>
      </c>
      <c r="B1245" s="2">
        <v>10020409</v>
      </c>
      <c r="C1245" s="3" t="str">
        <f t="shared" si="1352"/>
        <v>Áno</v>
      </c>
      <c r="D1245" s="3" t="str">
        <f t="shared" si="1353"/>
        <v>Nie</v>
      </c>
      <c r="E1245" s="3" t="s">
        <v>49</v>
      </c>
      <c r="F1245" s="3" t="s">
        <v>48</v>
      </c>
      <c r="G1245" s="2" t="str">
        <f t="shared" si="1354"/>
        <v>Stredné zmluvy</v>
      </c>
      <c r="H1245" s="5" t="s">
        <v>1543</v>
      </c>
      <c r="I1245" s="2" t="s">
        <v>1544</v>
      </c>
      <c r="J1245" s="2" t="s">
        <v>1545</v>
      </c>
      <c r="K1245" s="5">
        <v>31589898</v>
      </c>
      <c r="L1245" s="2" t="s">
        <v>576</v>
      </c>
      <c r="M1245" s="2" t="s">
        <v>1546</v>
      </c>
      <c r="N1245" s="6">
        <v>45609</v>
      </c>
      <c r="O1245" s="4">
        <v>2675909.6</v>
      </c>
      <c r="P1245" s="2">
        <v>6215909</v>
      </c>
      <c r="Q1245" s="2" t="s">
        <v>1547</v>
      </c>
      <c r="R1245" s="2" t="s">
        <v>1548</v>
      </c>
      <c r="S1245" s="2" t="s">
        <v>73</v>
      </c>
      <c r="T1245" s="2" t="s">
        <v>1549</v>
      </c>
      <c r="W1245" s="4">
        <v>560</v>
      </c>
      <c r="X1245" s="4">
        <f>SrcDB[[#This Row],[Cena bez DPH]]*1.2</f>
        <v>672</v>
      </c>
      <c r="Y1245" s="4">
        <f t="shared" ref="Y1245" si="1386">INDEX(InternalRates,MATCH($S1245,InternalRates01,FALSE),2)</f>
        <v>278.98333333333335</v>
      </c>
      <c r="Z1245" s="3" t="str">
        <f t="shared" si="1362"/>
        <v>Nie</v>
      </c>
      <c r="AA1245" s="3" t="str">
        <f t="shared" si="1363"/>
        <v>ZoD</v>
      </c>
      <c r="AB1245" s="4">
        <v>476</v>
      </c>
      <c r="AC1245" s="4">
        <v>238</v>
      </c>
      <c r="AD1245" s="3" t="s">
        <v>49</v>
      </c>
      <c r="AE1245" s="6">
        <v>45679</v>
      </c>
      <c r="AF1245" s="3" t="s">
        <v>59</v>
      </c>
      <c r="AG1245" s="3" t="s">
        <v>48</v>
      </c>
      <c r="AH1245" s="3">
        <f>YEAR(SrcDB[[#This Row],[Datum_zverejnenia]])</f>
        <v>2024</v>
      </c>
      <c r="AI1245" s="3" cm="1">
        <f t="array" ref="AI1245">COUNT(_xlfn.UNIQUE(_xlfn._xlws.FILTER(SrcDB[ID],SrcDB[Objednavatel_ICO]=$H1245)))</f>
        <v>1</v>
      </c>
      <c r="AJ1245" s="3" cm="1">
        <f t="array" ref="AJ1245">COUNT(_xlfn.UNIQUE(_xlfn._xlws.FILTER(SrcDB[ID],SrcDB[Dodavatel_ICO]=$K1245)))</f>
        <v>3</v>
      </c>
      <c r="AK1245" s="3">
        <f t="shared" si="1358"/>
        <v>1</v>
      </c>
      <c r="AL1245" s="3">
        <f t="shared" si="1359"/>
        <v>1</v>
      </c>
      <c r="AM1245" s="17" t="str">
        <f>IF(SrcDB[[#This Row],[Pocet zmluv objednavatela]]&gt;3,SrcDB[[#This Row],[Objednavatel]],"Ostatné")</f>
        <v>Ostatné</v>
      </c>
      <c r="AN1245" s="17" t="str">
        <f>IF(SrcDB[[#This Row],[Pocet zmluv dodavatela]]&gt;3,SrcDB[[#This Row],[Dodavatel]],"Ostatné")</f>
        <v>Ostatné</v>
      </c>
    </row>
    <row r="1246" spans="1:40" x14ac:dyDescent="0.3">
      <c r="A1246" s="2" t="s">
        <v>81</v>
      </c>
      <c r="B1246" s="2">
        <v>10020409</v>
      </c>
      <c r="C1246" s="3" t="str">
        <f t="shared" si="1352"/>
        <v>Áno</v>
      </c>
      <c r="D1246" s="3" t="str">
        <f t="shared" si="1353"/>
        <v>Nie</v>
      </c>
      <c r="E1246" s="3" t="s">
        <v>49</v>
      </c>
      <c r="F1246" s="3" t="s">
        <v>48</v>
      </c>
      <c r="G1246" s="2" t="str">
        <f t="shared" si="1354"/>
        <v>Stredné zmluvy</v>
      </c>
      <c r="H1246" s="5" t="s">
        <v>1543</v>
      </c>
      <c r="I1246" s="2" t="s">
        <v>1544</v>
      </c>
      <c r="J1246" s="2" t="s">
        <v>1545</v>
      </c>
      <c r="K1246" s="5">
        <v>31589898</v>
      </c>
      <c r="L1246" s="2" t="s">
        <v>576</v>
      </c>
      <c r="M1246" s="2" t="s">
        <v>1546</v>
      </c>
      <c r="N1246" s="6">
        <v>45609</v>
      </c>
      <c r="O1246" s="4">
        <v>2675909.6</v>
      </c>
      <c r="P1246" s="2">
        <v>6215909</v>
      </c>
      <c r="Q1246" s="2" t="s">
        <v>1547</v>
      </c>
      <c r="R1246" s="2" t="s">
        <v>1548</v>
      </c>
      <c r="S1246" s="2" t="s">
        <v>77</v>
      </c>
      <c r="T1246" s="2" t="s">
        <v>1550</v>
      </c>
      <c r="W1246" s="4">
        <v>560</v>
      </c>
      <c r="X1246" s="4">
        <f>SrcDB[[#This Row],[Cena bez DPH]]*1.2</f>
        <v>672</v>
      </c>
      <c r="Y1246" s="4">
        <f t="shared" ref="Y1246" si="1387">INDEX(InternalRates,MATCH($S1246,InternalRates01,FALSE),2)</f>
        <v>278.98333333333335</v>
      </c>
      <c r="Z1246" s="3" t="str">
        <f t="shared" si="1362"/>
        <v>Nie</v>
      </c>
      <c r="AA1246" s="3" t="str">
        <f t="shared" si="1363"/>
        <v>ZoD</v>
      </c>
      <c r="AB1246" s="4">
        <f>2688+3353</f>
        <v>6041</v>
      </c>
      <c r="AC1246" s="4">
        <f>SrcDB[[#This Row],[Množstvo práce]]/2</f>
        <v>3020.5</v>
      </c>
      <c r="AD1246" s="3" t="s">
        <v>49</v>
      </c>
      <c r="AE1246" s="6">
        <v>45679</v>
      </c>
      <c r="AF1246" s="3" t="s">
        <v>59</v>
      </c>
      <c r="AG1246" s="3" t="s">
        <v>48</v>
      </c>
      <c r="AH1246" s="3">
        <f>YEAR(SrcDB[[#This Row],[Datum_zverejnenia]])</f>
        <v>2024</v>
      </c>
      <c r="AI1246" s="3" cm="1">
        <f t="array" ref="AI1246">COUNT(_xlfn.UNIQUE(_xlfn._xlws.FILTER(SrcDB[ID],SrcDB[Objednavatel_ICO]=$H1246)))</f>
        <v>1</v>
      </c>
      <c r="AJ1246" s="3" cm="1">
        <f t="array" ref="AJ1246">COUNT(_xlfn.UNIQUE(_xlfn._xlws.FILTER(SrcDB[ID],SrcDB[Dodavatel_ICO]=$K1246)))</f>
        <v>3</v>
      </c>
      <c r="AK1246" s="3">
        <f t="shared" si="1358"/>
        <v>0</v>
      </c>
      <c r="AL1246" s="3">
        <f t="shared" si="1359"/>
        <v>0</v>
      </c>
      <c r="AM1246" s="17" t="str">
        <f>IF(SrcDB[[#This Row],[Pocet zmluv objednavatela]]&gt;3,SrcDB[[#This Row],[Objednavatel]],"Ostatné")</f>
        <v>Ostatné</v>
      </c>
      <c r="AN1246" s="17" t="str">
        <f>IF(SrcDB[[#This Row],[Pocet zmluv dodavatela]]&gt;3,SrcDB[[#This Row],[Dodavatel]],"Ostatné")</f>
        <v>Ostatné</v>
      </c>
    </row>
    <row r="1247" spans="1:40" x14ac:dyDescent="0.3">
      <c r="A1247" s="2" t="s">
        <v>81</v>
      </c>
      <c r="B1247" s="2">
        <v>10020409</v>
      </c>
      <c r="C1247" s="3" t="str">
        <f t="shared" si="1352"/>
        <v>Áno</v>
      </c>
      <c r="D1247" s="3" t="str">
        <f t="shared" si="1353"/>
        <v>Nie</v>
      </c>
      <c r="E1247" s="3" t="s">
        <v>49</v>
      </c>
      <c r="F1247" s="3" t="s">
        <v>48</v>
      </c>
      <c r="G1247" s="2" t="str">
        <f t="shared" si="1354"/>
        <v>Stredné zmluvy</v>
      </c>
      <c r="H1247" s="5" t="s">
        <v>1543</v>
      </c>
      <c r="I1247" s="2" t="s">
        <v>1544</v>
      </c>
      <c r="J1247" s="2" t="s">
        <v>1545</v>
      </c>
      <c r="K1247" s="5">
        <v>31589898</v>
      </c>
      <c r="L1247" s="2" t="s">
        <v>576</v>
      </c>
      <c r="M1247" s="2" t="s">
        <v>1546</v>
      </c>
      <c r="N1247" s="6">
        <v>45609</v>
      </c>
      <c r="O1247" s="4">
        <v>2675909.6</v>
      </c>
      <c r="P1247" s="2">
        <v>6215909</v>
      </c>
      <c r="Q1247" s="2" t="s">
        <v>1547</v>
      </c>
      <c r="R1247" s="2" t="s">
        <v>1548</v>
      </c>
      <c r="S1247" s="2" t="s">
        <v>79</v>
      </c>
      <c r="T1247" s="2" t="s">
        <v>1551</v>
      </c>
      <c r="W1247" s="4">
        <v>560</v>
      </c>
      <c r="X1247" s="4">
        <f>SrcDB[[#This Row],[Cena bez DPH]]*1.2</f>
        <v>672</v>
      </c>
      <c r="Y1247" s="4">
        <f t="shared" ref="Y1247" si="1388">INDEX(InternalRates,MATCH($S1247,InternalRates01,FALSE),2)</f>
        <v>278.98333333333335</v>
      </c>
      <c r="Z1247" s="3" t="str">
        <f t="shared" si="1362"/>
        <v>Nie</v>
      </c>
      <c r="AA1247" s="3" t="str">
        <f t="shared" si="1363"/>
        <v>ZoD</v>
      </c>
      <c r="AB1247" s="4">
        <v>463</v>
      </c>
      <c r="AC1247" s="4">
        <v>231.5</v>
      </c>
      <c r="AD1247" s="3" t="s">
        <v>49</v>
      </c>
      <c r="AE1247" s="6">
        <v>45679</v>
      </c>
      <c r="AF1247" s="3" t="s">
        <v>59</v>
      </c>
      <c r="AG1247" s="3" t="s">
        <v>48</v>
      </c>
      <c r="AH1247" s="3">
        <f>YEAR(SrcDB[[#This Row],[Datum_zverejnenia]])</f>
        <v>2024</v>
      </c>
      <c r="AI1247" s="3" cm="1">
        <f t="array" ref="AI1247">COUNT(_xlfn.UNIQUE(_xlfn._xlws.FILTER(SrcDB[ID],SrcDB[Objednavatel_ICO]=$H1247)))</f>
        <v>1</v>
      </c>
      <c r="AJ1247" s="3" cm="1">
        <f t="array" ref="AJ1247">COUNT(_xlfn.UNIQUE(_xlfn._xlws.FILTER(SrcDB[ID],SrcDB[Dodavatel_ICO]=$K1247)))</f>
        <v>3</v>
      </c>
      <c r="AK1247" s="3">
        <f t="shared" si="1358"/>
        <v>0</v>
      </c>
      <c r="AL1247" s="3">
        <f t="shared" si="1359"/>
        <v>0</v>
      </c>
      <c r="AM1247" s="17" t="str">
        <f>IF(SrcDB[[#This Row],[Pocet zmluv objednavatela]]&gt;3,SrcDB[[#This Row],[Objednavatel]],"Ostatné")</f>
        <v>Ostatné</v>
      </c>
      <c r="AN1247" s="17" t="str">
        <f>IF(SrcDB[[#This Row],[Pocet zmluv dodavatela]]&gt;3,SrcDB[[#This Row],[Dodavatel]],"Ostatné")</f>
        <v>Ostatné</v>
      </c>
    </row>
    <row r="1248" spans="1:40" x14ac:dyDescent="0.3">
      <c r="A1248" s="2" t="s">
        <v>81</v>
      </c>
      <c r="B1248" s="2">
        <v>10020409</v>
      </c>
      <c r="C1248" s="3" t="str">
        <f t="shared" si="1352"/>
        <v>Áno</v>
      </c>
      <c r="D1248" s="3" t="str">
        <f t="shared" si="1353"/>
        <v>Nie</v>
      </c>
      <c r="E1248" s="3" t="s">
        <v>49</v>
      </c>
      <c r="F1248" s="3" t="s">
        <v>48</v>
      </c>
      <c r="G1248" s="2" t="str">
        <f t="shared" si="1354"/>
        <v>Stredné zmluvy</v>
      </c>
      <c r="H1248" s="5" t="s">
        <v>1543</v>
      </c>
      <c r="I1248" s="2" t="s">
        <v>1544</v>
      </c>
      <c r="J1248" s="2" t="s">
        <v>1545</v>
      </c>
      <c r="K1248" s="5">
        <v>31589898</v>
      </c>
      <c r="L1248" s="2" t="s">
        <v>576</v>
      </c>
      <c r="M1248" s="2" t="s">
        <v>1546</v>
      </c>
      <c r="N1248" s="6">
        <v>45609</v>
      </c>
      <c r="O1248" s="4">
        <v>2675909.6</v>
      </c>
      <c r="P1248" s="2">
        <v>6215909</v>
      </c>
      <c r="Q1248" s="2" t="s">
        <v>1547</v>
      </c>
      <c r="R1248" s="2" t="s">
        <v>1548</v>
      </c>
      <c r="S1248" s="2" t="s">
        <v>69</v>
      </c>
      <c r="W1248" s="4">
        <v>790</v>
      </c>
      <c r="X1248" s="4">
        <f>SrcDB[[#This Row],[Cena bez DPH]]*1.2</f>
        <v>948</v>
      </c>
      <c r="Y1248" s="4">
        <f t="shared" ref="Y1248" si="1389">INDEX(InternalRates,MATCH($S1248,InternalRates01,FALSE),2)</f>
        <v>278.98333333333335</v>
      </c>
      <c r="Z1248" s="3" t="str">
        <f t="shared" si="1362"/>
        <v>Nie</v>
      </c>
      <c r="AA1248" s="3" t="str">
        <f t="shared" si="1363"/>
        <v>ZoD</v>
      </c>
      <c r="AD1248" s="3" t="s">
        <v>49</v>
      </c>
      <c r="AE1248" s="6">
        <v>45679</v>
      </c>
      <c r="AF1248" s="3" t="s">
        <v>59</v>
      </c>
      <c r="AG1248" s="3" t="s">
        <v>48</v>
      </c>
      <c r="AH1248" s="3">
        <f>YEAR(SrcDB[[#This Row],[Datum_zverejnenia]])</f>
        <v>2024</v>
      </c>
      <c r="AI1248" s="3" cm="1">
        <f t="array" ref="AI1248">COUNT(_xlfn.UNIQUE(_xlfn._xlws.FILTER(SrcDB[ID],SrcDB[Objednavatel_ICO]=$H1248)))</f>
        <v>1</v>
      </c>
      <c r="AJ1248" s="3" cm="1">
        <f t="array" ref="AJ1248">COUNT(_xlfn.UNIQUE(_xlfn._xlws.FILTER(SrcDB[ID],SrcDB[Dodavatel_ICO]=$K1248)))</f>
        <v>3</v>
      </c>
      <c r="AK1248" s="3">
        <f t="shared" si="1358"/>
        <v>0</v>
      </c>
      <c r="AL1248" s="3">
        <f t="shared" si="1359"/>
        <v>0</v>
      </c>
      <c r="AM1248" s="17" t="str">
        <f>IF(SrcDB[[#This Row],[Pocet zmluv objednavatela]]&gt;3,SrcDB[[#This Row],[Objednavatel]],"Ostatné")</f>
        <v>Ostatné</v>
      </c>
      <c r="AN1248" s="17" t="str">
        <f>IF(SrcDB[[#This Row],[Pocet zmluv dodavatela]]&gt;3,SrcDB[[#This Row],[Dodavatel]],"Ostatné")</f>
        <v>Ostatné</v>
      </c>
    </row>
    <row r="1249" spans="1:40" x14ac:dyDescent="0.3">
      <c r="A1249" s="2" t="s">
        <v>81</v>
      </c>
      <c r="B1249" s="2">
        <v>10020409</v>
      </c>
      <c r="C1249" s="3" t="str">
        <f t="shared" si="1352"/>
        <v>Áno</v>
      </c>
      <c r="D1249" s="3" t="str">
        <f t="shared" si="1353"/>
        <v>Nie</v>
      </c>
      <c r="E1249" s="3" t="s">
        <v>49</v>
      </c>
      <c r="F1249" s="3" t="s">
        <v>48</v>
      </c>
      <c r="G1249" s="2" t="str">
        <f t="shared" si="1354"/>
        <v>Stredné zmluvy</v>
      </c>
      <c r="H1249" s="5" t="s">
        <v>1543</v>
      </c>
      <c r="I1249" s="2" t="s">
        <v>1544</v>
      </c>
      <c r="J1249" s="2" t="s">
        <v>1545</v>
      </c>
      <c r="K1249" s="5">
        <v>31589898</v>
      </c>
      <c r="L1249" s="2" t="s">
        <v>576</v>
      </c>
      <c r="M1249" s="2" t="s">
        <v>1546</v>
      </c>
      <c r="N1249" s="6">
        <v>45609</v>
      </c>
      <c r="O1249" s="4">
        <v>2675909.6</v>
      </c>
      <c r="P1249" s="2">
        <v>6215909</v>
      </c>
      <c r="Q1249" s="2" t="s">
        <v>1547</v>
      </c>
      <c r="R1249" s="2" t="s">
        <v>1548</v>
      </c>
      <c r="S1249" s="2" t="s">
        <v>73</v>
      </c>
      <c r="W1249" s="4">
        <v>740</v>
      </c>
      <c r="X1249" s="4">
        <f>SrcDB[[#This Row],[Cena bez DPH]]*1.2</f>
        <v>888</v>
      </c>
      <c r="Y1249" s="4">
        <f t="shared" ref="Y1249" si="1390">INDEX(InternalRates,MATCH($S1249,InternalRates01,FALSE),2)</f>
        <v>278.98333333333335</v>
      </c>
      <c r="Z1249" s="3" t="str">
        <f t="shared" si="1362"/>
        <v>Nie</v>
      </c>
      <c r="AA1249" s="3" t="str">
        <f t="shared" si="1363"/>
        <v>ZoD</v>
      </c>
      <c r="AD1249" s="3" t="s">
        <v>49</v>
      </c>
      <c r="AE1249" s="6">
        <v>45679</v>
      </c>
      <c r="AF1249" s="3" t="s">
        <v>59</v>
      </c>
      <c r="AG1249" s="3" t="s">
        <v>48</v>
      </c>
      <c r="AH1249" s="3">
        <f>YEAR(SrcDB[[#This Row],[Datum_zverejnenia]])</f>
        <v>2024</v>
      </c>
      <c r="AI1249" s="3" cm="1">
        <f t="array" ref="AI1249">COUNT(_xlfn.UNIQUE(_xlfn._xlws.FILTER(SrcDB[ID],SrcDB[Objednavatel_ICO]=$H1249)))</f>
        <v>1</v>
      </c>
      <c r="AJ1249" s="3" cm="1">
        <f t="array" ref="AJ1249">COUNT(_xlfn.UNIQUE(_xlfn._xlws.FILTER(SrcDB[ID],SrcDB[Dodavatel_ICO]=$K1249)))</f>
        <v>3</v>
      </c>
      <c r="AK1249" s="3">
        <f t="shared" si="1358"/>
        <v>0</v>
      </c>
      <c r="AL1249" s="3">
        <f t="shared" si="1359"/>
        <v>0</v>
      </c>
      <c r="AM1249" s="17" t="str">
        <f>IF(SrcDB[[#This Row],[Pocet zmluv objednavatela]]&gt;3,SrcDB[[#This Row],[Objednavatel]],"Ostatné")</f>
        <v>Ostatné</v>
      </c>
      <c r="AN1249" s="17" t="str">
        <f>IF(SrcDB[[#This Row],[Pocet zmluv dodavatela]]&gt;3,SrcDB[[#This Row],[Dodavatel]],"Ostatné")</f>
        <v>Ostatné</v>
      </c>
    </row>
    <row r="1250" spans="1:40" x14ac:dyDescent="0.3">
      <c r="A1250" s="2" t="s">
        <v>81</v>
      </c>
      <c r="B1250" s="2">
        <v>10020409</v>
      </c>
      <c r="C1250" s="3" t="str">
        <f t="shared" si="1352"/>
        <v>Áno</v>
      </c>
      <c r="D1250" s="3" t="str">
        <f t="shared" si="1353"/>
        <v>Nie</v>
      </c>
      <c r="E1250" s="3" t="s">
        <v>49</v>
      </c>
      <c r="F1250" s="3" t="s">
        <v>48</v>
      </c>
      <c r="G1250" s="2" t="str">
        <f t="shared" si="1354"/>
        <v>Stredné zmluvy</v>
      </c>
      <c r="H1250" s="5" t="s">
        <v>1543</v>
      </c>
      <c r="I1250" s="2" t="s">
        <v>1544</v>
      </c>
      <c r="J1250" s="2" t="s">
        <v>1545</v>
      </c>
      <c r="K1250" s="5">
        <v>31589898</v>
      </c>
      <c r="L1250" s="2" t="s">
        <v>576</v>
      </c>
      <c r="M1250" s="2" t="s">
        <v>1546</v>
      </c>
      <c r="N1250" s="6">
        <v>45609</v>
      </c>
      <c r="O1250" s="4">
        <v>2675909.6</v>
      </c>
      <c r="P1250" s="2">
        <v>6215909</v>
      </c>
      <c r="Q1250" s="2" t="s">
        <v>1547</v>
      </c>
      <c r="R1250" s="2" t="s">
        <v>1548</v>
      </c>
      <c r="S1250" s="2" t="s">
        <v>77</v>
      </c>
      <c r="W1250" s="4">
        <v>710</v>
      </c>
      <c r="X1250" s="4">
        <f>SrcDB[[#This Row],[Cena bez DPH]]*1.2</f>
        <v>852</v>
      </c>
      <c r="Y1250" s="4">
        <f t="shared" ref="Y1250" si="1391">INDEX(InternalRates,MATCH($S1250,InternalRates01,FALSE),2)</f>
        <v>278.98333333333335</v>
      </c>
      <c r="Z1250" s="3" t="str">
        <f t="shared" si="1362"/>
        <v>Nie</v>
      </c>
      <c r="AA1250" s="3" t="str">
        <f t="shared" si="1363"/>
        <v>ZoD</v>
      </c>
      <c r="AD1250" s="3" t="s">
        <v>49</v>
      </c>
      <c r="AE1250" s="6">
        <v>45679</v>
      </c>
      <c r="AF1250" s="3" t="s">
        <v>59</v>
      </c>
      <c r="AG1250" s="3" t="s">
        <v>48</v>
      </c>
      <c r="AH1250" s="3">
        <f>YEAR(SrcDB[[#This Row],[Datum_zverejnenia]])</f>
        <v>2024</v>
      </c>
      <c r="AI1250" s="3" cm="1">
        <f t="array" ref="AI1250">COUNT(_xlfn.UNIQUE(_xlfn._xlws.FILTER(SrcDB[ID],SrcDB[Objednavatel_ICO]=$H1250)))</f>
        <v>1</v>
      </c>
      <c r="AJ1250" s="3" cm="1">
        <f t="array" ref="AJ1250">COUNT(_xlfn.UNIQUE(_xlfn._xlws.FILTER(SrcDB[ID],SrcDB[Dodavatel_ICO]=$K1250)))</f>
        <v>3</v>
      </c>
      <c r="AK1250" s="3">
        <f t="shared" si="1358"/>
        <v>0</v>
      </c>
      <c r="AL1250" s="3">
        <f t="shared" si="1359"/>
        <v>0</v>
      </c>
      <c r="AM1250" s="17" t="str">
        <f>IF(SrcDB[[#This Row],[Pocet zmluv objednavatela]]&gt;3,SrcDB[[#This Row],[Objednavatel]],"Ostatné")</f>
        <v>Ostatné</v>
      </c>
      <c r="AN1250" s="17" t="str">
        <f>IF(SrcDB[[#This Row],[Pocet zmluv dodavatela]]&gt;3,SrcDB[[#This Row],[Dodavatel]],"Ostatné")</f>
        <v>Ostatné</v>
      </c>
    </row>
    <row r="1251" spans="1:40" x14ac:dyDescent="0.3">
      <c r="A1251" s="2" t="s">
        <v>81</v>
      </c>
      <c r="B1251" s="2">
        <v>10020409</v>
      </c>
      <c r="C1251" s="3" t="str">
        <f t="shared" si="1352"/>
        <v>Áno</v>
      </c>
      <c r="D1251" s="3" t="str">
        <f t="shared" si="1353"/>
        <v>Nie</v>
      </c>
      <c r="E1251" s="3" t="s">
        <v>49</v>
      </c>
      <c r="F1251" s="3" t="s">
        <v>48</v>
      </c>
      <c r="G1251" s="2" t="str">
        <f t="shared" si="1354"/>
        <v>Stredné zmluvy</v>
      </c>
      <c r="H1251" s="5" t="s">
        <v>1543</v>
      </c>
      <c r="I1251" s="2" t="s">
        <v>1544</v>
      </c>
      <c r="J1251" s="2" t="s">
        <v>1545</v>
      </c>
      <c r="K1251" s="5">
        <v>31589898</v>
      </c>
      <c r="L1251" s="2" t="s">
        <v>576</v>
      </c>
      <c r="M1251" s="2" t="s">
        <v>1546</v>
      </c>
      <c r="N1251" s="6">
        <v>45609</v>
      </c>
      <c r="O1251" s="4">
        <v>2675909.6</v>
      </c>
      <c r="P1251" s="2">
        <v>6215909</v>
      </c>
      <c r="Q1251" s="2" t="s">
        <v>1547</v>
      </c>
      <c r="R1251" s="2" t="s">
        <v>1548</v>
      </c>
      <c r="S1251" s="2" t="s">
        <v>79</v>
      </c>
      <c r="W1251" s="4">
        <v>450</v>
      </c>
      <c r="X1251" s="4">
        <f>SrcDB[[#This Row],[Cena bez DPH]]*1.2</f>
        <v>540</v>
      </c>
      <c r="Y1251" s="4">
        <f t="shared" ref="Y1251" si="1392">INDEX(InternalRates,MATCH($S1251,InternalRates01,FALSE),2)</f>
        <v>278.98333333333335</v>
      </c>
      <c r="Z1251" s="3" t="str">
        <f t="shared" si="1362"/>
        <v>Nie</v>
      </c>
      <c r="AA1251" s="3" t="str">
        <f t="shared" si="1363"/>
        <v>ZoD</v>
      </c>
      <c r="AD1251" s="3" t="s">
        <v>49</v>
      </c>
      <c r="AE1251" s="6">
        <v>45679</v>
      </c>
      <c r="AF1251" s="3" t="s">
        <v>59</v>
      </c>
      <c r="AG1251" s="3" t="s">
        <v>48</v>
      </c>
      <c r="AH1251" s="3">
        <f>YEAR(SrcDB[[#This Row],[Datum_zverejnenia]])</f>
        <v>2024</v>
      </c>
      <c r="AI1251" s="3" cm="1">
        <f t="array" ref="AI1251">COUNT(_xlfn.UNIQUE(_xlfn._xlws.FILTER(SrcDB[ID],SrcDB[Objednavatel_ICO]=$H1251)))</f>
        <v>1</v>
      </c>
      <c r="AJ1251" s="3" cm="1">
        <f t="array" ref="AJ1251">COUNT(_xlfn.UNIQUE(_xlfn._xlws.FILTER(SrcDB[ID],SrcDB[Dodavatel_ICO]=$K1251)))</f>
        <v>3</v>
      </c>
      <c r="AK1251" s="3">
        <f t="shared" si="1358"/>
        <v>0</v>
      </c>
      <c r="AL1251" s="3">
        <f t="shared" si="1359"/>
        <v>0</v>
      </c>
      <c r="AM1251" s="17" t="str">
        <f>IF(SrcDB[[#This Row],[Pocet zmluv objednavatela]]&gt;3,SrcDB[[#This Row],[Objednavatel]],"Ostatné")</f>
        <v>Ostatné</v>
      </c>
      <c r="AN1251" s="17" t="str">
        <f>IF(SrcDB[[#This Row],[Pocet zmluv dodavatela]]&gt;3,SrcDB[[#This Row],[Dodavatel]],"Ostatné")</f>
        <v>Ostatné</v>
      </c>
    </row>
    <row r="1252" spans="1:40" x14ac:dyDescent="0.3">
      <c r="A1252" s="2" t="s">
        <v>81</v>
      </c>
      <c r="B1252" s="2">
        <v>10020409</v>
      </c>
      <c r="C1252" s="3" t="str">
        <f t="shared" si="1352"/>
        <v>Áno</v>
      </c>
      <c r="D1252" s="3" t="str">
        <f t="shared" si="1353"/>
        <v>Nie</v>
      </c>
      <c r="E1252" s="3" t="s">
        <v>49</v>
      </c>
      <c r="F1252" s="3" t="s">
        <v>48</v>
      </c>
      <c r="G1252" s="2" t="str">
        <f t="shared" si="1354"/>
        <v>Stredné zmluvy</v>
      </c>
      <c r="H1252" s="5" t="s">
        <v>1543</v>
      </c>
      <c r="I1252" s="2" t="s">
        <v>1544</v>
      </c>
      <c r="J1252" s="2" t="s">
        <v>1545</v>
      </c>
      <c r="K1252" s="5">
        <v>31589898</v>
      </c>
      <c r="L1252" s="2" t="s">
        <v>576</v>
      </c>
      <c r="M1252" s="2" t="s">
        <v>1546</v>
      </c>
      <c r="N1252" s="6">
        <v>45609</v>
      </c>
      <c r="O1252" s="4">
        <v>2675909.6</v>
      </c>
      <c r="P1252" s="2">
        <v>6215909</v>
      </c>
      <c r="Q1252" s="2" t="s">
        <v>1547</v>
      </c>
      <c r="R1252" s="2" t="s">
        <v>1548</v>
      </c>
      <c r="S1252" s="2" t="s">
        <v>162</v>
      </c>
      <c r="W1252" s="4">
        <v>450</v>
      </c>
      <c r="X1252" s="4">
        <f>SrcDB[[#This Row],[Cena bez DPH]]*1.2</f>
        <v>540</v>
      </c>
      <c r="Y1252" s="4">
        <f t="shared" ref="Y1252" si="1393">INDEX(InternalRates,MATCH($S1252,InternalRates01,FALSE),2)</f>
        <v>231.85833333333335</v>
      </c>
      <c r="Z1252" s="3" t="str">
        <f t="shared" si="1362"/>
        <v>Nie</v>
      </c>
      <c r="AA1252" s="3" t="str">
        <f t="shared" si="1363"/>
        <v>ZoD</v>
      </c>
      <c r="AD1252" s="3" t="s">
        <v>49</v>
      </c>
      <c r="AE1252" s="6">
        <v>45679</v>
      </c>
      <c r="AF1252" s="3" t="s">
        <v>59</v>
      </c>
      <c r="AG1252" s="3" t="s">
        <v>48</v>
      </c>
      <c r="AH1252" s="3">
        <f>YEAR(SrcDB[[#This Row],[Datum_zverejnenia]])</f>
        <v>2024</v>
      </c>
      <c r="AI1252" s="3" cm="1">
        <f t="array" ref="AI1252">COUNT(_xlfn.UNIQUE(_xlfn._xlws.FILTER(SrcDB[ID],SrcDB[Objednavatel_ICO]=$H1252)))</f>
        <v>1</v>
      </c>
      <c r="AJ1252" s="3" cm="1">
        <f t="array" ref="AJ1252">COUNT(_xlfn.UNIQUE(_xlfn._xlws.FILTER(SrcDB[ID],SrcDB[Dodavatel_ICO]=$K1252)))</f>
        <v>3</v>
      </c>
      <c r="AK1252" s="3">
        <f t="shared" si="1358"/>
        <v>0</v>
      </c>
      <c r="AL1252" s="3">
        <f t="shared" si="1359"/>
        <v>0</v>
      </c>
      <c r="AM1252" s="17" t="str">
        <f>IF(SrcDB[[#This Row],[Pocet zmluv objednavatela]]&gt;3,SrcDB[[#This Row],[Objednavatel]],"Ostatné")</f>
        <v>Ostatné</v>
      </c>
      <c r="AN1252" s="17" t="str">
        <f>IF(SrcDB[[#This Row],[Pocet zmluv dodavatela]]&gt;3,SrcDB[[#This Row],[Dodavatel]],"Ostatné")</f>
        <v>Ostatné</v>
      </c>
    </row>
    <row r="1253" spans="1:40" x14ac:dyDescent="0.3">
      <c r="A1253" s="2" t="s">
        <v>1552</v>
      </c>
      <c r="B1253" s="2">
        <v>10220744</v>
      </c>
      <c r="C1253" s="3" t="str">
        <f t="shared" si="1352"/>
        <v>Nie</v>
      </c>
      <c r="D1253" s="3" t="str">
        <f t="shared" si="1353"/>
        <v>Áno</v>
      </c>
      <c r="E1253" s="3" t="s">
        <v>48</v>
      </c>
      <c r="F1253" s="3" t="s">
        <v>49</v>
      </c>
      <c r="G1253" s="2" t="str">
        <f t="shared" si="1354"/>
        <v>Malé zmluvy</v>
      </c>
      <c r="H1253" s="5" t="s">
        <v>1553</v>
      </c>
      <c r="I1253" s="2" t="s">
        <v>1554</v>
      </c>
      <c r="J1253" s="2" t="s">
        <v>1555</v>
      </c>
      <c r="K1253" s="5">
        <v>36328057</v>
      </c>
      <c r="L1253" s="2" t="s">
        <v>1219</v>
      </c>
      <c r="M1253" s="2" t="s">
        <v>1220</v>
      </c>
      <c r="N1253" s="6">
        <v>45646</v>
      </c>
      <c r="O1253" s="4">
        <v>994608</v>
      </c>
      <c r="P1253" s="2">
        <v>114571</v>
      </c>
      <c r="Q1253" s="2" t="s">
        <v>1556</v>
      </c>
      <c r="R1253" s="2" t="s">
        <v>1557</v>
      </c>
      <c r="S1253" s="2" t="s">
        <v>160</v>
      </c>
      <c r="T1253" s="2" t="s">
        <v>1558</v>
      </c>
      <c r="W1253" s="4">
        <v>480</v>
      </c>
      <c r="X1253" s="4">
        <f>SrcDB[[#This Row],[Cena bez DPH]]*1.2</f>
        <v>576</v>
      </c>
      <c r="Y1253" s="4">
        <f t="shared" ref="Y1253" si="1394">INDEX(InternalRates,MATCH($S1253,InternalRates01,FALSE),2)</f>
        <v>231.85833333333335</v>
      </c>
      <c r="Z1253" s="3" t="str">
        <f t="shared" si="1362"/>
        <v>Nie</v>
      </c>
      <c r="AA1253" s="3" t="str">
        <f t="shared" si="1363"/>
        <v>SLA</v>
      </c>
      <c r="AB1253" s="4">
        <v>1113.25</v>
      </c>
      <c r="AC1253" s="4">
        <f>SrcDB[[#This Row],[Množstvo práce]]/3</f>
        <v>371.08333333333331</v>
      </c>
      <c r="AD1253" s="3" t="s">
        <v>48</v>
      </c>
      <c r="AE1253" s="6">
        <v>45679</v>
      </c>
      <c r="AF1253" s="3" t="s">
        <v>59</v>
      </c>
      <c r="AG1253" s="3" t="s">
        <v>49</v>
      </c>
      <c r="AH1253" s="3">
        <f>YEAR(SrcDB[[#This Row],[Datum_zverejnenia]])</f>
        <v>2024</v>
      </c>
      <c r="AI1253" s="3" cm="1">
        <f t="array" ref="AI1253">COUNT(_xlfn.UNIQUE(_xlfn._xlws.FILTER(SrcDB[ID],SrcDB[Objednavatel_ICO]=$H1253)))</f>
        <v>1</v>
      </c>
      <c r="AJ1253" s="3" cm="1">
        <f t="array" ref="AJ1253">COUNT(_xlfn.UNIQUE(_xlfn._xlws.FILTER(SrcDB[ID],SrcDB[Dodavatel_ICO]=$K1253)))</f>
        <v>4</v>
      </c>
      <c r="AK1253" s="3">
        <f t="shared" si="1358"/>
        <v>1</v>
      </c>
      <c r="AL1253" s="3">
        <f t="shared" si="1359"/>
        <v>1</v>
      </c>
      <c r="AM1253" s="17" t="str">
        <f>IF(SrcDB[[#This Row],[Pocet zmluv objednavatela]]&gt;3,SrcDB[[#This Row],[Objednavatel]],"Ostatné")</f>
        <v>Ostatné</v>
      </c>
      <c r="AN1253" s="17" t="str">
        <f>IF(SrcDB[[#This Row],[Pocet zmluv dodavatela]]&gt;3,SrcDB[[#This Row],[Dodavatel]],"Ostatné")</f>
        <v>ICZ Slovakia a.s.</v>
      </c>
    </row>
    <row r="1254" spans="1:40" x14ac:dyDescent="0.3">
      <c r="A1254" s="2" t="s">
        <v>1559</v>
      </c>
      <c r="B1254" s="2">
        <v>10186674</v>
      </c>
      <c r="C1254" s="3" t="str">
        <f t="shared" si="1352"/>
        <v>Nie</v>
      </c>
      <c r="D1254" s="3" t="str">
        <f t="shared" si="1353"/>
        <v>Áno</v>
      </c>
      <c r="E1254" s="3" t="s">
        <v>48</v>
      </c>
      <c r="F1254" s="3" t="s">
        <v>49</v>
      </c>
      <c r="G1254" s="2" t="str">
        <f t="shared" si="1354"/>
        <v>Veľké zmluvy</v>
      </c>
      <c r="H1254" s="5" t="s">
        <v>278</v>
      </c>
      <c r="I1254" s="2" t="s">
        <v>279</v>
      </c>
      <c r="J1254" s="2" t="s">
        <v>1182</v>
      </c>
      <c r="K1254" s="5" t="s">
        <v>1560</v>
      </c>
      <c r="L1254" s="2" t="s">
        <v>1561</v>
      </c>
      <c r="M1254" s="2" t="s">
        <v>1562</v>
      </c>
      <c r="N1254" s="6">
        <v>45643</v>
      </c>
      <c r="O1254" s="4">
        <v>12863400</v>
      </c>
      <c r="P1254" s="2">
        <v>114733</v>
      </c>
      <c r="Q1254" s="2" t="s">
        <v>1563</v>
      </c>
      <c r="R1254" s="2" t="s">
        <v>1564</v>
      </c>
      <c r="S1254" s="2" t="s">
        <v>77</v>
      </c>
      <c r="T1254" s="2" t="s">
        <v>1565</v>
      </c>
      <c r="W1254" s="4">
        <v>420</v>
      </c>
      <c r="X1254" s="4">
        <f>SrcDB[[#This Row],[Cena bez DPH]]*1.2</f>
        <v>504</v>
      </c>
      <c r="Y1254" s="4">
        <f t="shared" ref="Y1254" si="1395">INDEX(InternalRates,MATCH($S1254,InternalRates01,FALSE),2)</f>
        <v>278.98333333333335</v>
      </c>
      <c r="Z1254" s="3" t="str">
        <f t="shared" si="1362"/>
        <v>Nie</v>
      </c>
      <c r="AA1254" s="3" t="str">
        <f t="shared" si="1363"/>
        <v>SLA</v>
      </c>
      <c r="AB1254" s="4">
        <v>1500</v>
      </c>
      <c r="AC1254" s="4">
        <v>375</v>
      </c>
      <c r="AD1254" s="3" t="s">
        <v>48</v>
      </c>
      <c r="AE1254" s="6">
        <v>45679</v>
      </c>
      <c r="AF1254" s="3" t="s">
        <v>59</v>
      </c>
      <c r="AG1254" s="3" t="s">
        <v>49</v>
      </c>
      <c r="AH1254" s="3">
        <f>YEAR(SrcDB[[#This Row],[Datum_zverejnenia]])</f>
        <v>2024</v>
      </c>
      <c r="AI1254" s="3" cm="1">
        <f t="array" ref="AI1254">COUNT(_xlfn.UNIQUE(_xlfn._xlws.FILTER(SrcDB[ID],SrcDB[Objednavatel_ICO]=$H1254)))</f>
        <v>6</v>
      </c>
      <c r="AJ1254" s="3" cm="1">
        <f t="array" ref="AJ1254">COUNT(_xlfn.UNIQUE(_xlfn._xlws.FILTER(SrcDB[ID],SrcDB[Dodavatel_ICO]=$K1254)))</f>
        <v>1</v>
      </c>
      <c r="AK1254" s="3">
        <f t="shared" si="1358"/>
        <v>1</v>
      </c>
      <c r="AL1254" s="3">
        <f t="shared" si="1359"/>
        <v>1</v>
      </c>
      <c r="AM1254" s="17" t="str">
        <f>IF(SrcDB[[#This Row],[Pocet zmluv objednavatela]]&gt;3,SrcDB[[#This Row],[Objednavatel]],"Ostatné")</f>
        <v>Štatistický úrad SR</v>
      </c>
      <c r="AN1254" s="17" t="str">
        <f>IF(SrcDB[[#This Row],[Pocet zmluv dodavatela]]&gt;3,SrcDB[[#This Row],[Dodavatel]],"Ostatné")</f>
        <v>Ostatné</v>
      </c>
    </row>
    <row r="1255" spans="1:40" x14ac:dyDescent="0.3">
      <c r="A1255" s="2" t="s">
        <v>1559</v>
      </c>
      <c r="B1255" s="2">
        <v>10186674</v>
      </c>
      <c r="C1255" s="3" t="str">
        <f t="shared" si="1352"/>
        <v>Nie</v>
      </c>
      <c r="D1255" s="3" t="str">
        <f t="shared" si="1353"/>
        <v>Áno</v>
      </c>
      <c r="E1255" s="3" t="s">
        <v>48</v>
      </c>
      <c r="F1255" s="3" t="s">
        <v>49</v>
      </c>
      <c r="G1255" s="2" t="str">
        <f t="shared" si="1354"/>
        <v>Veľké zmluvy</v>
      </c>
      <c r="H1255" s="5" t="s">
        <v>278</v>
      </c>
      <c r="I1255" s="2" t="s">
        <v>279</v>
      </c>
      <c r="J1255" s="2" t="s">
        <v>1182</v>
      </c>
      <c r="K1255" s="5" t="s">
        <v>1560</v>
      </c>
      <c r="L1255" s="2" t="s">
        <v>1561</v>
      </c>
      <c r="M1255" s="2" t="s">
        <v>1562</v>
      </c>
      <c r="N1255" s="6">
        <v>45643</v>
      </c>
      <c r="O1255" s="4">
        <v>12863400</v>
      </c>
      <c r="P1255" s="2">
        <v>114733</v>
      </c>
      <c r="Q1255" s="2" t="s">
        <v>1563</v>
      </c>
      <c r="R1255" s="2" t="s">
        <v>1564</v>
      </c>
      <c r="S1255" s="2" t="s">
        <v>73</v>
      </c>
      <c r="T1255" s="2" t="s">
        <v>1566</v>
      </c>
      <c r="W1255" s="4">
        <v>480</v>
      </c>
      <c r="X1255" s="4">
        <f>SrcDB[[#This Row],[Cena bez DPH]]*1.2</f>
        <v>576</v>
      </c>
      <c r="Y1255" s="4">
        <f t="shared" ref="Y1255" si="1396">INDEX(InternalRates,MATCH($S1255,InternalRates01,FALSE),2)</f>
        <v>278.98333333333335</v>
      </c>
      <c r="Z1255" s="3" t="str">
        <f t="shared" si="1362"/>
        <v>Nie</v>
      </c>
      <c r="AA1255" s="3" t="str">
        <f t="shared" si="1363"/>
        <v>SLA</v>
      </c>
      <c r="AB1255" s="4">
        <v>1700</v>
      </c>
      <c r="AC1255" s="4">
        <v>425</v>
      </c>
      <c r="AD1255" s="3" t="s">
        <v>48</v>
      </c>
      <c r="AE1255" s="6">
        <v>45679</v>
      </c>
      <c r="AF1255" s="3" t="s">
        <v>59</v>
      </c>
      <c r="AG1255" s="3" t="s">
        <v>49</v>
      </c>
      <c r="AH1255" s="3">
        <f>YEAR(SrcDB[[#This Row],[Datum_zverejnenia]])</f>
        <v>2024</v>
      </c>
      <c r="AI1255" s="3" cm="1">
        <f t="array" ref="AI1255">COUNT(_xlfn.UNIQUE(_xlfn._xlws.FILTER(SrcDB[ID],SrcDB[Objednavatel_ICO]=$H1255)))</f>
        <v>6</v>
      </c>
      <c r="AJ1255" s="3" cm="1">
        <f t="array" ref="AJ1255">COUNT(_xlfn.UNIQUE(_xlfn._xlws.FILTER(SrcDB[ID],SrcDB[Dodavatel_ICO]=$K1255)))</f>
        <v>1</v>
      </c>
      <c r="AK1255" s="3">
        <f t="shared" si="1358"/>
        <v>0</v>
      </c>
      <c r="AL1255" s="3">
        <f t="shared" si="1359"/>
        <v>0</v>
      </c>
      <c r="AM1255" s="17" t="str">
        <f>IF(SrcDB[[#This Row],[Pocet zmluv objednavatela]]&gt;3,SrcDB[[#This Row],[Objednavatel]],"Ostatné")</f>
        <v>Štatistický úrad SR</v>
      </c>
      <c r="AN1255" s="17" t="str">
        <f>IF(SrcDB[[#This Row],[Pocet zmluv dodavatela]]&gt;3,SrcDB[[#This Row],[Dodavatel]],"Ostatné")</f>
        <v>Ostatné</v>
      </c>
    </row>
    <row r="1256" spans="1:40" x14ac:dyDescent="0.3">
      <c r="A1256" s="2" t="s">
        <v>1559</v>
      </c>
      <c r="B1256" s="2">
        <v>10186674</v>
      </c>
      <c r="C1256" s="3" t="str">
        <f t="shared" si="1352"/>
        <v>Nie</v>
      </c>
      <c r="D1256" s="3" t="str">
        <f t="shared" si="1353"/>
        <v>Áno</v>
      </c>
      <c r="E1256" s="3" t="s">
        <v>48</v>
      </c>
      <c r="F1256" s="3" t="s">
        <v>49</v>
      </c>
      <c r="G1256" s="2" t="str">
        <f t="shared" si="1354"/>
        <v>Veľké zmluvy</v>
      </c>
      <c r="H1256" s="5" t="s">
        <v>278</v>
      </c>
      <c r="I1256" s="2" t="s">
        <v>279</v>
      </c>
      <c r="J1256" s="2" t="s">
        <v>1182</v>
      </c>
      <c r="K1256" s="5" t="s">
        <v>1560</v>
      </c>
      <c r="L1256" s="2" t="s">
        <v>1561</v>
      </c>
      <c r="M1256" s="2" t="s">
        <v>1562</v>
      </c>
      <c r="N1256" s="6">
        <v>45643</v>
      </c>
      <c r="O1256" s="4">
        <v>12863400</v>
      </c>
      <c r="P1256" s="2">
        <v>114733</v>
      </c>
      <c r="Q1256" s="2" t="s">
        <v>1563</v>
      </c>
      <c r="R1256" s="2" t="s">
        <v>1564</v>
      </c>
      <c r="S1256" s="2" t="s">
        <v>56</v>
      </c>
      <c r="T1256" s="2" t="s">
        <v>1567</v>
      </c>
      <c r="U1256" s="2" t="s">
        <v>97</v>
      </c>
      <c r="W1256" s="4">
        <v>480</v>
      </c>
      <c r="X1256" s="4">
        <f>SrcDB[[#This Row],[Cena bez DPH]]*1.2</f>
        <v>576</v>
      </c>
      <c r="Y1256" s="4">
        <f t="shared" ref="Y1256" si="1397">INDEX(InternalRates,MATCH($S1256,InternalRates01,FALSE),2)</f>
        <v>278.98333333333335</v>
      </c>
      <c r="Z1256" s="3" t="str">
        <f t="shared" si="1362"/>
        <v>Nie</v>
      </c>
      <c r="AA1256" s="3" t="str">
        <f t="shared" si="1363"/>
        <v>SLA</v>
      </c>
      <c r="AB1256" s="4">
        <v>850</v>
      </c>
      <c r="AC1256" s="4">
        <v>212.5</v>
      </c>
      <c r="AD1256" s="3" t="s">
        <v>48</v>
      </c>
      <c r="AE1256" s="6">
        <v>45679</v>
      </c>
      <c r="AF1256" s="3" t="s">
        <v>59</v>
      </c>
      <c r="AG1256" s="3" t="s">
        <v>49</v>
      </c>
      <c r="AH1256" s="3">
        <f>YEAR(SrcDB[[#This Row],[Datum_zverejnenia]])</f>
        <v>2024</v>
      </c>
      <c r="AI1256" s="3" cm="1">
        <f t="array" ref="AI1256">COUNT(_xlfn.UNIQUE(_xlfn._xlws.FILTER(SrcDB[ID],SrcDB[Objednavatel_ICO]=$H1256)))</f>
        <v>6</v>
      </c>
      <c r="AJ1256" s="3" cm="1">
        <f t="array" ref="AJ1256">COUNT(_xlfn.UNIQUE(_xlfn._xlws.FILTER(SrcDB[ID],SrcDB[Dodavatel_ICO]=$K1256)))</f>
        <v>1</v>
      </c>
      <c r="AK1256" s="3">
        <f t="shared" si="1358"/>
        <v>0</v>
      </c>
      <c r="AL1256" s="3">
        <f t="shared" si="1359"/>
        <v>0</v>
      </c>
      <c r="AM1256" s="17" t="str">
        <f>IF(SrcDB[[#This Row],[Pocet zmluv objednavatela]]&gt;3,SrcDB[[#This Row],[Objednavatel]],"Ostatné")</f>
        <v>Štatistický úrad SR</v>
      </c>
      <c r="AN1256" s="17" t="str">
        <f>IF(SrcDB[[#This Row],[Pocet zmluv dodavatela]]&gt;3,SrcDB[[#This Row],[Dodavatel]],"Ostatné")</f>
        <v>Ostatné</v>
      </c>
    </row>
    <row r="1257" spans="1:40" x14ac:dyDescent="0.3">
      <c r="A1257" s="2" t="s">
        <v>1559</v>
      </c>
      <c r="B1257" s="2">
        <v>10186674</v>
      </c>
      <c r="C1257" s="3" t="str">
        <f t="shared" si="1352"/>
        <v>Nie</v>
      </c>
      <c r="D1257" s="3" t="str">
        <f t="shared" si="1353"/>
        <v>Áno</v>
      </c>
      <c r="E1257" s="3" t="s">
        <v>48</v>
      </c>
      <c r="F1257" s="3" t="s">
        <v>49</v>
      </c>
      <c r="G1257" s="2" t="str">
        <f t="shared" si="1354"/>
        <v>Veľké zmluvy</v>
      </c>
      <c r="H1257" s="5" t="s">
        <v>278</v>
      </c>
      <c r="I1257" s="2" t="s">
        <v>279</v>
      </c>
      <c r="J1257" s="2" t="s">
        <v>1182</v>
      </c>
      <c r="K1257" s="5" t="s">
        <v>1560</v>
      </c>
      <c r="L1257" s="2" t="s">
        <v>1561</v>
      </c>
      <c r="M1257" s="2" t="s">
        <v>1562</v>
      </c>
      <c r="N1257" s="6">
        <v>45643</v>
      </c>
      <c r="O1257" s="4">
        <v>12863400</v>
      </c>
      <c r="P1257" s="2">
        <v>114733</v>
      </c>
      <c r="Q1257" s="2" t="s">
        <v>1563</v>
      </c>
      <c r="R1257" s="2" t="s">
        <v>1564</v>
      </c>
      <c r="S1257" s="2" t="s">
        <v>56</v>
      </c>
      <c r="T1257" s="2" t="s">
        <v>1568</v>
      </c>
      <c r="U1257" s="2" t="s">
        <v>289</v>
      </c>
      <c r="W1257" s="4">
        <v>480</v>
      </c>
      <c r="X1257" s="4">
        <f>SrcDB[[#This Row],[Cena bez DPH]]*1.2</f>
        <v>576</v>
      </c>
      <c r="Y1257" s="4">
        <f t="shared" ref="Y1257" si="1398">INDEX(InternalRates,MATCH($S1257,InternalRates01,FALSE),2)</f>
        <v>278.98333333333335</v>
      </c>
      <c r="Z1257" s="3" t="str">
        <f t="shared" si="1362"/>
        <v>Nie</v>
      </c>
      <c r="AA1257" s="3" t="str">
        <f t="shared" si="1363"/>
        <v>SLA</v>
      </c>
      <c r="AB1257" s="4">
        <v>480</v>
      </c>
      <c r="AC1257" s="4">
        <v>120</v>
      </c>
      <c r="AD1257" s="3" t="s">
        <v>48</v>
      </c>
      <c r="AE1257" s="6">
        <v>45679</v>
      </c>
      <c r="AF1257" s="3" t="s">
        <v>59</v>
      </c>
      <c r="AG1257" s="3" t="s">
        <v>49</v>
      </c>
      <c r="AH1257" s="3">
        <f>YEAR(SrcDB[[#This Row],[Datum_zverejnenia]])</f>
        <v>2024</v>
      </c>
      <c r="AI1257" s="3" cm="1">
        <f t="array" ref="AI1257">COUNT(_xlfn.UNIQUE(_xlfn._xlws.FILTER(SrcDB[ID],SrcDB[Objednavatel_ICO]=$H1257)))</f>
        <v>6</v>
      </c>
      <c r="AJ1257" s="3" cm="1">
        <f t="array" ref="AJ1257">COUNT(_xlfn.UNIQUE(_xlfn._xlws.FILTER(SrcDB[ID],SrcDB[Dodavatel_ICO]=$K1257)))</f>
        <v>1</v>
      </c>
      <c r="AK1257" s="3">
        <f t="shared" si="1358"/>
        <v>0</v>
      </c>
      <c r="AL1257" s="3">
        <f t="shared" si="1359"/>
        <v>0</v>
      </c>
      <c r="AM1257" s="17" t="str">
        <f>IF(SrcDB[[#This Row],[Pocet zmluv objednavatela]]&gt;3,SrcDB[[#This Row],[Objednavatel]],"Ostatné")</f>
        <v>Štatistický úrad SR</v>
      </c>
      <c r="AN1257" s="17" t="str">
        <f>IF(SrcDB[[#This Row],[Pocet zmluv dodavatela]]&gt;3,SrcDB[[#This Row],[Dodavatel]],"Ostatné")</f>
        <v>Ostatné</v>
      </c>
    </row>
    <row r="1258" spans="1:40" x14ac:dyDescent="0.3">
      <c r="A1258" s="2" t="s">
        <v>1559</v>
      </c>
      <c r="B1258" s="2">
        <v>10186674</v>
      </c>
      <c r="C1258" s="3" t="str">
        <f t="shared" si="1352"/>
        <v>Nie</v>
      </c>
      <c r="D1258" s="3" t="str">
        <f t="shared" si="1353"/>
        <v>Áno</v>
      </c>
      <c r="E1258" s="3" t="s">
        <v>48</v>
      </c>
      <c r="F1258" s="3" t="s">
        <v>49</v>
      </c>
      <c r="G1258" s="2" t="str">
        <f t="shared" si="1354"/>
        <v>Veľké zmluvy</v>
      </c>
      <c r="H1258" s="5" t="s">
        <v>278</v>
      </c>
      <c r="I1258" s="2" t="s">
        <v>279</v>
      </c>
      <c r="J1258" s="2" t="s">
        <v>1182</v>
      </c>
      <c r="K1258" s="5" t="s">
        <v>1560</v>
      </c>
      <c r="L1258" s="2" t="s">
        <v>1561</v>
      </c>
      <c r="M1258" s="2" t="s">
        <v>1562</v>
      </c>
      <c r="N1258" s="6">
        <v>45643</v>
      </c>
      <c r="O1258" s="4">
        <v>12863400</v>
      </c>
      <c r="P1258" s="2">
        <v>114733</v>
      </c>
      <c r="Q1258" s="2" t="s">
        <v>1563</v>
      </c>
      <c r="R1258" s="2" t="s">
        <v>1564</v>
      </c>
      <c r="S1258" s="2" t="s">
        <v>79</v>
      </c>
      <c r="T1258" s="2" t="s">
        <v>1569</v>
      </c>
      <c r="W1258" s="4">
        <v>400</v>
      </c>
      <c r="X1258" s="4">
        <f>SrcDB[[#This Row],[Cena bez DPH]]*1.2</f>
        <v>480</v>
      </c>
      <c r="Y1258" s="4">
        <f t="shared" ref="Y1258" si="1399">INDEX(InternalRates,MATCH($S1258,InternalRates01,FALSE),2)</f>
        <v>278.98333333333335</v>
      </c>
      <c r="Z1258" s="3" t="str">
        <f t="shared" si="1362"/>
        <v>Nie</v>
      </c>
      <c r="AA1258" s="3" t="str">
        <f t="shared" si="1363"/>
        <v>SLA</v>
      </c>
      <c r="AB1258" s="4">
        <v>980</v>
      </c>
      <c r="AC1258" s="4">
        <v>245</v>
      </c>
      <c r="AD1258" s="3" t="s">
        <v>48</v>
      </c>
      <c r="AE1258" s="6">
        <v>45679</v>
      </c>
      <c r="AF1258" s="3" t="s">
        <v>59</v>
      </c>
      <c r="AG1258" s="3" t="s">
        <v>49</v>
      </c>
      <c r="AH1258" s="3">
        <f>YEAR(SrcDB[[#This Row],[Datum_zverejnenia]])</f>
        <v>2024</v>
      </c>
      <c r="AI1258" s="3" cm="1">
        <f t="array" ref="AI1258">COUNT(_xlfn.UNIQUE(_xlfn._xlws.FILTER(SrcDB[ID],SrcDB[Objednavatel_ICO]=$H1258)))</f>
        <v>6</v>
      </c>
      <c r="AJ1258" s="3" cm="1">
        <f t="array" ref="AJ1258">COUNT(_xlfn.UNIQUE(_xlfn._xlws.FILTER(SrcDB[ID],SrcDB[Dodavatel_ICO]=$K1258)))</f>
        <v>1</v>
      </c>
      <c r="AK1258" s="3">
        <f t="shared" si="1358"/>
        <v>0</v>
      </c>
      <c r="AL1258" s="3">
        <f t="shared" si="1359"/>
        <v>0</v>
      </c>
      <c r="AM1258" s="17" t="str">
        <f>IF(SrcDB[[#This Row],[Pocet zmluv objednavatela]]&gt;3,SrcDB[[#This Row],[Objednavatel]],"Ostatné")</f>
        <v>Štatistický úrad SR</v>
      </c>
      <c r="AN1258" s="17" t="str">
        <f>IF(SrcDB[[#This Row],[Pocet zmluv dodavatela]]&gt;3,SrcDB[[#This Row],[Dodavatel]],"Ostatné")</f>
        <v>Ostatné</v>
      </c>
    </row>
    <row r="1259" spans="1:40" x14ac:dyDescent="0.3">
      <c r="A1259" s="2" t="s">
        <v>1559</v>
      </c>
      <c r="B1259" s="2">
        <v>10186674</v>
      </c>
      <c r="C1259" s="3" t="str">
        <f t="shared" si="1352"/>
        <v>Nie</v>
      </c>
      <c r="D1259" s="3" t="str">
        <f t="shared" si="1353"/>
        <v>Áno</v>
      </c>
      <c r="E1259" s="3" t="s">
        <v>48</v>
      </c>
      <c r="F1259" s="3" t="s">
        <v>49</v>
      </c>
      <c r="G1259" s="2" t="str">
        <f t="shared" si="1354"/>
        <v>Veľké zmluvy</v>
      </c>
      <c r="H1259" s="5" t="s">
        <v>278</v>
      </c>
      <c r="I1259" s="2" t="s">
        <v>279</v>
      </c>
      <c r="J1259" s="2" t="s">
        <v>1182</v>
      </c>
      <c r="K1259" s="5" t="s">
        <v>1560</v>
      </c>
      <c r="L1259" s="2" t="s">
        <v>1561</v>
      </c>
      <c r="M1259" s="2" t="s">
        <v>1562</v>
      </c>
      <c r="N1259" s="6">
        <v>45643</v>
      </c>
      <c r="O1259" s="4">
        <v>12863400</v>
      </c>
      <c r="P1259" s="2">
        <v>114733</v>
      </c>
      <c r="Q1259" s="2" t="s">
        <v>1563</v>
      </c>
      <c r="R1259" s="2" t="s">
        <v>1564</v>
      </c>
      <c r="S1259" s="2" t="s">
        <v>69</v>
      </c>
      <c r="T1259" s="2" t="s">
        <v>1570</v>
      </c>
      <c r="W1259" s="4">
        <v>300</v>
      </c>
      <c r="X1259" s="4">
        <f>SrcDB[[#This Row],[Cena bez DPH]]*1.2</f>
        <v>360</v>
      </c>
      <c r="Y1259" s="4">
        <f t="shared" ref="Y1259" si="1400">INDEX(InternalRates,MATCH($S1259,InternalRates01,FALSE),2)</f>
        <v>278.98333333333335</v>
      </c>
      <c r="Z1259" s="3" t="str">
        <f t="shared" si="1362"/>
        <v>Nie</v>
      </c>
      <c r="AA1259" s="3" t="str">
        <f t="shared" si="1363"/>
        <v>SLA</v>
      </c>
      <c r="AB1259" s="4">
        <v>480</v>
      </c>
      <c r="AC1259" s="4">
        <v>120</v>
      </c>
      <c r="AD1259" s="3" t="s">
        <v>48</v>
      </c>
      <c r="AE1259" s="6">
        <v>45679</v>
      </c>
      <c r="AF1259" s="3" t="s">
        <v>59</v>
      </c>
      <c r="AG1259" s="3" t="s">
        <v>49</v>
      </c>
      <c r="AH1259" s="3">
        <f>YEAR(SrcDB[[#This Row],[Datum_zverejnenia]])</f>
        <v>2024</v>
      </c>
      <c r="AI1259" s="3" cm="1">
        <f t="array" ref="AI1259">COUNT(_xlfn.UNIQUE(_xlfn._xlws.FILTER(SrcDB[ID],SrcDB[Objednavatel_ICO]=$H1259)))</f>
        <v>6</v>
      </c>
      <c r="AJ1259" s="3" cm="1">
        <f t="array" ref="AJ1259">COUNT(_xlfn.UNIQUE(_xlfn._xlws.FILTER(SrcDB[ID],SrcDB[Dodavatel_ICO]=$K1259)))</f>
        <v>1</v>
      </c>
      <c r="AK1259" s="3">
        <f t="shared" si="1358"/>
        <v>0</v>
      </c>
      <c r="AL1259" s="3">
        <f t="shared" si="1359"/>
        <v>0</v>
      </c>
      <c r="AM1259" s="17" t="str">
        <f>IF(SrcDB[[#This Row],[Pocet zmluv objednavatela]]&gt;3,SrcDB[[#This Row],[Objednavatel]],"Ostatné")</f>
        <v>Štatistický úrad SR</v>
      </c>
      <c r="AN1259" s="17" t="str">
        <f>IF(SrcDB[[#This Row],[Pocet zmluv dodavatela]]&gt;3,SrcDB[[#This Row],[Dodavatel]],"Ostatné")</f>
        <v>Ostatné</v>
      </c>
    </row>
    <row r="1260" spans="1:40" x14ac:dyDescent="0.3">
      <c r="A1260" s="2" t="s">
        <v>564</v>
      </c>
      <c r="B1260" s="2">
        <v>9544125</v>
      </c>
      <c r="C1260" s="3" t="str">
        <f t="shared" si="1352"/>
        <v>Nejasné</v>
      </c>
      <c r="D1260" s="3" t="str">
        <f t="shared" si="1353"/>
        <v>Nejasné</v>
      </c>
      <c r="E1260" s="3" t="s">
        <v>49</v>
      </c>
      <c r="F1260" s="3" t="s">
        <v>48</v>
      </c>
      <c r="G1260" s="2" t="str">
        <f t="shared" si="1354"/>
        <v>Malé zmluvy</v>
      </c>
      <c r="H1260" s="5">
        <v>31364501</v>
      </c>
      <c r="I1260" s="2" t="s">
        <v>220</v>
      </c>
      <c r="J1260" s="2" t="s">
        <v>726</v>
      </c>
      <c r="K1260" s="5">
        <v>31385401</v>
      </c>
      <c r="L1260" s="2" t="s">
        <v>142</v>
      </c>
      <c r="M1260" s="2" t="s">
        <v>1571</v>
      </c>
      <c r="N1260" s="6">
        <v>45497</v>
      </c>
      <c r="O1260" s="4">
        <v>341510</v>
      </c>
      <c r="P1260" s="2">
        <v>114573</v>
      </c>
      <c r="Q1260" s="2" t="s">
        <v>1572</v>
      </c>
      <c r="R1260" s="2" t="s">
        <v>1573</v>
      </c>
      <c r="S1260" s="2" t="s">
        <v>183</v>
      </c>
      <c r="T1260" s="2" t="s">
        <v>1574</v>
      </c>
      <c r="W1260" s="4">
        <v>566</v>
      </c>
      <c r="X1260" s="4">
        <f>SrcDB[[#This Row],[Cena bez DPH]]*1.2</f>
        <v>679.19999999999993</v>
      </c>
      <c r="Y1260" s="4">
        <f t="shared" ref="Y1260" si="1401">INDEX(InternalRates,MATCH($S1260,InternalRates01,FALSE),2)</f>
        <v>278.98333333333335</v>
      </c>
      <c r="Z1260" s="3" t="str">
        <f>IF(W1260&gt;0,IF(Y1260&gt;W1260,"Áno","Nie"),"Nie")</f>
        <v>Nie</v>
      </c>
      <c r="AA1260" s="3" t="str">
        <f>IF(E1260="Nie","SLA",IF(F1260="Nie","ZoD","SLA+ZoD"))</f>
        <v>ZoD</v>
      </c>
      <c r="AB1260" s="4">
        <v>312</v>
      </c>
      <c r="AC1260" s="4">
        <v>312</v>
      </c>
      <c r="AD1260" s="3" t="s">
        <v>48</v>
      </c>
      <c r="AE1260" s="6">
        <v>45679</v>
      </c>
      <c r="AF1260" s="3" t="s">
        <v>59</v>
      </c>
      <c r="AG1260" s="3" t="s">
        <v>48</v>
      </c>
      <c r="AH1260" s="3">
        <f>YEAR(SrcDB[[#This Row],[Datum_zverejnenia]])</f>
        <v>2024</v>
      </c>
      <c r="AI1260" s="3" cm="1">
        <f t="array" ref="AI1260">COUNT(_xlfn.UNIQUE(_xlfn._xlws.FILTER(SrcDB[ID],SrcDB[Objednavatel_ICO]=$H1260)))</f>
        <v>24</v>
      </c>
      <c r="AJ1260" s="3" cm="1">
        <f t="array" ref="AJ1260">COUNT(_xlfn.UNIQUE(_xlfn._xlws.FILTER(SrcDB[ID],SrcDB[Dodavatel_ICO]=$K1260)))</f>
        <v>14</v>
      </c>
      <c r="AK1260" s="3" t="e">
        <f>IF(#REF!&lt;&gt;$H1260,1,IF(#REF!&lt;&gt;$B1260,1,0))</f>
        <v>#REF!</v>
      </c>
      <c r="AL1260" s="3" t="e">
        <f>IF(#REF!&lt;&gt;$K1260,1,IF(#REF!&lt;&gt;$B1260,1,0))</f>
        <v>#REF!</v>
      </c>
      <c r="AM1260" s="17" t="str">
        <f>IF(SrcDB[[#This Row],[Pocet zmluv objednavatela]]&gt;3,SrcDB[[#This Row],[Objednavatel]],"Ostatné")</f>
        <v>Železnice Slovenskej republiky</v>
      </c>
      <c r="AN1260" s="17" t="str">
        <f>IF(SrcDB[[#This Row],[Pocet zmluv dodavatela]]&gt;3,SrcDB[[#This Row],[Dodavatel]],"Ostatné")</f>
        <v>DITEC, a.s.</v>
      </c>
    </row>
    <row r="1261" spans="1:40" x14ac:dyDescent="0.3">
      <c r="A1261" s="2" t="s">
        <v>1575</v>
      </c>
      <c r="B1261" s="2">
        <v>9763219</v>
      </c>
      <c r="C1261" s="3" t="str">
        <f t="shared" si="1352"/>
        <v>Nie</v>
      </c>
      <c r="D1261" s="3" t="str">
        <f t="shared" si="1353"/>
        <v>Áno</v>
      </c>
      <c r="E1261" s="3" t="s">
        <v>48</v>
      </c>
      <c r="F1261" s="3" t="s">
        <v>49</v>
      </c>
      <c r="G1261" s="2" t="str">
        <f t="shared" si="1354"/>
        <v>Malé zmluvy</v>
      </c>
      <c r="H1261" s="5">
        <v>36063606</v>
      </c>
      <c r="I1261" s="2" t="s">
        <v>907</v>
      </c>
      <c r="J1261" s="2" t="s">
        <v>1576</v>
      </c>
      <c r="K1261" s="5" t="s">
        <v>1499</v>
      </c>
      <c r="L1261" s="2" t="s">
        <v>1500</v>
      </c>
      <c r="M1261" s="2" t="s">
        <v>1501</v>
      </c>
      <c r="N1261" s="6">
        <v>45551</v>
      </c>
      <c r="O1261" s="4">
        <v>805680.12</v>
      </c>
      <c r="P1261" s="2">
        <v>6215909</v>
      </c>
      <c r="Q1261" s="2" t="s">
        <v>1577</v>
      </c>
      <c r="R1261" s="2" t="s">
        <v>1578</v>
      </c>
      <c r="S1261" s="2" t="s">
        <v>160</v>
      </c>
      <c r="W1261" s="4">
        <v>608.25</v>
      </c>
      <c r="X1261" s="4">
        <f>SrcDB[[#This Row],[Cena bez DPH]]*1.2</f>
        <v>729.9</v>
      </c>
      <c r="Y1261" s="4">
        <f t="shared" ref="Y1261" si="1402">INDEX(InternalRates,MATCH($S1261,InternalRates01,FALSE),2)</f>
        <v>231.85833333333335</v>
      </c>
      <c r="Z1261" s="3" t="str">
        <f>IF(W1261&gt;0,IF(Y1261&gt;W1261,"Áno","Nie"),"Nie")</f>
        <v>Nie</v>
      </c>
      <c r="AA1261" s="3" t="str">
        <f>IF(E1261="Nie","SLA",IF(F1261="Nie","ZoD","SLA+ZoD"))</f>
        <v>SLA</v>
      </c>
      <c r="AB1261" s="4">
        <v>300</v>
      </c>
      <c r="AC1261" s="4">
        <v>62</v>
      </c>
      <c r="AD1261" s="3" t="s">
        <v>49</v>
      </c>
      <c r="AE1261" s="6">
        <v>45679</v>
      </c>
      <c r="AF1261" s="3" t="s">
        <v>59</v>
      </c>
      <c r="AG1261" s="3" t="s">
        <v>49</v>
      </c>
      <c r="AH1261" s="3">
        <f>YEAR(SrcDB[[#This Row],[Datum_zverejnenia]])</f>
        <v>2024</v>
      </c>
      <c r="AI1261" s="3" cm="1">
        <f t="array" ref="AI1261">COUNT(_xlfn.UNIQUE(_xlfn._xlws.FILTER(SrcDB[ID],SrcDB[Objednavatel_ICO]=$H1261)))</f>
        <v>3</v>
      </c>
      <c r="AJ1261" s="3" cm="1">
        <f t="array" ref="AJ1261">COUNT(_xlfn.UNIQUE(_xlfn._xlws.FILTER(SrcDB[ID],SrcDB[Dodavatel_ICO]=$K1261)))</f>
        <v>3</v>
      </c>
      <c r="AK1261" s="3">
        <f t="shared" si="1358"/>
        <v>1</v>
      </c>
      <c r="AL1261" s="3">
        <f t="shared" si="1359"/>
        <v>1</v>
      </c>
      <c r="AM1261" s="17" t="str">
        <f>IF(SrcDB[[#This Row],[Pocet zmluv objednavatela]]&gt;3,SrcDB[[#This Row],[Objednavatel]],"Ostatné")</f>
        <v>Ostatné</v>
      </c>
      <c r="AN1261" s="17" t="str">
        <f>IF(SrcDB[[#This Row],[Pocet zmluv dodavatela]]&gt;3,SrcDB[[#This Row],[Dodavatel]],"Ostatné")</f>
        <v>Ostatné</v>
      </c>
    </row>
    <row r="1262" spans="1:40" x14ac:dyDescent="0.3">
      <c r="A1262" s="2" t="s">
        <v>1579</v>
      </c>
      <c r="B1262" s="2">
        <v>9085927</v>
      </c>
      <c r="C1262" s="3" t="str">
        <f t="shared" si="1352"/>
        <v>Nie</v>
      </c>
      <c r="D1262" s="3" t="str">
        <f t="shared" si="1353"/>
        <v>Áno</v>
      </c>
      <c r="E1262" s="3" t="s">
        <v>48</v>
      </c>
      <c r="F1262" s="3" t="s">
        <v>49</v>
      </c>
      <c r="G1262" s="2" t="str">
        <f t="shared" si="1354"/>
        <v>Malé zmluvy</v>
      </c>
      <c r="H1262" s="5">
        <v>36631124</v>
      </c>
      <c r="I1262" s="2" t="s">
        <v>104</v>
      </c>
      <c r="J1262" s="2" t="s">
        <v>105</v>
      </c>
      <c r="K1262" s="5">
        <v>36844616</v>
      </c>
      <c r="L1262" s="2" t="s">
        <v>316</v>
      </c>
      <c r="M1262" s="2" t="s">
        <v>1580</v>
      </c>
      <c r="N1262" s="6">
        <v>45377</v>
      </c>
      <c r="O1262" s="4">
        <v>211440</v>
      </c>
      <c r="P1262" s="2">
        <v>114573</v>
      </c>
      <c r="Q1262" s="2" t="s">
        <v>1581</v>
      </c>
      <c r="R1262" s="2" t="s">
        <v>1582</v>
      </c>
      <c r="S1262" s="2" t="s">
        <v>71</v>
      </c>
      <c r="T1262" s="2" t="s">
        <v>320</v>
      </c>
      <c r="W1262" s="4">
        <v>660</v>
      </c>
      <c r="X1262" s="4">
        <f>SrcDB[[#This Row],[Cena bez DPH]]*1.2</f>
        <v>792</v>
      </c>
      <c r="Y1262" s="4">
        <f t="shared" ref="Y1262" si="1403">INDEX(InternalRates,MATCH($S1262,InternalRates01,FALSE),2)</f>
        <v>354.0333333333333</v>
      </c>
      <c r="Z1262" s="3" t="str">
        <f>IF(W1262&gt;0,IF(Y1262&gt;W1262,"Áno","Nie"),"Nie")</f>
        <v>Nie</v>
      </c>
      <c r="AA1262" s="3" t="str">
        <f>IF(E1262="Nie","SLA",IF(F1262="Nie","ZoD","SLA+ZoD"))</f>
        <v>SLA</v>
      </c>
      <c r="AD1262" s="3" t="s">
        <v>48</v>
      </c>
      <c r="AE1262" s="6">
        <v>45679</v>
      </c>
      <c r="AF1262" s="3" t="s">
        <v>59</v>
      </c>
      <c r="AG1262" s="3" t="s">
        <v>48</v>
      </c>
      <c r="AH1262" s="3">
        <f>YEAR(SrcDB[[#This Row],[Datum_zverejnenia]])</f>
        <v>2024</v>
      </c>
      <c r="AI1262" s="3" cm="1">
        <f t="array" ref="AI1262">COUNT(_xlfn.UNIQUE(_xlfn._xlws.FILTER(SrcDB[ID],SrcDB[Objednavatel_ICO]=$H1262)))</f>
        <v>17</v>
      </c>
      <c r="AJ1262" s="3" cm="1">
        <f t="array" ref="AJ1262">COUNT(_xlfn.UNIQUE(_xlfn._xlws.FILTER(SrcDB[ID],SrcDB[Dodavatel_ICO]=$K1262)))</f>
        <v>2</v>
      </c>
      <c r="AK1262" s="3">
        <f t="shared" si="1358"/>
        <v>1</v>
      </c>
      <c r="AL1262" s="3">
        <f t="shared" si="1359"/>
        <v>1</v>
      </c>
      <c r="AM1262" s="17" t="str">
        <f>IF(SrcDB[[#This Row],[Pocet zmluv objednavatela]]&gt;3,SrcDB[[#This Row],[Objednavatel]],"Ostatné")</f>
        <v>Slovenská pošta, a. s.</v>
      </c>
      <c r="AN1262" s="17" t="str">
        <f>IF(SrcDB[[#This Row],[Pocet zmluv dodavatela]]&gt;3,SrcDB[[#This Row],[Dodavatel]],"Ostatné")</f>
        <v>Ostatné</v>
      </c>
    </row>
    <row r="1263" spans="1:40" x14ac:dyDescent="0.3">
      <c r="A1263" s="2" t="s">
        <v>1579</v>
      </c>
      <c r="B1263" s="2">
        <v>9085927</v>
      </c>
      <c r="C1263" s="3" t="str">
        <f t="shared" si="1352"/>
        <v>Nie</v>
      </c>
      <c r="D1263" s="3" t="str">
        <f t="shared" si="1353"/>
        <v>Áno</v>
      </c>
      <c r="E1263" s="3" t="s">
        <v>48</v>
      </c>
      <c r="F1263" s="3" t="s">
        <v>49</v>
      </c>
      <c r="G1263" s="2" t="str">
        <f t="shared" si="1354"/>
        <v>Malé zmluvy</v>
      </c>
      <c r="H1263" s="5">
        <v>36631124</v>
      </c>
      <c r="I1263" s="2" t="s">
        <v>104</v>
      </c>
      <c r="J1263" s="2" t="s">
        <v>105</v>
      </c>
      <c r="K1263" s="5">
        <v>36844616</v>
      </c>
      <c r="L1263" s="2" t="s">
        <v>316</v>
      </c>
      <c r="M1263" s="2" t="s">
        <v>1580</v>
      </c>
      <c r="N1263" s="6">
        <v>45377</v>
      </c>
      <c r="O1263" s="4">
        <v>211440</v>
      </c>
      <c r="P1263" s="2">
        <v>114573</v>
      </c>
      <c r="Q1263" s="2" t="s">
        <v>1581</v>
      </c>
      <c r="R1263" s="2" t="s">
        <v>1582</v>
      </c>
      <c r="S1263" s="2" t="s">
        <v>56</v>
      </c>
      <c r="T1263" s="2" t="s">
        <v>1036</v>
      </c>
      <c r="U1263" s="2" t="s">
        <v>58</v>
      </c>
      <c r="W1263" s="4">
        <v>660</v>
      </c>
      <c r="X1263" s="4">
        <f>SrcDB[[#This Row],[Cena bez DPH]]*1.2</f>
        <v>792</v>
      </c>
      <c r="Y1263" s="4">
        <f t="shared" ref="Y1263" si="1404">INDEX(InternalRates,MATCH($S1263,InternalRates01,FALSE),2)</f>
        <v>278.98333333333335</v>
      </c>
      <c r="Z1263" s="3" t="str">
        <f t="shared" ref="Z1263:Z1289" si="1405">IF(W1263&gt;0,IF(Y1263&gt;W1263,"Áno","Nie"),"Nie")</f>
        <v>Nie</v>
      </c>
      <c r="AA1263" s="3" t="str">
        <f t="shared" ref="AA1263:AA1289" si="1406">IF(E1263="Nie","SLA",IF(F1263="Nie","ZoD","SLA+ZoD"))</f>
        <v>SLA</v>
      </c>
      <c r="AD1263" s="3" t="s">
        <v>48</v>
      </c>
      <c r="AE1263" s="6">
        <v>45679</v>
      </c>
      <c r="AF1263" s="3" t="s">
        <v>59</v>
      </c>
      <c r="AG1263" s="3" t="s">
        <v>48</v>
      </c>
      <c r="AH1263" s="3">
        <f>YEAR(SrcDB[[#This Row],[Datum_zverejnenia]])</f>
        <v>2024</v>
      </c>
      <c r="AI1263" s="3" cm="1">
        <f t="array" ref="AI1263">COUNT(_xlfn.UNIQUE(_xlfn._xlws.FILTER(SrcDB[ID],SrcDB[Objednavatel_ICO]=$H1263)))</f>
        <v>17</v>
      </c>
      <c r="AJ1263" s="3" cm="1">
        <f t="array" ref="AJ1263">COUNT(_xlfn.UNIQUE(_xlfn._xlws.FILTER(SrcDB[ID],SrcDB[Dodavatel_ICO]=$K1263)))</f>
        <v>2</v>
      </c>
      <c r="AK1263" s="3">
        <f t="shared" si="1358"/>
        <v>0</v>
      </c>
      <c r="AL1263" s="3">
        <f t="shared" si="1359"/>
        <v>0</v>
      </c>
      <c r="AM1263" s="17" t="str">
        <f>IF(SrcDB[[#This Row],[Pocet zmluv objednavatela]]&gt;3,SrcDB[[#This Row],[Objednavatel]],"Ostatné")</f>
        <v>Slovenská pošta, a. s.</v>
      </c>
      <c r="AN1263" s="17" t="str">
        <f>IF(SrcDB[[#This Row],[Pocet zmluv dodavatela]]&gt;3,SrcDB[[#This Row],[Dodavatel]],"Ostatné")</f>
        <v>Ostatné</v>
      </c>
    </row>
    <row r="1264" spans="1:40" x14ac:dyDescent="0.3">
      <c r="A1264" s="2" t="s">
        <v>1579</v>
      </c>
      <c r="B1264" s="2">
        <v>9085927</v>
      </c>
      <c r="C1264" s="3" t="str">
        <f t="shared" si="1352"/>
        <v>Nie</v>
      </c>
      <c r="D1264" s="3" t="str">
        <f t="shared" si="1353"/>
        <v>Áno</v>
      </c>
      <c r="E1264" s="3" t="s">
        <v>48</v>
      </c>
      <c r="F1264" s="3" t="s">
        <v>49</v>
      </c>
      <c r="G1264" s="2" t="str">
        <f t="shared" si="1354"/>
        <v>Malé zmluvy</v>
      </c>
      <c r="H1264" s="5">
        <v>36631124</v>
      </c>
      <c r="I1264" s="2" t="s">
        <v>104</v>
      </c>
      <c r="J1264" s="2" t="s">
        <v>105</v>
      </c>
      <c r="K1264" s="5">
        <v>36844616</v>
      </c>
      <c r="L1264" s="2" t="s">
        <v>316</v>
      </c>
      <c r="M1264" s="2" t="s">
        <v>1580</v>
      </c>
      <c r="N1264" s="6">
        <v>45377</v>
      </c>
      <c r="O1264" s="4">
        <v>211440</v>
      </c>
      <c r="P1264" s="2">
        <v>114573</v>
      </c>
      <c r="Q1264" s="2" t="s">
        <v>1581</v>
      </c>
      <c r="R1264" s="2" t="s">
        <v>1582</v>
      </c>
      <c r="S1264" s="2" t="s">
        <v>69</v>
      </c>
      <c r="T1264" s="2" t="s">
        <v>69</v>
      </c>
      <c r="W1264" s="4">
        <v>600</v>
      </c>
      <c r="X1264" s="4">
        <f>SrcDB[[#This Row],[Cena bez DPH]]*1.2</f>
        <v>720</v>
      </c>
      <c r="Y1264" s="4">
        <f t="shared" ref="Y1264" si="1407">INDEX(InternalRates,MATCH($S1264,InternalRates01,FALSE),2)</f>
        <v>278.98333333333335</v>
      </c>
      <c r="Z1264" s="3" t="str">
        <f t="shared" si="1405"/>
        <v>Nie</v>
      </c>
      <c r="AA1264" s="3" t="str">
        <f t="shared" si="1406"/>
        <v>SLA</v>
      </c>
      <c r="AD1264" s="3" t="s">
        <v>48</v>
      </c>
      <c r="AE1264" s="6">
        <v>45679</v>
      </c>
      <c r="AF1264" s="3" t="s">
        <v>59</v>
      </c>
      <c r="AG1264" s="3" t="s">
        <v>48</v>
      </c>
      <c r="AH1264" s="3">
        <f>YEAR(SrcDB[[#This Row],[Datum_zverejnenia]])</f>
        <v>2024</v>
      </c>
      <c r="AI1264" s="3" cm="1">
        <f t="array" ref="AI1264">COUNT(_xlfn.UNIQUE(_xlfn._xlws.FILTER(SrcDB[ID],SrcDB[Objednavatel_ICO]=$H1264)))</f>
        <v>17</v>
      </c>
      <c r="AJ1264" s="3" cm="1">
        <f t="array" ref="AJ1264">COUNT(_xlfn.UNIQUE(_xlfn._xlws.FILTER(SrcDB[ID],SrcDB[Dodavatel_ICO]=$K1264)))</f>
        <v>2</v>
      </c>
      <c r="AK1264" s="3">
        <f t="shared" si="1358"/>
        <v>0</v>
      </c>
      <c r="AL1264" s="3">
        <f t="shared" si="1359"/>
        <v>0</v>
      </c>
      <c r="AM1264" s="17" t="str">
        <f>IF(SrcDB[[#This Row],[Pocet zmluv objednavatela]]&gt;3,SrcDB[[#This Row],[Objednavatel]],"Ostatné")</f>
        <v>Slovenská pošta, a. s.</v>
      </c>
      <c r="AN1264" s="17" t="str">
        <f>IF(SrcDB[[#This Row],[Pocet zmluv dodavatela]]&gt;3,SrcDB[[#This Row],[Dodavatel]],"Ostatné")</f>
        <v>Ostatné</v>
      </c>
    </row>
    <row r="1265" spans="1:40" x14ac:dyDescent="0.3">
      <c r="A1265" s="2" t="s">
        <v>1579</v>
      </c>
      <c r="B1265" s="2">
        <v>9085927</v>
      </c>
      <c r="C1265" s="3" t="str">
        <f t="shared" si="1352"/>
        <v>Nie</v>
      </c>
      <c r="D1265" s="3" t="str">
        <f t="shared" si="1353"/>
        <v>Áno</v>
      </c>
      <c r="E1265" s="3" t="s">
        <v>48</v>
      </c>
      <c r="F1265" s="3" t="s">
        <v>49</v>
      </c>
      <c r="G1265" s="2" t="str">
        <f t="shared" si="1354"/>
        <v>Malé zmluvy</v>
      </c>
      <c r="H1265" s="5">
        <v>36631124</v>
      </c>
      <c r="I1265" s="2" t="s">
        <v>104</v>
      </c>
      <c r="J1265" s="2" t="s">
        <v>105</v>
      </c>
      <c r="K1265" s="5">
        <v>36844616</v>
      </c>
      <c r="L1265" s="2" t="s">
        <v>316</v>
      </c>
      <c r="M1265" s="2" t="s">
        <v>1580</v>
      </c>
      <c r="N1265" s="6">
        <v>45377</v>
      </c>
      <c r="O1265" s="4">
        <v>211440</v>
      </c>
      <c r="P1265" s="2">
        <v>114573</v>
      </c>
      <c r="Q1265" s="2" t="s">
        <v>1581</v>
      </c>
      <c r="R1265" s="2" t="s">
        <v>1582</v>
      </c>
      <c r="S1265" s="2" t="s">
        <v>102</v>
      </c>
      <c r="T1265" s="2" t="s">
        <v>325</v>
      </c>
      <c r="W1265" s="4">
        <v>600</v>
      </c>
      <c r="X1265" s="4">
        <f>SrcDB[[#This Row],[Cena bez DPH]]*1.2</f>
        <v>720</v>
      </c>
      <c r="Y1265" s="4">
        <f t="shared" ref="Y1265" si="1408">INDEX(InternalRates,MATCH($S1265,InternalRates01,FALSE),2)</f>
        <v>278.98333333333335</v>
      </c>
      <c r="Z1265" s="3" t="str">
        <f t="shared" si="1405"/>
        <v>Nie</v>
      </c>
      <c r="AA1265" s="3" t="str">
        <f t="shared" si="1406"/>
        <v>SLA</v>
      </c>
      <c r="AD1265" s="3" t="s">
        <v>48</v>
      </c>
      <c r="AE1265" s="6">
        <v>45679</v>
      </c>
      <c r="AF1265" s="3" t="s">
        <v>59</v>
      </c>
      <c r="AG1265" s="3" t="s">
        <v>48</v>
      </c>
      <c r="AH1265" s="3">
        <f>YEAR(SrcDB[[#This Row],[Datum_zverejnenia]])</f>
        <v>2024</v>
      </c>
      <c r="AI1265" s="3" cm="1">
        <f t="array" ref="AI1265">COUNT(_xlfn.UNIQUE(_xlfn._xlws.FILTER(SrcDB[ID],SrcDB[Objednavatel_ICO]=$H1265)))</f>
        <v>17</v>
      </c>
      <c r="AJ1265" s="3" cm="1">
        <f t="array" ref="AJ1265">COUNT(_xlfn.UNIQUE(_xlfn._xlws.FILTER(SrcDB[ID],SrcDB[Dodavatel_ICO]=$K1265)))</f>
        <v>2</v>
      </c>
      <c r="AK1265" s="3">
        <f t="shared" si="1358"/>
        <v>0</v>
      </c>
      <c r="AL1265" s="3">
        <f t="shared" si="1359"/>
        <v>0</v>
      </c>
      <c r="AM1265" s="17" t="str">
        <f>IF(SrcDB[[#This Row],[Pocet zmluv objednavatela]]&gt;3,SrcDB[[#This Row],[Objednavatel]],"Ostatné")</f>
        <v>Slovenská pošta, a. s.</v>
      </c>
      <c r="AN1265" s="17" t="str">
        <f>IF(SrcDB[[#This Row],[Pocet zmluv dodavatela]]&gt;3,SrcDB[[#This Row],[Dodavatel]],"Ostatné")</f>
        <v>Ostatné</v>
      </c>
    </row>
    <row r="1266" spans="1:40" x14ac:dyDescent="0.3">
      <c r="A1266" s="2" t="s">
        <v>1579</v>
      </c>
      <c r="B1266" s="2">
        <v>9085927</v>
      </c>
      <c r="C1266" s="3" t="str">
        <f t="shared" si="1352"/>
        <v>Nie</v>
      </c>
      <c r="D1266" s="3" t="str">
        <f t="shared" si="1353"/>
        <v>Áno</v>
      </c>
      <c r="E1266" s="3" t="s">
        <v>48</v>
      </c>
      <c r="F1266" s="3" t="s">
        <v>49</v>
      </c>
      <c r="G1266" s="2" t="str">
        <f t="shared" si="1354"/>
        <v>Malé zmluvy</v>
      </c>
      <c r="H1266" s="5">
        <v>36631124</v>
      </c>
      <c r="I1266" s="2" t="s">
        <v>104</v>
      </c>
      <c r="J1266" s="2" t="s">
        <v>105</v>
      </c>
      <c r="K1266" s="5">
        <v>36844616</v>
      </c>
      <c r="L1266" s="2" t="s">
        <v>316</v>
      </c>
      <c r="M1266" s="2" t="s">
        <v>1580</v>
      </c>
      <c r="N1266" s="6">
        <v>45377</v>
      </c>
      <c r="O1266" s="4">
        <v>211440</v>
      </c>
      <c r="P1266" s="2">
        <v>114573</v>
      </c>
      <c r="Q1266" s="2" t="s">
        <v>1581</v>
      </c>
      <c r="R1266" s="2" t="s">
        <v>1582</v>
      </c>
      <c r="S1266" s="2" t="s">
        <v>73</v>
      </c>
      <c r="T1266" s="2" t="s">
        <v>73</v>
      </c>
      <c r="W1266" s="4">
        <v>580</v>
      </c>
      <c r="X1266" s="4">
        <f>SrcDB[[#This Row],[Cena bez DPH]]*1.2</f>
        <v>696</v>
      </c>
      <c r="Y1266" s="4">
        <f t="shared" ref="Y1266" si="1409">INDEX(InternalRates,MATCH($S1266,InternalRates01,FALSE),2)</f>
        <v>278.98333333333335</v>
      </c>
      <c r="Z1266" s="3" t="str">
        <f t="shared" si="1405"/>
        <v>Nie</v>
      </c>
      <c r="AA1266" s="3" t="str">
        <f t="shared" si="1406"/>
        <v>SLA</v>
      </c>
      <c r="AD1266" s="3" t="s">
        <v>48</v>
      </c>
      <c r="AE1266" s="6">
        <v>45679</v>
      </c>
      <c r="AF1266" s="3" t="s">
        <v>59</v>
      </c>
      <c r="AG1266" s="3" t="s">
        <v>48</v>
      </c>
      <c r="AH1266" s="3">
        <f>YEAR(SrcDB[[#This Row],[Datum_zverejnenia]])</f>
        <v>2024</v>
      </c>
      <c r="AI1266" s="3" cm="1">
        <f t="array" ref="AI1266">COUNT(_xlfn.UNIQUE(_xlfn._xlws.FILTER(SrcDB[ID],SrcDB[Objednavatel_ICO]=$H1266)))</f>
        <v>17</v>
      </c>
      <c r="AJ1266" s="3" cm="1">
        <f t="array" ref="AJ1266">COUNT(_xlfn.UNIQUE(_xlfn._xlws.FILTER(SrcDB[ID],SrcDB[Dodavatel_ICO]=$K1266)))</f>
        <v>2</v>
      </c>
      <c r="AK1266" s="3">
        <f t="shared" si="1358"/>
        <v>0</v>
      </c>
      <c r="AL1266" s="3">
        <f t="shared" si="1359"/>
        <v>0</v>
      </c>
      <c r="AM1266" s="17" t="str">
        <f>IF(SrcDB[[#This Row],[Pocet zmluv objednavatela]]&gt;3,SrcDB[[#This Row],[Objednavatel]],"Ostatné")</f>
        <v>Slovenská pošta, a. s.</v>
      </c>
      <c r="AN1266" s="17" t="str">
        <f>IF(SrcDB[[#This Row],[Pocet zmluv dodavatela]]&gt;3,SrcDB[[#This Row],[Dodavatel]],"Ostatné")</f>
        <v>Ostatné</v>
      </c>
    </row>
    <row r="1267" spans="1:40" x14ac:dyDescent="0.3">
      <c r="A1267" s="2" t="s">
        <v>1579</v>
      </c>
      <c r="B1267" s="2">
        <v>9085927</v>
      </c>
      <c r="C1267" s="3" t="str">
        <f t="shared" si="1352"/>
        <v>Nie</v>
      </c>
      <c r="D1267" s="3" t="str">
        <f t="shared" si="1353"/>
        <v>Áno</v>
      </c>
      <c r="E1267" s="3" t="s">
        <v>48</v>
      </c>
      <c r="F1267" s="3" t="s">
        <v>49</v>
      </c>
      <c r="G1267" s="2" t="str">
        <f t="shared" si="1354"/>
        <v>Malé zmluvy</v>
      </c>
      <c r="H1267" s="5">
        <v>36631124</v>
      </c>
      <c r="I1267" s="2" t="s">
        <v>104</v>
      </c>
      <c r="J1267" s="2" t="s">
        <v>105</v>
      </c>
      <c r="K1267" s="5">
        <v>36844616</v>
      </c>
      <c r="L1267" s="2" t="s">
        <v>316</v>
      </c>
      <c r="M1267" s="2" t="s">
        <v>1580</v>
      </c>
      <c r="N1267" s="6">
        <v>45377</v>
      </c>
      <c r="O1267" s="4">
        <v>211440</v>
      </c>
      <c r="P1267" s="2">
        <v>114573</v>
      </c>
      <c r="Q1267" s="2" t="s">
        <v>1581</v>
      </c>
      <c r="R1267" s="2" t="s">
        <v>1582</v>
      </c>
      <c r="S1267" s="2" t="s">
        <v>56</v>
      </c>
      <c r="T1267" s="2" t="s">
        <v>328</v>
      </c>
      <c r="U1267" s="2" t="s">
        <v>113</v>
      </c>
      <c r="W1267" s="4">
        <v>600</v>
      </c>
      <c r="X1267" s="4">
        <f>SrcDB[[#This Row],[Cena bez DPH]]*1.2</f>
        <v>720</v>
      </c>
      <c r="Y1267" s="4">
        <f t="shared" ref="Y1267" si="1410">INDEX(InternalRates,MATCH($S1267,InternalRates01,FALSE),2)</f>
        <v>278.98333333333335</v>
      </c>
      <c r="Z1267" s="3" t="str">
        <f t="shared" si="1405"/>
        <v>Nie</v>
      </c>
      <c r="AA1267" s="3" t="str">
        <f t="shared" si="1406"/>
        <v>SLA</v>
      </c>
      <c r="AD1267" s="3" t="s">
        <v>48</v>
      </c>
      <c r="AE1267" s="6">
        <v>45679</v>
      </c>
      <c r="AF1267" s="3" t="s">
        <v>59</v>
      </c>
      <c r="AG1267" s="3" t="s">
        <v>48</v>
      </c>
      <c r="AH1267" s="3">
        <f>YEAR(SrcDB[[#This Row],[Datum_zverejnenia]])</f>
        <v>2024</v>
      </c>
      <c r="AI1267" s="3" cm="1">
        <f t="array" ref="AI1267">COUNT(_xlfn.UNIQUE(_xlfn._xlws.FILTER(SrcDB[ID],SrcDB[Objednavatel_ICO]=$H1267)))</f>
        <v>17</v>
      </c>
      <c r="AJ1267" s="3" cm="1">
        <f t="array" ref="AJ1267">COUNT(_xlfn.UNIQUE(_xlfn._xlws.FILTER(SrcDB[ID],SrcDB[Dodavatel_ICO]=$K1267)))</f>
        <v>2</v>
      </c>
      <c r="AK1267" s="3">
        <f t="shared" si="1358"/>
        <v>0</v>
      </c>
      <c r="AL1267" s="3">
        <f t="shared" si="1359"/>
        <v>0</v>
      </c>
      <c r="AM1267" s="17" t="str">
        <f>IF(SrcDB[[#This Row],[Pocet zmluv objednavatela]]&gt;3,SrcDB[[#This Row],[Objednavatel]],"Ostatné")</f>
        <v>Slovenská pošta, a. s.</v>
      </c>
      <c r="AN1267" s="17" t="str">
        <f>IF(SrcDB[[#This Row],[Pocet zmluv dodavatela]]&gt;3,SrcDB[[#This Row],[Dodavatel]],"Ostatné")</f>
        <v>Ostatné</v>
      </c>
    </row>
    <row r="1268" spans="1:40" x14ac:dyDescent="0.3">
      <c r="A1268" s="2" t="s">
        <v>1579</v>
      </c>
      <c r="B1268" s="2">
        <v>9085927</v>
      </c>
      <c r="C1268" s="3" t="str">
        <f t="shared" si="1352"/>
        <v>Nie</v>
      </c>
      <c r="D1268" s="3" t="str">
        <f t="shared" si="1353"/>
        <v>Áno</v>
      </c>
      <c r="E1268" s="3" t="s">
        <v>48</v>
      </c>
      <c r="F1268" s="3" t="s">
        <v>49</v>
      </c>
      <c r="G1268" s="2" t="str">
        <f t="shared" si="1354"/>
        <v>Malé zmluvy</v>
      </c>
      <c r="H1268" s="5">
        <v>36631124</v>
      </c>
      <c r="I1268" s="2" t="s">
        <v>104</v>
      </c>
      <c r="J1268" s="2" t="s">
        <v>105</v>
      </c>
      <c r="K1268" s="5">
        <v>36844616</v>
      </c>
      <c r="L1268" s="2" t="s">
        <v>316</v>
      </c>
      <c r="M1268" s="2" t="s">
        <v>1580</v>
      </c>
      <c r="N1268" s="6">
        <v>45377</v>
      </c>
      <c r="O1268" s="4">
        <v>211440</v>
      </c>
      <c r="P1268" s="2">
        <v>114573</v>
      </c>
      <c r="Q1268" s="2" t="s">
        <v>1581</v>
      </c>
      <c r="R1268" s="2" t="s">
        <v>1582</v>
      </c>
      <c r="S1268" s="2" t="s">
        <v>77</v>
      </c>
      <c r="T1268" s="2" t="s">
        <v>77</v>
      </c>
      <c r="W1268" s="4">
        <v>540</v>
      </c>
      <c r="X1268" s="4">
        <f>SrcDB[[#This Row],[Cena bez DPH]]*1.2</f>
        <v>648</v>
      </c>
      <c r="Y1268" s="4">
        <f t="shared" ref="Y1268" si="1411">INDEX(InternalRates,MATCH($S1268,InternalRates01,FALSE),2)</f>
        <v>278.98333333333335</v>
      </c>
      <c r="Z1268" s="3" t="str">
        <f t="shared" si="1405"/>
        <v>Nie</v>
      </c>
      <c r="AA1268" s="3" t="str">
        <f t="shared" si="1406"/>
        <v>SLA</v>
      </c>
      <c r="AD1268" s="3" t="s">
        <v>48</v>
      </c>
      <c r="AE1268" s="6">
        <v>45679</v>
      </c>
      <c r="AF1268" s="3" t="s">
        <v>59</v>
      </c>
      <c r="AG1268" s="3" t="s">
        <v>48</v>
      </c>
      <c r="AH1268" s="3">
        <f>YEAR(SrcDB[[#This Row],[Datum_zverejnenia]])</f>
        <v>2024</v>
      </c>
      <c r="AI1268" s="3" cm="1">
        <f t="array" ref="AI1268">COUNT(_xlfn.UNIQUE(_xlfn._xlws.FILTER(SrcDB[ID],SrcDB[Objednavatel_ICO]=$H1268)))</f>
        <v>17</v>
      </c>
      <c r="AJ1268" s="3" cm="1">
        <f t="array" ref="AJ1268">COUNT(_xlfn.UNIQUE(_xlfn._xlws.FILTER(SrcDB[ID],SrcDB[Dodavatel_ICO]=$K1268)))</f>
        <v>2</v>
      </c>
      <c r="AK1268" s="3">
        <f t="shared" si="1358"/>
        <v>0</v>
      </c>
      <c r="AL1268" s="3">
        <f t="shared" si="1359"/>
        <v>0</v>
      </c>
      <c r="AM1268" s="17" t="str">
        <f>IF(SrcDB[[#This Row],[Pocet zmluv objednavatela]]&gt;3,SrcDB[[#This Row],[Objednavatel]],"Ostatné")</f>
        <v>Slovenská pošta, a. s.</v>
      </c>
      <c r="AN1268" s="17" t="str">
        <f>IF(SrcDB[[#This Row],[Pocet zmluv dodavatela]]&gt;3,SrcDB[[#This Row],[Dodavatel]],"Ostatné")</f>
        <v>Ostatné</v>
      </c>
    </row>
    <row r="1269" spans="1:40" x14ac:dyDescent="0.3">
      <c r="A1269" s="2" t="s">
        <v>1579</v>
      </c>
      <c r="B1269" s="2">
        <v>9085927</v>
      </c>
      <c r="C1269" s="3" t="str">
        <f t="shared" si="1352"/>
        <v>Nie</v>
      </c>
      <c r="D1269" s="3" t="str">
        <f t="shared" si="1353"/>
        <v>Áno</v>
      </c>
      <c r="E1269" s="3" t="s">
        <v>48</v>
      </c>
      <c r="F1269" s="3" t="s">
        <v>49</v>
      </c>
      <c r="G1269" s="2" t="str">
        <f t="shared" si="1354"/>
        <v>Malé zmluvy</v>
      </c>
      <c r="H1269" s="5">
        <v>36631124</v>
      </c>
      <c r="I1269" s="2" t="s">
        <v>104</v>
      </c>
      <c r="J1269" s="2" t="s">
        <v>105</v>
      </c>
      <c r="K1269" s="5">
        <v>36844616</v>
      </c>
      <c r="L1269" s="2" t="s">
        <v>316</v>
      </c>
      <c r="M1269" s="2" t="s">
        <v>1580</v>
      </c>
      <c r="N1269" s="6">
        <v>45377</v>
      </c>
      <c r="O1269" s="4">
        <v>211440</v>
      </c>
      <c r="P1269" s="2">
        <v>114573</v>
      </c>
      <c r="Q1269" s="2" t="s">
        <v>1581</v>
      </c>
      <c r="R1269" s="2" t="s">
        <v>1582</v>
      </c>
      <c r="S1269" s="2" t="s">
        <v>79</v>
      </c>
      <c r="T1269" s="2" t="s">
        <v>79</v>
      </c>
      <c r="W1269" s="4">
        <v>480</v>
      </c>
      <c r="X1269" s="4">
        <f>SrcDB[[#This Row],[Cena bez DPH]]*1.2</f>
        <v>576</v>
      </c>
      <c r="Y1269" s="4">
        <f t="shared" ref="Y1269" si="1412">INDEX(InternalRates,MATCH($S1269,InternalRates01,FALSE),2)</f>
        <v>278.98333333333335</v>
      </c>
      <c r="Z1269" s="3" t="str">
        <f t="shared" si="1405"/>
        <v>Nie</v>
      </c>
      <c r="AA1269" s="3" t="str">
        <f t="shared" si="1406"/>
        <v>SLA</v>
      </c>
      <c r="AD1269" s="3" t="s">
        <v>48</v>
      </c>
      <c r="AE1269" s="6">
        <v>45679</v>
      </c>
      <c r="AF1269" s="3" t="s">
        <v>59</v>
      </c>
      <c r="AG1269" s="3" t="s">
        <v>48</v>
      </c>
      <c r="AH1269" s="3">
        <f>YEAR(SrcDB[[#This Row],[Datum_zverejnenia]])</f>
        <v>2024</v>
      </c>
      <c r="AI1269" s="3" cm="1">
        <f t="array" ref="AI1269">COUNT(_xlfn.UNIQUE(_xlfn._xlws.FILTER(SrcDB[ID],SrcDB[Objednavatel_ICO]=$H1269)))</f>
        <v>17</v>
      </c>
      <c r="AJ1269" s="3" cm="1">
        <f t="array" ref="AJ1269">COUNT(_xlfn.UNIQUE(_xlfn._xlws.FILTER(SrcDB[ID],SrcDB[Dodavatel_ICO]=$K1269)))</f>
        <v>2</v>
      </c>
      <c r="AK1269" s="3">
        <f t="shared" si="1358"/>
        <v>0</v>
      </c>
      <c r="AL1269" s="3">
        <f t="shared" si="1359"/>
        <v>0</v>
      </c>
      <c r="AM1269" s="17" t="str">
        <f>IF(SrcDB[[#This Row],[Pocet zmluv objednavatela]]&gt;3,SrcDB[[#This Row],[Objednavatel]],"Ostatné")</f>
        <v>Slovenská pošta, a. s.</v>
      </c>
      <c r="AN1269" s="17" t="str">
        <f>IF(SrcDB[[#This Row],[Pocet zmluv dodavatela]]&gt;3,SrcDB[[#This Row],[Dodavatel]],"Ostatné")</f>
        <v>Ostatné</v>
      </c>
    </row>
    <row r="1270" spans="1:40" x14ac:dyDescent="0.3">
      <c r="A1270" s="2" t="s">
        <v>1579</v>
      </c>
      <c r="B1270" s="2">
        <v>9085927</v>
      </c>
      <c r="C1270" s="3" t="str">
        <f t="shared" si="1352"/>
        <v>Nie</v>
      </c>
      <c r="D1270" s="3" t="str">
        <f t="shared" si="1353"/>
        <v>Áno</v>
      </c>
      <c r="E1270" s="3" t="s">
        <v>48</v>
      </c>
      <c r="F1270" s="3" t="s">
        <v>49</v>
      </c>
      <c r="G1270" s="2" t="str">
        <f t="shared" si="1354"/>
        <v>Malé zmluvy</v>
      </c>
      <c r="H1270" s="5">
        <v>36631124</v>
      </c>
      <c r="I1270" s="2" t="s">
        <v>104</v>
      </c>
      <c r="J1270" s="2" t="s">
        <v>105</v>
      </c>
      <c r="K1270" s="5">
        <v>36844616</v>
      </c>
      <c r="L1270" s="2" t="s">
        <v>316</v>
      </c>
      <c r="M1270" s="2" t="s">
        <v>1580</v>
      </c>
      <c r="N1270" s="6">
        <v>45377</v>
      </c>
      <c r="O1270" s="4">
        <v>211440</v>
      </c>
      <c r="P1270" s="2">
        <v>114573</v>
      </c>
      <c r="Q1270" s="2" t="s">
        <v>1581</v>
      </c>
      <c r="R1270" s="2" t="s">
        <v>1582</v>
      </c>
      <c r="S1270" s="2" t="s">
        <v>100</v>
      </c>
      <c r="T1270" s="2" t="s">
        <v>333</v>
      </c>
      <c r="W1270" s="4">
        <v>320</v>
      </c>
      <c r="X1270" s="4">
        <f>SrcDB[[#This Row],[Cena bez DPH]]*1.2</f>
        <v>384</v>
      </c>
      <c r="Y1270" s="4">
        <f t="shared" ref="Y1270" si="1413">INDEX(InternalRates,MATCH($S1270,InternalRates01,FALSE),2)</f>
        <v>278.98333333333335</v>
      </c>
      <c r="Z1270" s="3" t="str">
        <f t="shared" si="1405"/>
        <v>Nie</v>
      </c>
      <c r="AA1270" s="3" t="str">
        <f t="shared" si="1406"/>
        <v>SLA</v>
      </c>
      <c r="AD1270" s="3" t="s">
        <v>48</v>
      </c>
      <c r="AE1270" s="6">
        <v>45679</v>
      </c>
      <c r="AF1270" s="3" t="s">
        <v>59</v>
      </c>
      <c r="AG1270" s="3" t="s">
        <v>48</v>
      </c>
      <c r="AH1270" s="3">
        <f>YEAR(SrcDB[[#This Row],[Datum_zverejnenia]])</f>
        <v>2024</v>
      </c>
      <c r="AI1270" s="3" cm="1">
        <f t="array" ref="AI1270">COUNT(_xlfn.UNIQUE(_xlfn._xlws.FILTER(SrcDB[ID],SrcDB[Objednavatel_ICO]=$H1270)))</f>
        <v>17</v>
      </c>
      <c r="AJ1270" s="3" cm="1">
        <f t="array" ref="AJ1270">COUNT(_xlfn.UNIQUE(_xlfn._xlws.FILTER(SrcDB[ID],SrcDB[Dodavatel_ICO]=$K1270)))</f>
        <v>2</v>
      </c>
      <c r="AK1270" s="3">
        <f t="shared" si="1358"/>
        <v>0</v>
      </c>
      <c r="AL1270" s="3">
        <f t="shared" si="1359"/>
        <v>0</v>
      </c>
      <c r="AM1270" s="17" t="str">
        <f>IF(SrcDB[[#This Row],[Pocet zmluv objednavatela]]&gt;3,SrcDB[[#This Row],[Objednavatel]],"Ostatné")</f>
        <v>Slovenská pošta, a. s.</v>
      </c>
      <c r="AN1270" s="17" t="str">
        <f>IF(SrcDB[[#This Row],[Pocet zmluv dodavatela]]&gt;3,SrcDB[[#This Row],[Dodavatel]],"Ostatné")</f>
        <v>Ostatné</v>
      </c>
    </row>
    <row r="1271" spans="1:40" x14ac:dyDescent="0.3">
      <c r="A1271" s="2" t="s">
        <v>1583</v>
      </c>
      <c r="B1271" s="2">
        <v>9883860</v>
      </c>
      <c r="C1271" s="3" t="str">
        <f t="shared" si="1352"/>
        <v>Nie</v>
      </c>
      <c r="D1271" s="3" t="str">
        <f t="shared" si="1353"/>
        <v>Áno</v>
      </c>
      <c r="E1271" s="3" t="s">
        <v>48</v>
      </c>
      <c r="F1271" s="3" t="s">
        <v>49</v>
      </c>
      <c r="G1271" s="2" t="str">
        <f t="shared" si="1354"/>
        <v>Stredné zmluvy</v>
      </c>
      <c r="H1271" s="5" t="s">
        <v>1584</v>
      </c>
      <c r="I1271" s="2" t="s">
        <v>1585</v>
      </c>
      <c r="J1271" s="2" t="s">
        <v>1586</v>
      </c>
      <c r="K1271" s="5">
        <v>35760419</v>
      </c>
      <c r="L1271" s="2" t="s">
        <v>85</v>
      </c>
      <c r="M1271" s="2" t="s">
        <v>1413</v>
      </c>
      <c r="N1271" s="6">
        <v>45579</v>
      </c>
      <c r="O1271" s="4">
        <v>1993848</v>
      </c>
      <c r="P1271" s="2">
        <v>6215909</v>
      </c>
      <c r="Q1271" s="2" t="s">
        <v>1587</v>
      </c>
      <c r="R1271" s="2" t="s">
        <v>1588</v>
      </c>
      <c r="S1271" s="2" t="s">
        <v>183</v>
      </c>
      <c r="W1271" s="4">
        <v>610</v>
      </c>
      <c r="X1271" s="4">
        <f>SrcDB[[#This Row],[Cena bez DPH]]*1.2</f>
        <v>732</v>
      </c>
      <c r="Y1271" s="4">
        <f t="shared" ref="Y1271" si="1414">INDEX(InternalRates,MATCH($S1271,InternalRates01,FALSE),2)</f>
        <v>278.98333333333335</v>
      </c>
      <c r="Z1271" s="3" t="str">
        <f t="shared" si="1405"/>
        <v>Nie</v>
      </c>
      <c r="AA1271" s="3" t="str">
        <f t="shared" si="1406"/>
        <v>SLA</v>
      </c>
      <c r="AB1271" s="4">
        <v>500</v>
      </c>
      <c r="AC1271" s="4">
        <f>SrcDB[[#This Row],[Množstvo práce]]/3</f>
        <v>166.66666666666666</v>
      </c>
      <c r="AD1271" s="3" t="s">
        <v>48</v>
      </c>
      <c r="AE1271" s="6">
        <v>45679</v>
      </c>
      <c r="AF1271" s="3" t="s">
        <v>59</v>
      </c>
      <c r="AG1271" s="3" t="s">
        <v>49</v>
      </c>
      <c r="AH1271" s="3">
        <f>YEAR(SrcDB[[#This Row],[Datum_zverejnenia]])</f>
        <v>2024</v>
      </c>
      <c r="AI1271" s="3" cm="1">
        <f t="array" ref="AI1271">COUNT(_xlfn.UNIQUE(_xlfn._xlws.FILTER(SrcDB[ID],SrcDB[Objednavatel_ICO]=$H1271)))</f>
        <v>1</v>
      </c>
      <c r="AJ1271" s="3" cm="1">
        <f t="array" ref="AJ1271">COUNT(_xlfn.UNIQUE(_xlfn._xlws.FILTER(SrcDB[ID],SrcDB[Dodavatel_ICO]=$K1271)))</f>
        <v>34</v>
      </c>
      <c r="AK1271" s="3">
        <f t="shared" si="1358"/>
        <v>1</v>
      </c>
      <c r="AL1271" s="3">
        <f t="shared" si="1359"/>
        <v>1</v>
      </c>
      <c r="AM1271" s="17" t="str">
        <f>IF(SrcDB[[#This Row],[Pocet zmluv objednavatela]]&gt;3,SrcDB[[#This Row],[Objednavatel]],"Ostatné")</f>
        <v>Ostatné</v>
      </c>
      <c r="AN1271" s="17" t="str">
        <f>IF(SrcDB[[#This Row],[Pocet zmluv dodavatela]]&gt;3,SrcDB[[#This Row],[Dodavatel]],"Ostatné")</f>
        <v>Asseco Central Europe, a.s.</v>
      </c>
    </row>
    <row r="1272" spans="1:40" x14ac:dyDescent="0.3">
      <c r="A1272" s="2" t="s">
        <v>1589</v>
      </c>
      <c r="B1272" s="2">
        <v>10157845</v>
      </c>
      <c r="C1272" s="3" t="str">
        <f t="shared" si="1352"/>
        <v>Nie</v>
      </c>
      <c r="D1272" s="3" t="str">
        <f t="shared" si="1353"/>
        <v>Áno</v>
      </c>
      <c r="E1272" s="3" t="s">
        <v>48</v>
      </c>
      <c r="F1272" s="3" t="s">
        <v>49</v>
      </c>
      <c r="G1272" s="2" t="str">
        <f t="shared" si="1354"/>
        <v>Malé zmluvy</v>
      </c>
      <c r="H1272" s="5" t="s">
        <v>1590</v>
      </c>
      <c r="I1272" s="2" t="s">
        <v>1591</v>
      </c>
      <c r="J1272" s="2" t="s">
        <v>1592</v>
      </c>
      <c r="K1272" s="5">
        <v>36396222</v>
      </c>
      <c r="L1272" s="2" t="s">
        <v>52</v>
      </c>
      <c r="M1272" s="2" t="s">
        <v>1593</v>
      </c>
      <c r="N1272" s="6">
        <v>45637</v>
      </c>
      <c r="O1272" s="4">
        <v>229176</v>
      </c>
      <c r="P1272" s="2">
        <v>114573</v>
      </c>
      <c r="Q1272" s="2" t="s">
        <v>1594</v>
      </c>
      <c r="R1272" s="2" t="s">
        <v>1595</v>
      </c>
      <c r="S1272" s="2" t="s">
        <v>123</v>
      </c>
      <c r="T1272" s="2" t="s">
        <v>1596</v>
      </c>
      <c r="V1272" s="2" t="s">
        <v>140</v>
      </c>
      <c r="W1272" s="4">
        <f>75*8</f>
        <v>600</v>
      </c>
      <c r="X1272" s="4">
        <f>SrcDB[[#This Row],[Cena bez DPH]]*1.2</f>
        <v>720</v>
      </c>
      <c r="Y1272" s="4">
        <f t="shared" ref="Y1272" si="1415">INDEX(InternalRates,MATCH($S1272,InternalRates01,FALSE),2)</f>
        <v>231.85833333333335</v>
      </c>
      <c r="Z1272" s="3" t="str">
        <f t="shared" si="1405"/>
        <v>Nie</v>
      </c>
      <c r="AA1272" s="3" t="str">
        <f t="shared" si="1406"/>
        <v>SLA</v>
      </c>
      <c r="AB1272" s="4">
        <v>100</v>
      </c>
      <c r="AC1272" s="4">
        <v>100</v>
      </c>
      <c r="AD1272" s="3" t="s">
        <v>48</v>
      </c>
      <c r="AE1272" s="6">
        <v>45679</v>
      </c>
      <c r="AF1272" s="3" t="s">
        <v>59</v>
      </c>
      <c r="AG1272" s="3" t="s">
        <v>48</v>
      </c>
      <c r="AH1272" s="3">
        <f>YEAR(SrcDB[[#This Row],[Datum_zverejnenia]])</f>
        <v>2024</v>
      </c>
      <c r="AI1272" s="3" cm="1">
        <f t="array" ref="AI1272">COUNT(_xlfn.UNIQUE(_xlfn._xlws.FILTER(SrcDB[ID],SrcDB[Objednavatel_ICO]=$H1272)))</f>
        <v>1</v>
      </c>
      <c r="AJ1272" s="3" cm="1">
        <f t="array" ref="AJ1272">COUNT(_xlfn.UNIQUE(_xlfn._xlws.FILTER(SrcDB[ID],SrcDB[Dodavatel_ICO]=$K1272)))</f>
        <v>11</v>
      </c>
      <c r="AK1272" s="3">
        <f t="shared" si="1358"/>
        <v>1</v>
      </c>
      <c r="AL1272" s="3">
        <f t="shared" si="1359"/>
        <v>1</v>
      </c>
      <c r="AM1272" s="17" t="str">
        <f>IF(SrcDB[[#This Row],[Pocet zmluv objednavatela]]&gt;3,SrcDB[[#This Row],[Objednavatel]],"Ostatné")</f>
        <v>Ostatné</v>
      </c>
      <c r="AN1272" s="17" t="str">
        <f>IF(SrcDB[[#This Row],[Pocet zmluv dodavatela]]&gt;3,SrcDB[[#This Row],[Dodavatel]],"Ostatné")</f>
        <v>AUTOCONT s.r.o. / ARICOMA Systems s.r.o.</v>
      </c>
    </row>
    <row r="1273" spans="1:40" x14ac:dyDescent="0.3">
      <c r="A1273" s="2" t="s">
        <v>1589</v>
      </c>
      <c r="B1273" s="2">
        <v>10157845</v>
      </c>
      <c r="C1273" s="3" t="str">
        <f t="shared" si="1352"/>
        <v>Nie</v>
      </c>
      <c r="D1273" s="3" t="str">
        <f t="shared" si="1353"/>
        <v>Áno</v>
      </c>
      <c r="E1273" s="3" t="s">
        <v>48</v>
      </c>
      <c r="F1273" s="3" t="s">
        <v>49</v>
      </c>
      <c r="G1273" s="2" t="str">
        <f t="shared" si="1354"/>
        <v>Malé zmluvy</v>
      </c>
      <c r="H1273" s="5" t="s">
        <v>1590</v>
      </c>
      <c r="I1273" s="2" t="s">
        <v>1591</v>
      </c>
      <c r="J1273" s="2" t="s">
        <v>1592</v>
      </c>
      <c r="K1273" s="5">
        <v>36396222</v>
      </c>
      <c r="L1273" s="2" t="s">
        <v>52</v>
      </c>
      <c r="M1273" s="2" t="s">
        <v>1593</v>
      </c>
      <c r="N1273" s="6">
        <v>45637</v>
      </c>
      <c r="O1273" s="4">
        <v>229176</v>
      </c>
      <c r="P1273" s="2">
        <v>114573</v>
      </c>
      <c r="Q1273" s="2" t="s">
        <v>1594</v>
      </c>
      <c r="R1273" s="2" t="s">
        <v>1595</v>
      </c>
      <c r="S1273" s="2" t="s">
        <v>56</v>
      </c>
      <c r="T1273" s="2" t="s">
        <v>1597</v>
      </c>
      <c r="U1273" s="2" t="s">
        <v>97</v>
      </c>
      <c r="W1273" s="4">
        <f>78*8</f>
        <v>624</v>
      </c>
      <c r="X1273" s="4">
        <f>SrcDB[[#This Row],[Cena bez DPH]]*1.2</f>
        <v>748.8</v>
      </c>
      <c r="Y1273" s="4">
        <f t="shared" ref="Y1273" si="1416">INDEX(InternalRates,MATCH($S1273,InternalRates01,FALSE),2)</f>
        <v>278.98333333333335</v>
      </c>
      <c r="Z1273" s="3" t="str">
        <f t="shared" si="1405"/>
        <v>Nie</v>
      </c>
      <c r="AA1273" s="3" t="str">
        <f t="shared" si="1406"/>
        <v>SLA</v>
      </c>
      <c r="AB1273" s="4">
        <v>100</v>
      </c>
      <c r="AC1273" s="4">
        <v>100</v>
      </c>
      <c r="AD1273" s="3" t="s">
        <v>48</v>
      </c>
      <c r="AE1273" s="6">
        <v>45679</v>
      </c>
      <c r="AF1273" s="3" t="s">
        <v>59</v>
      </c>
      <c r="AG1273" s="3" t="s">
        <v>48</v>
      </c>
      <c r="AH1273" s="3">
        <f>YEAR(SrcDB[[#This Row],[Datum_zverejnenia]])</f>
        <v>2024</v>
      </c>
      <c r="AI1273" s="3" cm="1">
        <f t="array" ref="AI1273">COUNT(_xlfn.UNIQUE(_xlfn._xlws.FILTER(SrcDB[ID],SrcDB[Objednavatel_ICO]=$H1273)))</f>
        <v>1</v>
      </c>
      <c r="AJ1273" s="3" cm="1">
        <f t="array" ref="AJ1273">COUNT(_xlfn.UNIQUE(_xlfn._xlws.FILTER(SrcDB[ID],SrcDB[Dodavatel_ICO]=$K1273)))</f>
        <v>11</v>
      </c>
      <c r="AK1273" s="3">
        <f t="shared" si="1358"/>
        <v>0</v>
      </c>
      <c r="AL1273" s="3">
        <f t="shared" si="1359"/>
        <v>0</v>
      </c>
      <c r="AM1273" s="17" t="str">
        <f>IF(SrcDB[[#This Row],[Pocet zmluv objednavatela]]&gt;3,SrcDB[[#This Row],[Objednavatel]],"Ostatné")</f>
        <v>Ostatné</v>
      </c>
      <c r="AN1273" s="17" t="str">
        <f>IF(SrcDB[[#This Row],[Pocet zmluv dodavatela]]&gt;3,SrcDB[[#This Row],[Dodavatel]],"Ostatné")</f>
        <v>AUTOCONT s.r.o. / ARICOMA Systems s.r.o.</v>
      </c>
    </row>
    <row r="1274" spans="1:40" x14ac:dyDescent="0.3">
      <c r="A1274" s="2" t="s">
        <v>1589</v>
      </c>
      <c r="B1274" s="2">
        <v>10157845</v>
      </c>
      <c r="C1274" s="3" t="str">
        <f t="shared" si="1352"/>
        <v>Nie</v>
      </c>
      <c r="D1274" s="3" t="str">
        <f t="shared" si="1353"/>
        <v>Áno</v>
      </c>
      <c r="E1274" s="3" t="s">
        <v>48</v>
      </c>
      <c r="F1274" s="3" t="s">
        <v>49</v>
      </c>
      <c r="G1274" s="2" t="str">
        <f t="shared" si="1354"/>
        <v>Malé zmluvy</v>
      </c>
      <c r="H1274" s="5" t="s">
        <v>1590</v>
      </c>
      <c r="I1274" s="2" t="s">
        <v>1591</v>
      </c>
      <c r="J1274" s="2" t="s">
        <v>1592</v>
      </c>
      <c r="K1274" s="5">
        <v>36396222</v>
      </c>
      <c r="L1274" s="2" t="s">
        <v>52</v>
      </c>
      <c r="M1274" s="2" t="s">
        <v>1593</v>
      </c>
      <c r="N1274" s="6">
        <v>45637</v>
      </c>
      <c r="O1274" s="4">
        <v>229176</v>
      </c>
      <c r="P1274" s="2">
        <v>114573</v>
      </c>
      <c r="Q1274" s="2" t="s">
        <v>1594</v>
      </c>
      <c r="R1274" s="2" t="s">
        <v>1595</v>
      </c>
      <c r="S1274" s="2" t="s">
        <v>123</v>
      </c>
      <c r="T1274" s="2" t="s">
        <v>1598</v>
      </c>
      <c r="V1274" s="2" t="s">
        <v>583</v>
      </c>
      <c r="W1274" s="4">
        <f>78*8</f>
        <v>624</v>
      </c>
      <c r="X1274" s="4">
        <f>SrcDB[[#This Row],[Cena bez DPH]]*1.2</f>
        <v>748.8</v>
      </c>
      <c r="Y1274" s="4">
        <f t="shared" ref="Y1274" si="1417">INDEX(InternalRates,MATCH($S1274,InternalRates01,FALSE),2)</f>
        <v>231.85833333333335</v>
      </c>
      <c r="Z1274" s="3" t="str">
        <f t="shared" si="1405"/>
        <v>Nie</v>
      </c>
      <c r="AA1274" s="3" t="str">
        <f t="shared" si="1406"/>
        <v>SLA</v>
      </c>
      <c r="AB1274" s="4">
        <v>100</v>
      </c>
      <c r="AC1274" s="4">
        <v>100</v>
      </c>
      <c r="AD1274" s="3" t="s">
        <v>48</v>
      </c>
      <c r="AE1274" s="6">
        <v>45679</v>
      </c>
      <c r="AF1274" s="3" t="s">
        <v>59</v>
      </c>
      <c r="AG1274" s="3" t="s">
        <v>48</v>
      </c>
      <c r="AH1274" s="3">
        <f>YEAR(SrcDB[[#This Row],[Datum_zverejnenia]])</f>
        <v>2024</v>
      </c>
      <c r="AI1274" s="3" cm="1">
        <f t="array" ref="AI1274">COUNT(_xlfn.UNIQUE(_xlfn._xlws.FILTER(SrcDB[ID],SrcDB[Objednavatel_ICO]=$H1274)))</f>
        <v>1</v>
      </c>
      <c r="AJ1274" s="3" cm="1">
        <f t="array" ref="AJ1274">COUNT(_xlfn.UNIQUE(_xlfn._xlws.FILTER(SrcDB[ID],SrcDB[Dodavatel_ICO]=$K1274)))</f>
        <v>11</v>
      </c>
      <c r="AK1274" s="3">
        <f t="shared" si="1358"/>
        <v>0</v>
      </c>
      <c r="AL1274" s="3">
        <f t="shared" si="1359"/>
        <v>0</v>
      </c>
      <c r="AM1274" s="17" t="str">
        <f>IF(SrcDB[[#This Row],[Pocet zmluv objednavatela]]&gt;3,SrcDB[[#This Row],[Objednavatel]],"Ostatné")</f>
        <v>Ostatné</v>
      </c>
      <c r="AN1274" s="17" t="str">
        <f>IF(SrcDB[[#This Row],[Pocet zmluv dodavatela]]&gt;3,SrcDB[[#This Row],[Dodavatel]],"Ostatné")</f>
        <v>AUTOCONT s.r.o. / ARICOMA Systems s.r.o.</v>
      </c>
    </row>
    <row r="1275" spans="1:40" x14ac:dyDescent="0.3">
      <c r="A1275" s="2" t="s">
        <v>1589</v>
      </c>
      <c r="B1275" s="2">
        <v>10157845</v>
      </c>
      <c r="C1275" s="3" t="str">
        <f t="shared" si="1352"/>
        <v>Nie</v>
      </c>
      <c r="D1275" s="3" t="str">
        <f t="shared" si="1353"/>
        <v>Áno</v>
      </c>
      <c r="E1275" s="3" t="s">
        <v>48</v>
      </c>
      <c r="F1275" s="3" t="s">
        <v>49</v>
      </c>
      <c r="G1275" s="2" t="str">
        <f t="shared" si="1354"/>
        <v>Malé zmluvy</v>
      </c>
      <c r="H1275" s="5" t="s">
        <v>1590</v>
      </c>
      <c r="I1275" s="2" t="s">
        <v>1591</v>
      </c>
      <c r="J1275" s="2" t="s">
        <v>1592</v>
      </c>
      <c r="K1275" s="5">
        <v>36396222</v>
      </c>
      <c r="L1275" s="2" t="s">
        <v>52</v>
      </c>
      <c r="M1275" s="2" t="s">
        <v>1593</v>
      </c>
      <c r="N1275" s="6">
        <v>45637</v>
      </c>
      <c r="O1275" s="4">
        <v>229176</v>
      </c>
      <c r="P1275" s="2">
        <v>114573</v>
      </c>
      <c r="Q1275" s="2" t="s">
        <v>1594</v>
      </c>
      <c r="R1275" s="2" t="s">
        <v>1595</v>
      </c>
      <c r="S1275" s="2" t="s">
        <v>56</v>
      </c>
      <c r="T1275" s="2" t="s">
        <v>1599</v>
      </c>
      <c r="U1275" s="2" t="s">
        <v>113</v>
      </c>
      <c r="W1275" s="4">
        <f>78*8</f>
        <v>624</v>
      </c>
      <c r="X1275" s="4">
        <f>SrcDB[[#This Row],[Cena bez DPH]]*1.2</f>
        <v>748.8</v>
      </c>
      <c r="Y1275" s="4">
        <f t="shared" ref="Y1275" si="1418">INDEX(InternalRates,MATCH($S1275,InternalRates01,FALSE),2)</f>
        <v>278.98333333333335</v>
      </c>
      <c r="Z1275" s="3" t="str">
        <f t="shared" si="1405"/>
        <v>Nie</v>
      </c>
      <c r="AA1275" s="3" t="str">
        <f t="shared" si="1406"/>
        <v>SLA</v>
      </c>
      <c r="AB1275" s="4">
        <v>100</v>
      </c>
      <c r="AC1275" s="4">
        <v>100</v>
      </c>
      <c r="AD1275" s="3" t="s">
        <v>48</v>
      </c>
      <c r="AE1275" s="6">
        <v>45679</v>
      </c>
      <c r="AF1275" s="3" t="s">
        <v>59</v>
      </c>
      <c r="AG1275" s="3" t="s">
        <v>48</v>
      </c>
      <c r="AH1275" s="3">
        <f>YEAR(SrcDB[[#This Row],[Datum_zverejnenia]])</f>
        <v>2024</v>
      </c>
      <c r="AI1275" s="3" cm="1">
        <f t="array" ref="AI1275">COUNT(_xlfn.UNIQUE(_xlfn._xlws.FILTER(SrcDB[ID],SrcDB[Objednavatel_ICO]=$H1275)))</f>
        <v>1</v>
      </c>
      <c r="AJ1275" s="3" cm="1">
        <f t="array" ref="AJ1275">COUNT(_xlfn.UNIQUE(_xlfn._xlws.FILTER(SrcDB[ID],SrcDB[Dodavatel_ICO]=$K1275)))</f>
        <v>11</v>
      </c>
      <c r="AK1275" s="3">
        <f t="shared" si="1358"/>
        <v>0</v>
      </c>
      <c r="AL1275" s="3">
        <f t="shared" si="1359"/>
        <v>0</v>
      </c>
      <c r="AM1275" s="17" t="str">
        <f>IF(SrcDB[[#This Row],[Pocet zmluv objednavatela]]&gt;3,SrcDB[[#This Row],[Objednavatel]],"Ostatné")</f>
        <v>Ostatné</v>
      </c>
      <c r="AN1275" s="17" t="str">
        <f>IF(SrcDB[[#This Row],[Pocet zmluv dodavatela]]&gt;3,SrcDB[[#This Row],[Dodavatel]],"Ostatné")</f>
        <v>AUTOCONT s.r.o. / ARICOMA Systems s.r.o.</v>
      </c>
    </row>
    <row r="1276" spans="1:40" x14ac:dyDescent="0.3">
      <c r="A1276" s="2" t="s">
        <v>523</v>
      </c>
      <c r="B1276" s="2">
        <v>9325152</v>
      </c>
      <c r="C1276" s="3" t="str">
        <f t="shared" si="1352"/>
        <v>Nejasné</v>
      </c>
      <c r="D1276" s="3" t="str">
        <f t="shared" si="1353"/>
        <v>Nejasné</v>
      </c>
      <c r="E1276" s="3" t="s">
        <v>48</v>
      </c>
      <c r="F1276" s="3" t="s">
        <v>49</v>
      </c>
      <c r="G1276" s="2" t="str">
        <f t="shared" si="1354"/>
        <v>Malé zmluvy</v>
      </c>
      <c r="H1276" s="5" t="s">
        <v>269</v>
      </c>
      <c r="I1276" s="2" t="s">
        <v>270</v>
      </c>
      <c r="J1276" s="2" t="s">
        <v>1600</v>
      </c>
      <c r="K1276" s="5" t="s">
        <v>272</v>
      </c>
      <c r="L1276" s="2" t="s">
        <v>273</v>
      </c>
      <c r="M1276" s="2" t="s">
        <v>1601</v>
      </c>
      <c r="N1276" s="6">
        <v>45440</v>
      </c>
      <c r="O1276" s="4">
        <v>231600</v>
      </c>
      <c r="P1276" s="2">
        <v>1552144</v>
      </c>
      <c r="Q1276" s="2" t="s">
        <v>1602</v>
      </c>
      <c r="R1276" s="2" t="s">
        <v>1603</v>
      </c>
      <c r="S1276" s="2" t="s">
        <v>183</v>
      </c>
      <c r="T1276" s="2" t="s">
        <v>1604</v>
      </c>
      <c r="W1276" s="4">
        <v>508.73</v>
      </c>
      <c r="X1276" s="4">
        <f>SrcDB[[#This Row],[Cena bez DPH]]*1.2</f>
        <v>610.476</v>
      </c>
      <c r="Y1276" s="4">
        <f t="shared" ref="Y1276" si="1419">INDEX(InternalRates,MATCH($S1276,InternalRates01,FALSE),2)</f>
        <v>278.98333333333335</v>
      </c>
      <c r="Z1276" s="3" t="str">
        <f t="shared" si="1405"/>
        <v>Nie</v>
      </c>
      <c r="AA1276" s="3" t="str">
        <f t="shared" si="1406"/>
        <v>SLA</v>
      </c>
      <c r="AB1276" s="4">
        <v>3035</v>
      </c>
      <c r="AC1276" s="4">
        <f>SrcDB[[#This Row],[Množstvo práce]]</f>
        <v>3035</v>
      </c>
      <c r="AD1276" s="3" t="s">
        <v>48</v>
      </c>
      <c r="AE1276" s="6">
        <v>45679</v>
      </c>
      <c r="AF1276" s="3" t="s">
        <v>59</v>
      </c>
      <c r="AG1276" s="3" t="s">
        <v>60</v>
      </c>
      <c r="AH1276" s="3">
        <f>YEAR(SrcDB[[#This Row],[Datum_zverejnenia]])</f>
        <v>2024</v>
      </c>
      <c r="AI1276" s="3" cm="1">
        <f t="array" ref="AI1276">COUNT(_xlfn.UNIQUE(_xlfn._xlws.FILTER(SrcDB[ID],SrcDB[Objednavatel_ICO]=$H1276)))</f>
        <v>2</v>
      </c>
      <c r="AJ1276" s="3" cm="1">
        <f t="array" ref="AJ1276">COUNT(_xlfn.UNIQUE(_xlfn._xlws.FILTER(SrcDB[ID],SrcDB[Dodavatel_ICO]=$K1276)))</f>
        <v>2</v>
      </c>
      <c r="AK1276" s="3">
        <f t="shared" si="1358"/>
        <v>1</v>
      </c>
      <c r="AL1276" s="3">
        <f t="shared" si="1359"/>
        <v>1</v>
      </c>
      <c r="AM1276" s="17" t="str">
        <f>IF(SrcDB[[#This Row],[Pocet zmluv objednavatela]]&gt;3,SrcDB[[#This Row],[Objednavatel]],"Ostatné")</f>
        <v>Ostatné</v>
      </c>
      <c r="AN1276" s="17" t="str">
        <f>IF(SrcDB[[#This Row],[Pocet zmluv dodavatela]]&gt;3,SrcDB[[#This Row],[Dodavatel]],"Ostatné")</f>
        <v>Ostatné</v>
      </c>
    </row>
    <row r="1277" spans="1:40" x14ac:dyDescent="0.3">
      <c r="A1277" s="2" t="s">
        <v>564</v>
      </c>
      <c r="B1277" s="2">
        <v>9874383</v>
      </c>
      <c r="C1277" s="3" t="str">
        <f t="shared" si="1352"/>
        <v>Nejasné</v>
      </c>
      <c r="D1277" s="3" t="str">
        <f t="shared" si="1353"/>
        <v>Nejasné</v>
      </c>
      <c r="E1277" s="3" t="s">
        <v>48</v>
      </c>
      <c r="F1277" s="3" t="s">
        <v>49</v>
      </c>
      <c r="G1277" s="2" t="str">
        <f t="shared" si="1354"/>
        <v>Malé zmluvy</v>
      </c>
      <c r="H1277" s="5">
        <v>31364501</v>
      </c>
      <c r="I1277" s="2" t="s">
        <v>220</v>
      </c>
      <c r="J1277" s="2" t="s">
        <v>726</v>
      </c>
      <c r="K1277" s="5">
        <v>35760419</v>
      </c>
      <c r="L1277" s="2" t="s">
        <v>85</v>
      </c>
      <c r="M1277" s="2" t="s">
        <v>1605</v>
      </c>
      <c r="N1277" s="6">
        <v>45575</v>
      </c>
      <c r="O1277" s="4">
        <v>524592</v>
      </c>
      <c r="P1277" s="2">
        <v>114573</v>
      </c>
      <c r="Q1277" s="2" t="s">
        <v>1606</v>
      </c>
      <c r="R1277" s="2" t="s">
        <v>1607</v>
      </c>
      <c r="S1277" s="2" t="s">
        <v>160</v>
      </c>
      <c r="T1277" s="2" t="s">
        <v>1608</v>
      </c>
      <c r="W1277" s="4">
        <v>650</v>
      </c>
      <c r="X1277" s="4">
        <f>SrcDB[[#This Row],[Cena bez DPH]]*1.2</f>
        <v>780</v>
      </c>
      <c r="Y1277" s="4">
        <f t="shared" ref="Y1277" si="1420">INDEX(InternalRates,MATCH($S1277,InternalRates01,FALSE),2)</f>
        <v>231.85833333333335</v>
      </c>
      <c r="Z1277" s="3" t="str">
        <f t="shared" si="1405"/>
        <v>Nie</v>
      </c>
      <c r="AA1277" s="3" t="str">
        <f t="shared" si="1406"/>
        <v>SLA</v>
      </c>
      <c r="AB1277" s="4">
        <v>324</v>
      </c>
      <c r="AC1277" s="4">
        <f>SrcDB[[#This Row],[Množstvo práce]]/3</f>
        <v>108</v>
      </c>
      <c r="AD1277" s="3" t="s">
        <v>48</v>
      </c>
      <c r="AE1277" s="6">
        <v>45679</v>
      </c>
      <c r="AF1277" s="3" t="s">
        <v>59</v>
      </c>
      <c r="AG1277" s="3" t="s">
        <v>48</v>
      </c>
      <c r="AH1277" s="3">
        <f>YEAR(SrcDB[[#This Row],[Datum_zverejnenia]])</f>
        <v>2024</v>
      </c>
      <c r="AI1277" s="3" cm="1">
        <f t="array" ref="AI1277">COUNT(_xlfn.UNIQUE(_xlfn._xlws.FILTER(SrcDB[ID],SrcDB[Objednavatel_ICO]=$H1277)))</f>
        <v>24</v>
      </c>
      <c r="AJ1277" s="3" cm="1">
        <f t="array" ref="AJ1277">COUNT(_xlfn.UNIQUE(_xlfn._xlws.FILTER(SrcDB[ID],SrcDB[Dodavatel_ICO]=$K1277)))</f>
        <v>34</v>
      </c>
      <c r="AK1277" s="3">
        <f t="shared" si="1358"/>
        <v>1</v>
      </c>
      <c r="AL1277" s="3">
        <f t="shared" si="1359"/>
        <v>1</v>
      </c>
      <c r="AM1277" s="17" t="str">
        <f>IF(SrcDB[[#This Row],[Pocet zmluv objednavatela]]&gt;3,SrcDB[[#This Row],[Objednavatel]],"Ostatné")</f>
        <v>Železnice Slovenskej republiky</v>
      </c>
      <c r="AN1277" s="17" t="str">
        <f>IF(SrcDB[[#This Row],[Pocet zmluv dodavatela]]&gt;3,SrcDB[[#This Row],[Dodavatel]],"Ostatné")</f>
        <v>Asseco Central Europe, a.s.</v>
      </c>
    </row>
    <row r="1278" spans="1:40" x14ac:dyDescent="0.3">
      <c r="A1278" s="2" t="s">
        <v>564</v>
      </c>
      <c r="B1278" s="2">
        <v>9874383</v>
      </c>
      <c r="C1278" s="3" t="str">
        <f t="shared" si="1352"/>
        <v>Nejasné</v>
      </c>
      <c r="D1278" s="3" t="str">
        <f t="shared" si="1353"/>
        <v>Nejasné</v>
      </c>
      <c r="E1278" s="3" t="s">
        <v>48</v>
      </c>
      <c r="F1278" s="3" t="s">
        <v>49</v>
      </c>
      <c r="G1278" s="2" t="str">
        <f t="shared" si="1354"/>
        <v>Malé zmluvy</v>
      </c>
      <c r="H1278" s="5">
        <v>31364501</v>
      </c>
      <c r="I1278" s="2" t="s">
        <v>220</v>
      </c>
      <c r="J1278" s="2" t="s">
        <v>726</v>
      </c>
      <c r="K1278" s="5">
        <v>35760419</v>
      </c>
      <c r="L1278" s="2" t="s">
        <v>85</v>
      </c>
      <c r="M1278" s="2" t="s">
        <v>1605</v>
      </c>
      <c r="N1278" s="6">
        <v>45575</v>
      </c>
      <c r="O1278" s="4">
        <v>524592</v>
      </c>
      <c r="P1278" s="2">
        <v>114573</v>
      </c>
      <c r="Q1278" s="2" t="s">
        <v>1606</v>
      </c>
      <c r="R1278" s="2" t="s">
        <v>1607</v>
      </c>
      <c r="S1278" s="2" t="s">
        <v>77</v>
      </c>
      <c r="T1278" s="2" t="s">
        <v>1609</v>
      </c>
      <c r="W1278" s="4">
        <v>640</v>
      </c>
      <c r="X1278" s="4">
        <f>SrcDB[[#This Row],[Cena bez DPH]]*1.2</f>
        <v>768</v>
      </c>
      <c r="Y1278" s="4">
        <f t="shared" ref="Y1278" si="1421">INDEX(InternalRates,MATCH($S1278,InternalRates01,FALSE),2)</f>
        <v>278.98333333333335</v>
      </c>
      <c r="Z1278" s="3" t="str">
        <f t="shared" si="1405"/>
        <v>Nie</v>
      </c>
      <c r="AA1278" s="3" t="str">
        <f t="shared" si="1406"/>
        <v>SLA</v>
      </c>
      <c r="AB1278" s="4">
        <v>354</v>
      </c>
      <c r="AC1278" s="4">
        <f>SrcDB[[#This Row],[Množstvo práce]]/3</f>
        <v>118</v>
      </c>
      <c r="AD1278" s="3" t="s">
        <v>48</v>
      </c>
      <c r="AE1278" s="6">
        <v>45679</v>
      </c>
      <c r="AF1278" s="3" t="s">
        <v>59</v>
      </c>
      <c r="AG1278" s="3" t="s">
        <v>48</v>
      </c>
      <c r="AH1278" s="3">
        <f>YEAR(SrcDB[[#This Row],[Datum_zverejnenia]])</f>
        <v>2024</v>
      </c>
      <c r="AI1278" s="3" cm="1">
        <f t="array" ref="AI1278">COUNT(_xlfn.UNIQUE(_xlfn._xlws.FILTER(SrcDB[ID],SrcDB[Objednavatel_ICO]=$H1278)))</f>
        <v>24</v>
      </c>
      <c r="AJ1278" s="3" cm="1">
        <f t="array" ref="AJ1278">COUNT(_xlfn.UNIQUE(_xlfn._xlws.FILTER(SrcDB[ID],SrcDB[Dodavatel_ICO]=$K1278)))</f>
        <v>34</v>
      </c>
      <c r="AK1278" s="3">
        <f t="shared" si="1358"/>
        <v>0</v>
      </c>
      <c r="AL1278" s="3">
        <f t="shared" si="1359"/>
        <v>0</v>
      </c>
      <c r="AM1278" s="17" t="str">
        <f>IF(SrcDB[[#This Row],[Pocet zmluv objednavatela]]&gt;3,SrcDB[[#This Row],[Objednavatel]],"Ostatné")</f>
        <v>Železnice Slovenskej republiky</v>
      </c>
      <c r="AN1278" s="17" t="str">
        <f>IF(SrcDB[[#This Row],[Pocet zmluv dodavatela]]&gt;3,SrcDB[[#This Row],[Dodavatel]],"Ostatné")</f>
        <v>Asseco Central Europe, a.s.</v>
      </c>
    </row>
    <row r="1279" spans="1:40" x14ac:dyDescent="0.3">
      <c r="A1279" s="2" t="s">
        <v>1610</v>
      </c>
      <c r="B1279" s="2">
        <v>10168643</v>
      </c>
      <c r="C1279" s="3" t="str">
        <f t="shared" si="1352"/>
        <v>Nejasné</v>
      </c>
      <c r="D1279" s="3" t="str">
        <f t="shared" si="1353"/>
        <v>Nejasné</v>
      </c>
      <c r="E1279" s="3" t="s">
        <v>49</v>
      </c>
      <c r="F1279" s="3" t="s">
        <v>49</v>
      </c>
      <c r="G1279" s="2" t="str">
        <f t="shared" si="1354"/>
        <v>Veľké zmluvy</v>
      </c>
      <c r="H1279" s="5" t="s">
        <v>391</v>
      </c>
      <c r="I1279" s="2" t="s">
        <v>392</v>
      </c>
      <c r="J1279" s="2" t="s">
        <v>393</v>
      </c>
      <c r="K1279" s="5" t="s">
        <v>1499</v>
      </c>
      <c r="L1279" s="2" t="s">
        <v>1500</v>
      </c>
      <c r="M1279" s="2" t="s">
        <v>1501</v>
      </c>
      <c r="N1279" s="6">
        <v>45639</v>
      </c>
      <c r="O1279" s="4">
        <v>12809496</v>
      </c>
      <c r="P1279" s="2">
        <v>114533</v>
      </c>
      <c r="Q1279" s="2" t="s">
        <v>1611</v>
      </c>
      <c r="R1279" s="2" t="s">
        <v>1612</v>
      </c>
      <c r="S1279" s="2" t="s">
        <v>73</v>
      </c>
      <c r="T1279" s="2" t="s">
        <v>1613</v>
      </c>
      <c r="W1279" s="4">
        <v>500</v>
      </c>
      <c r="X1279" s="4">
        <f>SrcDB[[#This Row],[Cena bez DPH]]*1.2</f>
        <v>600</v>
      </c>
      <c r="Y1279" s="4">
        <f t="shared" ref="Y1279" si="1422">INDEX(InternalRates,MATCH($S1279,InternalRates01,FALSE),2)</f>
        <v>278.98333333333335</v>
      </c>
      <c r="Z1279" s="3" t="str">
        <f t="shared" si="1405"/>
        <v>Nie</v>
      </c>
      <c r="AA1279" s="3" t="str">
        <f t="shared" si="1406"/>
        <v>SLA+ZoD</v>
      </c>
      <c r="AB1279" s="4">
        <v>200</v>
      </c>
      <c r="AC1279" s="4">
        <v>200</v>
      </c>
      <c r="AD1279" s="3" t="s">
        <v>48</v>
      </c>
      <c r="AE1279" s="6">
        <v>45679</v>
      </c>
      <c r="AF1279" s="3" t="s">
        <v>59</v>
      </c>
      <c r="AG1279" s="3" t="s">
        <v>48</v>
      </c>
      <c r="AH1279" s="3">
        <f>YEAR(SrcDB[[#This Row],[Datum_zverejnenia]])</f>
        <v>2024</v>
      </c>
      <c r="AI1279" s="3" cm="1">
        <f t="array" ref="AI1279">COUNT(_xlfn.UNIQUE(_xlfn._xlws.FILTER(SrcDB[ID],SrcDB[Objednavatel_ICO]=$H1279)))</f>
        <v>7</v>
      </c>
      <c r="AJ1279" s="3" cm="1">
        <f t="array" ref="AJ1279">COUNT(_xlfn.UNIQUE(_xlfn._xlws.FILTER(SrcDB[ID],SrcDB[Dodavatel_ICO]=$K1279)))</f>
        <v>3</v>
      </c>
      <c r="AK1279" s="3">
        <f t="shared" si="1358"/>
        <v>1</v>
      </c>
      <c r="AL1279" s="3">
        <f t="shared" si="1359"/>
        <v>1</v>
      </c>
      <c r="AM1279" s="17" t="str">
        <f>IF(SrcDB[[#This Row],[Pocet zmluv objednavatela]]&gt;3,SrcDB[[#This Row],[Objednavatel]],"Ostatné")</f>
        <v>Ministerstvo práce, sociálnych vecí a rodiny SR</v>
      </c>
      <c r="AN1279" s="17" t="str">
        <f>IF(SrcDB[[#This Row],[Pocet zmluv dodavatela]]&gt;3,SrcDB[[#This Row],[Dodavatel]],"Ostatné")</f>
        <v>Ostatné</v>
      </c>
    </row>
    <row r="1280" spans="1:40" x14ac:dyDescent="0.3">
      <c r="A1280" s="2" t="s">
        <v>564</v>
      </c>
      <c r="B1280" s="2">
        <v>8872423</v>
      </c>
      <c r="C1280" s="3" t="str">
        <f t="shared" ref="C1280:C1339" si="1423">IF(OR(NOT(ISERROR(FIND("O DIEL",UPPER($A1280)))),NOT(ISERROR(FIND("O IMPLEM",UPPER($A1280)))))=TRUE,"Áno",IF(OR(NOT(ISERROR(FIND("PODPOR",UPPER($A1280)))),NOT(ISERROR(FIND("SLA",UPPER($A1280)))),NOT(ISERROR(FIND("SERVIS",UPPER($A1280)))))=TRUE,"Nie","Nejasné"))</f>
        <v>Nejasné</v>
      </c>
      <c r="D1280" s="3" t="str">
        <f t="shared" ref="D1280:D1339" si="1424">IF(OR(NOT(ISERROR(FIND("PODPOR",UPPER($A1280)))),NOT(ISERROR(FIND("SLA",UPPER($A1280)))),NOT(ISERROR(FIND("SERVIS",UPPER($A1280)))))=TRUE,"Áno",IF(OR(NOT(ISERROR(FIND("O DIEL",UPPER($A1280)))),NOT(ISERROR(FIND("O IMPLEM",UPPER($A1280)))))=TRUE,"Nie","Nejasné"))</f>
        <v>Nejasné</v>
      </c>
      <c r="E1280" s="3" t="s">
        <v>48</v>
      </c>
      <c r="F1280" s="3" t="s">
        <v>49</v>
      </c>
      <c r="G1280" s="2" t="str">
        <f t="shared" ref="G1280:G1339" si="1425">IF($O1280&gt;=8000000,"Veľké zmluvy",IF($O1280&gt;=1000000,"Stredné zmluvy","Malé zmluvy"))</f>
        <v>Malé zmluvy</v>
      </c>
      <c r="H1280" s="5">
        <v>31364501</v>
      </c>
      <c r="I1280" s="2" t="s">
        <v>220</v>
      </c>
      <c r="J1280" s="2" t="s">
        <v>726</v>
      </c>
      <c r="K1280" s="5">
        <v>43953794</v>
      </c>
      <c r="L1280" s="2" t="s">
        <v>499</v>
      </c>
      <c r="M1280" s="2" t="s">
        <v>500</v>
      </c>
      <c r="N1280" s="6">
        <v>45320</v>
      </c>
      <c r="O1280" s="4">
        <v>344640</v>
      </c>
      <c r="P1280" s="2">
        <v>114573</v>
      </c>
      <c r="Q1280" s="2" t="s">
        <v>1614</v>
      </c>
      <c r="R1280" s="2" t="s">
        <v>1615</v>
      </c>
      <c r="S1280" s="2" t="s">
        <v>69</v>
      </c>
      <c r="W1280" s="4">
        <v>616</v>
      </c>
      <c r="X1280" s="4">
        <f>SrcDB[[#This Row],[Cena bez DPH]]*1.2</f>
        <v>739.19999999999993</v>
      </c>
      <c r="Y1280" s="4">
        <f t="shared" ref="Y1280" si="1426">INDEX(InternalRates,MATCH($S1280,InternalRates01,FALSE),2)</f>
        <v>278.98333333333335</v>
      </c>
      <c r="Z1280" s="3" t="str">
        <f t="shared" si="1405"/>
        <v>Nie</v>
      </c>
      <c r="AA1280" s="3" t="str">
        <f t="shared" si="1406"/>
        <v>SLA</v>
      </c>
      <c r="AB1280" s="4">
        <v>8</v>
      </c>
      <c r="AC1280" s="4">
        <f>SrcDB[[#This Row],[Množstvo práce]]/2</f>
        <v>4</v>
      </c>
      <c r="AD1280" s="3" t="s">
        <v>48</v>
      </c>
      <c r="AE1280" s="6">
        <v>45679</v>
      </c>
      <c r="AF1280" s="3" t="s">
        <v>59</v>
      </c>
      <c r="AG1280" s="3" t="s">
        <v>48</v>
      </c>
      <c r="AH1280" s="3">
        <f>YEAR(SrcDB[[#This Row],[Datum_zverejnenia]])</f>
        <v>2024</v>
      </c>
      <c r="AI1280" s="3" cm="1">
        <f t="array" ref="AI1280">COUNT(_xlfn.UNIQUE(_xlfn._xlws.FILTER(SrcDB[ID],SrcDB[Objednavatel_ICO]=$H1280)))</f>
        <v>24</v>
      </c>
      <c r="AJ1280" s="3" cm="1">
        <f t="array" ref="AJ1280">COUNT(_xlfn.UNIQUE(_xlfn._xlws.FILTER(SrcDB[ID],SrcDB[Dodavatel_ICO]=$K1280)))</f>
        <v>3</v>
      </c>
      <c r="AK1280" s="3">
        <f t="shared" si="1358"/>
        <v>1</v>
      </c>
      <c r="AL1280" s="3">
        <f t="shared" si="1359"/>
        <v>1</v>
      </c>
      <c r="AM1280" s="17" t="str">
        <f>IF(SrcDB[[#This Row],[Pocet zmluv objednavatela]]&gt;3,SrcDB[[#This Row],[Objednavatel]],"Ostatné")</f>
        <v>Železnice Slovenskej republiky</v>
      </c>
      <c r="AN1280" s="17" t="str">
        <f>IF(SrcDB[[#This Row],[Pocet zmluv dodavatela]]&gt;3,SrcDB[[#This Row],[Dodavatel]],"Ostatné")</f>
        <v>Ostatné</v>
      </c>
    </row>
    <row r="1281" spans="1:40" x14ac:dyDescent="0.3">
      <c r="A1281" s="2" t="s">
        <v>564</v>
      </c>
      <c r="B1281" s="2">
        <v>8872423</v>
      </c>
      <c r="C1281" s="3" t="str">
        <f t="shared" si="1423"/>
        <v>Nejasné</v>
      </c>
      <c r="D1281" s="3" t="str">
        <f t="shared" si="1424"/>
        <v>Nejasné</v>
      </c>
      <c r="E1281" s="3" t="s">
        <v>48</v>
      </c>
      <c r="F1281" s="3" t="s">
        <v>49</v>
      </c>
      <c r="G1281" s="2" t="str">
        <f t="shared" si="1425"/>
        <v>Malé zmluvy</v>
      </c>
      <c r="H1281" s="5">
        <v>31364501</v>
      </c>
      <c r="I1281" s="2" t="s">
        <v>220</v>
      </c>
      <c r="J1281" s="2" t="s">
        <v>726</v>
      </c>
      <c r="K1281" s="5">
        <v>43953794</v>
      </c>
      <c r="L1281" s="2" t="s">
        <v>499</v>
      </c>
      <c r="M1281" s="2" t="s">
        <v>500</v>
      </c>
      <c r="N1281" s="6">
        <v>45320</v>
      </c>
      <c r="O1281" s="4">
        <v>344640</v>
      </c>
      <c r="P1281" s="2">
        <v>114573</v>
      </c>
      <c r="Q1281" s="2" t="s">
        <v>1614</v>
      </c>
      <c r="R1281" s="2" t="s">
        <v>1615</v>
      </c>
      <c r="S1281" s="2" t="s">
        <v>123</v>
      </c>
      <c r="V1281" s="2" t="s">
        <v>140</v>
      </c>
      <c r="W1281" s="4">
        <v>360</v>
      </c>
      <c r="X1281" s="4">
        <f>SrcDB[[#This Row],[Cena bez DPH]]*1.2</f>
        <v>432</v>
      </c>
      <c r="Y1281" s="4">
        <f t="shared" ref="Y1281" si="1427">INDEX(InternalRates,MATCH($S1281,InternalRates01,FALSE),2)</f>
        <v>231.85833333333335</v>
      </c>
      <c r="Z1281" s="3" t="str">
        <f t="shared" si="1405"/>
        <v>Nie</v>
      </c>
      <c r="AA1281" s="3" t="str">
        <f t="shared" si="1406"/>
        <v>SLA</v>
      </c>
      <c r="AB1281" s="4">
        <v>30</v>
      </c>
      <c r="AC1281" s="4">
        <f>SrcDB[[#This Row],[Množstvo práce]]/2</f>
        <v>15</v>
      </c>
      <c r="AD1281" s="3" t="s">
        <v>48</v>
      </c>
      <c r="AE1281" s="6">
        <v>45679</v>
      </c>
      <c r="AF1281" s="3" t="s">
        <v>59</v>
      </c>
      <c r="AG1281" s="3" t="s">
        <v>48</v>
      </c>
      <c r="AH1281" s="3">
        <f>YEAR(SrcDB[[#This Row],[Datum_zverejnenia]])</f>
        <v>2024</v>
      </c>
      <c r="AI1281" s="3" cm="1">
        <f t="array" ref="AI1281">COUNT(_xlfn.UNIQUE(_xlfn._xlws.FILTER(SrcDB[ID],SrcDB[Objednavatel_ICO]=$H1281)))</f>
        <v>24</v>
      </c>
      <c r="AJ1281" s="3" cm="1">
        <f t="array" ref="AJ1281">COUNT(_xlfn.UNIQUE(_xlfn._xlws.FILTER(SrcDB[ID],SrcDB[Dodavatel_ICO]=$K1281)))</f>
        <v>3</v>
      </c>
      <c r="AK1281" s="3">
        <f t="shared" si="1358"/>
        <v>0</v>
      </c>
      <c r="AL1281" s="3">
        <f t="shared" si="1359"/>
        <v>0</v>
      </c>
      <c r="AM1281" s="17" t="str">
        <f>IF(SrcDB[[#This Row],[Pocet zmluv objednavatela]]&gt;3,SrcDB[[#This Row],[Objednavatel]],"Ostatné")</f>
        <v>Železnice Slovenskej republiky</v>
      </c>
      <c r="AN1281" s="17" t="str">
        <f>IF(SrcDB[[#This Row],[Pocet zmluv dodavatela]]&gt;3,SrcDB[[#This Row],[Dodavatel]],"Ostatné")</f>
        <v>Ostatné</v>
      </c>
    </row>
    <row r="1282" spans="1:40" x14ac:dyDescent="0.3">
      <c r="A1282" s="2" t="s">
        <v>1616</v>
      </c>
      <c r="B1282" s="2">
        <v>10245537</v>
      </c>
      <c r="C1282" s="3" t="str">
        <f t="shared" si="1423"/>
        <v>Nejasné</v>
      </c>
      <c r="D1282" s="3" t="str">
        <f t="shared" si="1424"/>
        <v>Nejasné</v>
      </c>
      <c r="E1282" s="3" t="s">
        <v>48</v>
      </c>
      <c r="F1282" s="3" t="s">
        <v>49</v>
      </c>
      <c r="G1282" s="2" t="str">
        <f t="shared" si="1425"/>
        <v>Stredné zmluvy</v>
      </c>
      <c r="H1282" s="5" t="s">
        <v>1617</v>
      </c>
      <c r="I1282" s="2" t="s">
        <v>1618</v>
      </c>
      <c r="J1282" s="2" t="s">
        <v>1619</v>
      </c>
      <c r="K1282" s="5">
        <v>45650276</v>
      </c>
      <c r="L1282" s="2" t="s">
        <v>234</v>
      </c>
      <c r="M1282" s="2" t="s">
        <v>235</v>
      </c>
      <c r="N1282" s="6">
        <v>45657</v>
      </c>
      <c r="O1282" s="4">
        <v>2601048</v>
      </c>
      <c r="P1282" s="2">
        <v>114727</v>
      </c>
      <c r="Q1282" s="2" t="s">
        <v>1620</v>
      </c>
      <c r="R1282" s="2" t="s">
        <v>1621</v>
      </c>
      <c r="S1282" s="2" t="s">
        <v>77</v>
      </c>
      <c r="W1282" s="4">
        <v>640</v>
      </c>
      <c r="X1282" s="4">
        <f>SrcDB[[#This Row],[Cena bez DPH]]*1.2</f>
        <v>768</v>
      </c>
      <c r="Y1282" s="4">
        <f t="shared" ref="Y1282" si="1428">INDEX(InternalRates,MATCH($S1282,InternalRates01,FALSE),2)</f>
        <v>278.98333333333335</v>
      </c>
      <c r="Z1282" s="3" t="str">
        <f t="shared" si="1405"/>
        <v>Nie</v>
      </c>
      <c r="AA1282" s="3" t="str">
        <f t="shared" si="1406"/>
        <v>SLA</v>
      </c>
      <c r="AB1282" s="4">
        <v>1424</v>
      </c>
      <c r="AC1282" s="4">
        <v>712</v>
      </c>
      <c r="AD1282" s="3" t="s">
        <v>48</v>
      </c>
      <c r="AE1282" s="6">
        <v>45680</v>
      </c>
      <c r="AF1282" s="3" t="s">
        <v>59</v>
      </c>
      <c r="AG1282" s="3" t="s">
        <v>49</v>
      </c>
      <c r="AH1282" s="3">
        <f>YEAR(SrcDB[[#This Row],[Datum_zverejnenia]])</f>
        <v>2024</v>
      </c>
      <c r="AI1282" s="3" cm="1">
        <f t="array" ref="AI1282">COUNT(_xlfn.UNIQUE(_xlfn._xlws.FILTER(SrcDB[ID],SrcDB[Objednavatel_ICO]=$H1282)))</f>
        <v>1</v>
      </c>
      <c r="AJ1282" s="3" cm="1">
        <f t="array" ref="AJ1282">COUNT(_xlfn.UNIQUE(_xlfn._xlws.FILTER(SrcDB[ID],SrcDB[Dodavatel_ICO]=$K1282)))</f>
        <v>12</v>
      </c>
      <c r="AK1282" s="3">
        <f t="shared" ref="AK1282:AK1341" si="1429">IF($H1281&lt;&gt;$H1282,1,IF($B1281&lt;&gt;$B1282,1,0))</f>
        <v>1</v>
      </c>
      <c r="AL1282" s="3">
        <f t="shared" ref="AL1282:AL1341" si="1430">IF($K1281&lt;&gt;$K1282,1,IF($B1281&lt;&gt;$B1282,1,0))</f>
        <v>1</v>
      </c>
      <c r="AM1282" s="17" t="str">
        <f>IF(SrcDB[[#This Row],[Pocet zmluv objednavatela]]&gt;3,SrcDB[[#This Row],[Objednavatel]],"Ostatné")</f>
        <v>Ostatné</v>
      </c>
      <c r="AN1282" s="17" t="str">
        <f>IF(SrcDB[[#This Row],[Pocet zmluv dodavatela]]&gt;3,SrcDB[[#This Row],[Dodavatel]],"Ostatné")</f>
        <v>Atos IT Solutions and Services s.r.o. / Eviden Slovakia, s.r.o.</v>
      </c>
    </row>
    <row r="1283" spans="1:40" x14ac:dyDescent="0.3">
      <c r="A1283" s="2" t="s">
        <v>1622</v>
      </c>
      <c r="B1283" s="2">
        <v>9405264</v>
      </c>
      <c r="C1283" s="3" t="str">
        <f t="shared" si="1423"/>
        <v>Áno</v>
      </c>
      <c r="D1283" s="3" t="str">
        <f t="shared" si="1424"/>
        <v>Nie</v>
      </c>
      <c r="E1283" s="3" t="s">
        <v>49</v>
      </c>
      <c r="F1283" s="3" t="s">
        <v>48</v>
      </c>
      <c r="G1283" s="2" t="str">
        <f t="shared" si="1425"/>
        <v>Veľké zmluvy</v>
      </c>
      <c r="H1283" s="5">
        <v>50349287</v>
      </c>
      <c r="I1283" s="2" t="s">
        <v>200</v>
      </c>
      <c r="J1283" s="2" t="s">
        <v>1027</v>
      </c>
      <c r="K1283" s="5">
        <v>46117491</v>
      </c>
      <c r="L1283" s="2" t="s">
        <v>707</v>
      </c>
      <c r="M1283" s="2" t="s">
        <v>1623</v>
      </c>
      <c r="N1283" s="6">
        <v>45461</v>
      </c>
      <c r="O1283" s="4">
        <v>13313444.4</v>
      </c>
      <c r="P1283" s="2">
        <v>2473554</v>
      </c>
      <c r="Q1283" s="2" t="s">
        <v>1624</v>
      </c>
      <c r="R1283" s="2" t="s">
        <v>1625</v>
      </c>
      <c r="S1283" s="2" t="s">
        <v>183</v>
      </c>
      <c r="W1283" s="4">
        <v>532</v>
      </c>
      <c r="X1283" s="4">
        <f>SrcDB[[#This Row],[Cena bez DPH]]*1.2</f>
        <v>638.4</v>
      </c>
      <c r="Y1283" s="4">
        <f t="shared" ref="Y1283" si="1431">INDEX(InternalRates,MATCH($S1283,InternalRates01,FALSE),2)</f>
        <v>278.98333333333335</v>
      </c>
      <c r="Z1283" s="3" t="str">
        <f t="shared" si="1405"/>
        <v>Nie</v>
      </c>
      <c r="AA1283" s="3" t="str">
        <f t="shared" si="1406"/>
        <v>ZoD</v>
      </c>
      <c r="AB1283" s="4">
        <v>18636</v>
      </c>
      <c r="AC1283" s="4">
        <f>SrcDB[[#This Row],[Množstvo práce]]*(63/365)</f>
        <v>3216.624657534247</v>
      </c>
      <c r="AD1283" s="3" t="s">
        <v>48</v>
      </c>
      <c r="AE1283" s="6">
        <v>45680</v>
      </c>
      <c r="AF1283" s="3" t="s">
        <v>59</v>
      </c>
      <c r="AG1283" s="3" t="s">
        <v>60</v>
      </c>
      <c r="AH1283" s="3">
        <f>YEAR(SrcDB[[#This Row],[Datum_zverejnenia]])</f>
        <v>2024</v>
      </c>
      <c r="AI1283" s="3" cm="1">
        <f t="array" ref="AI1283">COUNT(_xlfn.UNIQUE(_xlfn._xlws.FILTER(SrcDB[ID],SrcDB[Objednavatel_ICO]=$H1283)))</f>
        <v>7</v>
      </c>
      <c r="AJ1283" s="3" cm="1">
        <f t="array" ref="AJ1283">COUNT(_xlfn.UNIQUE(_xlfn._xlws.FILTER(SrcDB[ID],SrcDB[Dodavatel_ICO]=$K1283)))</f>
        <v>7</v>
      </c>
      <c r="AK1283" s="3">
        <f t="shared" si="1429"/>
        <v>1</v>
      </c>
      <c r="AL1283" s="3">
        <f t="shared" si="1430"/>
        <v>1</v>
      </c>
      <c r="AM1283" s="17" t="str">
        <f>IF(SrcDB[[#This Row],[Pocet zmluv objednavatela]]&gt;3,SrcDB[[#This Row],[Objednavatel]],"Ostatné")</f>
        <v>Ministerstvo investícií, regionálneho rozvoja a informatizácie Slovenskej republiky</v>
      </c>
      <c r="AN1283" s="17" t="str">
        <f>IF(SrcDB[[#This Row],[Pocet zmluv dodavatela]]&gt;3,SrcDB[[#This Row],[Dodavatel]],"Ostatné")</f>
        <v>JUMP soft a.s.</v>
      </c>
    </row>
    <row r="1284" spans="1:40" x14ac:dyDescent="0.3">
      <c r="A1284" s="2" t="s">
        <v>1626</v>
      </c>
      <c r="B1284" s="2">
        <v>10044473</v>
      </c>
      <c r="C1284" s="3" t="str">
        <f t="shared" si="1423"/>
        <v>Áno</v>
      </c>
      <c r="D1284" s="3" t="str">
        <f t="shared" si="1424"/>
        <v>Nie</v>
      </c>
      <c r="E1284" s="3" t="s">
        <v>49</v>
      </c>
      <c r="F1284" s="3" t="s">
        <v>49</v>
      </c>
      <c r="G1284" s="2" t="str">
        <f t="shared" si="1425"/>
        <v>Malé zmluvy</v>
      </c>
      <c r="H1284" s="5" t="s">
        <v>1627</v>
      </c>
      <c r="I1284" s="2" t="s">
        <v>1628</v>
      </c>
      <c r="J1284" s="2" t="s">
        <v>1629</v>
      </c>
      <c r="K1284" s="5">
        <v>36328057</v>
      </c>
      <c r="L1284" s="2" t="s">
        <v>1219</v>
      </c>
      <c r="M1284" s="2" t="s">
        <v>1630</v>
      </c>
      <c r="N1284" s="6">
        <v>45614</v>
      </c>
      <c r="O1284" s="4">
        <v>255840</v>
      </c>
      <c r="P1284" s="2">
        <v>6215909</v>
      </c>
      <c r="Q1284" s="2" t="s">
        <v>1631</v>
      </c>
      <c r="R1284" s="2" t="s">
        <v>1632</v>
      </c>
      <c r="S1284" s="2" t="s">
        <v>183</v>
      </c>
      <c r="W1284" s="4">
        <f>68*8</f>
        <v>544</v>
      </c>
      <c r="X1284" s="4">
        <f>SrcDB[[#This Row],[Cena bez DPH]]*1.2</f>
        <v>652.79999999999995</v>
      </c>
      <c r="Y1284" s="4">
        <f t="shared" ref="Y1284" si="1432">INDEX(InternalRates,MATCH($S1284,InternalRates01,FALSE),2)</f>
        <v>278.98333333333335</v>
      </c>
      <c r="Z1284" s="3" t="str">
        <f t="shared" si="1405"/>
        <v>Nie</v>
      </c>
      <c r="AA1284" s="3" t="str">
        <f t="shared" si="1406"/>
        <v>SLA+ZoD</v>
      </c>
      <c r="AD1284" s="3" t="s">
        <v>48</v>
      </c>
      <c r="AE1284" s="6">
        <v>45680</v>
      </c>
      <c r="AF1284" s="3" t="s">
        <v>59</v>
      </c>
      <c r="AG1284" s="3" t="s">
        <v>60</v>
      </c>
      <c r="AH1284" s="3">
        <f>YEAR(SrcDB[[#This Row],[Datum_zverejnenia]])</f>
        <v>2024</v>
      </c>
      <c r="AI1284" s="3" cm="1">
        <f t="array" ref="AI1284">COUNT(_xlfn.UNIQUE(_xlfn._xlws.FILTER(SrcDB[ID],SrcDB[Objednavatel_ICO]=$H1284)))</f>
        <v>1</v>
      </c>
      <c r="AJ1284" s="3" cm="1">
        <f t="array" ref="AJ1284">COUNT(_xlfn.UNIQUE(_xlfn._xlws.FILTER(SrcDB[ID],SrcDB[Dodavatel_ICO]=$K1284)))</f>
        <v>4</v>
      </c>
      <c r="AK1284" s="3">
        <f t="shared" si="1429"/>
        <v>1</v>
      </c>
      <c r="AL1284" s="3">
        <f t="shared" si="1430"/>
        <v>1</v>
      </c>
      <c r="AM1284" s="17" t="str">
        <f>IF(SrcDB[[#This Row],[Pocet zmluv objednavatela]]&gt;3,SrcDB[[#This Row],[Objednavatel]],"Ostatné")</f>
        <v>Ostatné</v>
      </c>
      <c r="AN1284" s="17" t="str">
        <f>IF(SrcDB[[#This Row],[Pocet zmluv dodavatela]]&gt;3,SrcDB[[#This Row],[Dodavatel]],"Ostatné")</f>
        <v>ICZ Slovakia a.s.</v>
      </c>
    </row>
    <row r="1285" spans="1:40" x14ac:dyDescent="0.3">
      <c r="A1285" s="2" t="s">
        <v>523</v>
      </c>
      <c r="B1285" s="2">
        <v>9276085</v>
      </c>
      <c r="C1285" s="3" t="str">
        <f t="shared" si="1423"/>
        <v>Nejasné</v>
      </c>
      <c r="D1285" s="3" t="str">
        <f t="shared" si="1424"/>
        <v>Nejasné</v>
      </c>
      <c r="E1285" s="3" t="s">
        <v>48</v>
      </c>
      <c r="F1285" s="3" t="s">
        <v>49</v>
      </c>
      <c r="G1285" s="2" t="str">
        <f t="shared" si="1425"/>
        <v>Stredné zmluvy</v>
      </c>
      <c r="H1285" s="5" t="s">
        <v>342</v>
      </c>
      <c r="I1285" s="2" t="s">
        <v>343</v>
      </c>
      <c r="J1285" s="2" t="s">
        <v>344</v>
      </c>
      <c r="K1285" s="5">
        <v>17081386</v>
      </c>
      <c r="L1285" s="2" t="s">
        <v>345</v>
      </c>
      <c r="N1285" s="6">
        <v>45428</v>
      </c>
      <c r="O1285" s="4">
        <v>1288528.8</v>
      </c>
      <c r="P1285" s="2">
        <v>114723</v>
      </c>
      <c r="Q1285" s="2" t="s">
        <v>1633</v>
      </c>
      <c r="R1285" s="2" t="s">
        <v>1634</v>
      </c>
      <c r="S1285" s="2" t="s">
        <v>160</v>
      </c>
      <c r="T1285" s="2" t="s">
        <v>1635</v>
      </c>
      <c r="W1285" s="4">
        <f>(94*120+112*8)/(112+94)*8</f>
        <v>472.85436893203882</v>
      </c>
      <c r="X1285" s="4">
        <f>SrcDB[[#This Row],[Cena bez DPH]]*1.2</f>
        <v>567.42524271844661</v>
      </c>
      <c r="Y1285" s="4">
        <f t="shared" ref="Y1285" si="1433">INDEX(InternalRates,MATCH($S1285,InternalRates01,FALSE),2)</f>
        <v>231.85833333333335</v>
      </c>
      <c r="Z1285" s="3" t="str">
        <f t="shared" si="1405"/>
        <v>Nie</v>
      </c>
      <c r="AA1285" s="3" t="str">
        <f t="shared" si="1406"/>
        <v>SLA</v>
      </c>
      <c r="AB1285" s="4">
        <v>128</v>
      </c>
      <c r="AC1285" s="4">
        <f>SrcDB[[#This Row],[Množstvo práce]]/2</f>
        <v>64</v>
      </c>
      <c r="AD1285" s="3" t="s">
        <v>48</v>
      </c>
      <c r="AE1285" s="6">
        <v>45680</v>
      </c>
      <c r="AF1285" s="3" t="s">
        <v>59</v>
      </c>
      <c r="AG1285" s="3" t="s">
        <v>48</v>
      </c>
      <c r="AH1285" s="3">
        <f>YEAR(SrcDB[[#This Row],[Datum_zverejnenia]])</f>
        <v>2024</v>
      </c>
      <c r="AI1285" s="3" cm="1">
        <f t="array" ref="AI1285">COUNT(_xlfn.UNIQUE(_xlfn._xlws.FILTER(SrcDB[ID],SrcDB[Objednavatel_ICO]=$H1285)))</f>
        <v>15</v>
      </c>
      <c r="AJ1285" s="3" cm="1">
        <f t="array" ref="AJ1285">COUNT(_xlfn.UNIQUE(_xlfn._xlws.FILTER(SrcDB[ID],SrcDB[Dodavatel_ICO]=$K1285)))</f>
        <v>2</v>
      </c>
      <c r="AK1285" s="3">
        <f t="shared" si="1429"/>
        <v>1</v>
      </c>
      <c r="AL1285" s="3">
        <f t="shared" si="1430"/>
        <v>1</v>
      </c>
      <c r="AM1285" s="17" t="str">
        <f>IF(SrcDB[[#This Row],[Pocet zmluv objednavatela]]&gt;3,SrcDB[[#This Row],[Objednavatel]],"Ostatné")</f>
        <v>Ministerstvo vnútra SR</v>
      </c>
      <c r="AN1285" s="17" t="str">
        <f>IF(SrcDB[[#This Row],[Pocet zmluv dodavatela]]&gt;3,SrcDB[[#This Row],[Dodavatel]],"Ostatné")</f>
        <v>Ostatné</v>
      </c>
    </row>
    <row r="1286" spans="1:40" x14ac:dyDescent="0.3">
      <c r="A1286" s="2" t="s">
        <v>523</v>
      </c>
      <c r="B1286" s="2">
        <v>9276085</v>
      </c>
      <c r="C1286" s="3" t="str">
        <f t="shared" si="1423"/>
        <v>Nejasné</v>
      </c>
      <c r="D1286" s="3" t="str">
        <f t="shared" si="1424"/>
        <v>Nejasné</v>
      </c>
      <c r="E1286" s="3" t="s">
        <v>48</v>
      </c>
      <c r="F1286" s="3" t="s">
        <v>49</v>
      </c>
      <c r="G1286" s="2" t="str">
        <f t="shared" si="1425"/>
        <v>Stredné zmluvy</v>
      </c>
      <c r="H1286" s="5" t="s">
        <v>342</v>
      </c>
      <c r="I1286" s="2" t="s">
        <v>343</v>
      </c>
      <c r="J1286" s="2" t="s">
        <v>344</v>
      </c>
      <c r="K1286" s="5">
        <v>17081386</v>
      </c>
      <c r="L1286" s="2" t="s">
        <v>345</v>
      </c>
      <c r="N1286" s="6">
        <v>45428</v>
      </c>
      <c r="O1286" s="4">
        <v>1288528.8</v>
      </c>
      <c r="P1286" s="2">
        <v>114723</v>
      </c>
      <c r="Q1286" s="2" t="s">
        <v>1633</v>
      </c>
      <c r="R1286" s="2" t="s">
        <v>1634</v>
      </c>
      <c r="S1286" s="2" t="s">
        <v>56</v>
      </c>
      <c r="T1286" s="2" t="s">
        <v>1636</v>
      </c>
      <c r="U1286" s="2" t="s">
        <v>129</v>
      </c>
      <c r="W1286" s="4">
        <f>(80*103+99)/(80+1)*8</f>
        <v>823.60493827160496</v>
      </c>
      <c r="X1286" s="4">
        <f>SrcDB[[#This Row],[Cena bez DPH]]*1.2</f>
        <v>988.32592592592596</v>
      </c>
      <c r="Y1286" s="4">
        <f t="shared" ref="Y1286" si="1434">INDEX(InternalRates,MATCH($S1286,InternalRates01,FALSE),2)</f>
        <v>278.98333333333335</v>
      </c>
      <c r="Z1286" s="3" t="str">
        <f t="shared" si="1405"/>
        <v>Nie</v>
      </c>
      <c r="AA1286" s="3" t="str">
        <f t="shared" si="1406"/>
        <v>SLA</v>
      </c>
      <c r="AB1286" s="4">
        <v>81</v>
      </c>
      <c r="AC1286" s="4">
        <f>SrcDB[[#This Row],[Množstvo práce]]/2</f>
        <v>40.5</v>
      </c>
      <c r="AD1286" s="3" t="s">
        <v>48</v>
      </c>
      <c r="AE1286" s="6">
        <v>45680</v>
      </c>
      <c r="AF1286" s="3" t="s">
        <v>59</v>
      </c>
      <c r="AG1286" s="3" t="s">
        <v>48</v>
      </c>
      <c r="AH1286" s="3">
        <f>YEAR(SrcDB[[#This Row],[Datum_zverejnenia]])</f>
        <v>2024</v>
      </c>
      <c r="AI1286" s="3" cm="1">
        <f t="array" ref="AI1286">COUNT(_xlfn.UNIQUE(_xlfn._xlws.FILTER(SrcDB[ID],SrcDB[Objednavatel_ICO]=$H1286)))</f>
        <v>15</v>
      </c>
      <c r="AJ1286" s="3" cm="1">
        <f t="array" ref="AJ1286">COUNT(_xlfn.UNIQUE(_xlfn._xlws.FILTER(SrcDB[ID],SrcDB[Dodavatel_ICO]=$K1286)))</f>
        <v>2</v>
      </c>
      <c r="AK1286" s="3">
        <f t="shared" si="1429"/>
        <v>0</v>
      </c>
      <c r="AL1286" s="3">
        <f t="shared" si="1430"/>
        <v>0</v>
      </c>
      <c r="AM1286" s="17" t="str">
        <f>IF(SrcDB[[#This Row],[Pocet zmluv objednavatela]]&gt;3,SrcDB[[#This Row],[Objednavatel]],"Ostatné")</f>
        <v>Ministerstvo vnútra SR</v>
      </c>
      <c r="AN1286" s="17" t="str">
        <f>IF(SrcDB[[#This Row],[Pocet zmluv dodavatela]]&gt;3,SrcDB[[#This Row],[Dodavatel]],"Ostatné")</f>
        <v>Ostatné</v>
      </c>
    </row>
    <row r="1287" spans="1:40" x14ac:dyDescent="0.3">
      <c r="A1287" s="2" t="s">
        <v>523</v>
      </c>
      <c r="B1287" s="2">
        <v>9276085</v>
      </c>
      <c r="C1287" s="3" t="str">
        <f t="shared" si="1423"/>
        <v>Nejasné</v>
      </c>
      <c r="D1287" s="3" t="str">
        <f t="shared" si="1424"/>
        <v>Nejasné</v>
      </c>
      <c r="E1287" s="3" t="s">
        <v>48</v>
      </c>
      <c r="F1287" s="3" t="s">
        <v>49</v>
      </c>
      <c r="G1287" s="2" t="str">
        <f t="shared" si="1425"/>
        <v>Stredné zmluvy</v>
      </c>
      <c r="H1287" s="5" t="s">
        <v>342</v>
      </c>
      <c r="I1287" s="2" t="s">
        <v>343</v>
      </c>
      <c r="J1287" s="2" t="s">
        <v>344</v>
      </c>
      <c r="K1287" s="5">
        <v>17081386</v>
      </c>
      <c r="L1287" s="2" t="s">
        <v>345</v>
      </c>
      <c r="N1287" s="6">
        <v>45428</v>
      </c>
      <c r="O1287" s="4">
        <v>1288528.8</v>
      </c>
      <c r="P1287" s="2">
        <v>114723</v>
      </c>
      <c r="Q1287" s="2" t="s">
        <v>1633</v>
      </c>
      <c r="R1287" s="2" t="s">
        <v>1634</v>
      </c>
      <c r="S1287" s="2" t="s">
        <v>123</v>
      </c>
      <c r="T1287" s="2" t="s">
        <v>1637</v>
      </c>
      <c r="V1287" s="2" t="s">
        <v>175</v>
      </c>
      <c r="W1287" s="4">
        <f>75*8</f>
        <v>600</v>
      </c>
      <c r="X1287" s="4">
        <f>SrcDB[[#This Row],[Cena bez DPH]]*1.2</f>
        <v>720</v>
      </c>
      <c r="Y1287" s="4">
        <f t="shared" ref="Y1287" si="1435">INDEX(InternalRates,MATCH($S1287,InternalRates01,FALSE),2)</f>
        <v>231.85833333333335</v>
      </c>
      <c r="Z1287" s="3" t="str">
        <f t="shared" si="1405"/>
        <v>Nie</v>
      </c>
      <c r="AA1287" s="3" t="str">
        <f t="shared" si="1406"/>
        <v>SLA</v>
      </c>
      <c r="AB1287" s="4">
        <v>500</v>
      </c>
      <c r="AC1287" s="4">
        <f>SrcDB[[#This Row],[Množstvo práce]]/2</f>
        <v>250</v>
      </c>
      <c r="AD1287" s="3" t="s">
        <v>48</v>
      </c>
      <c r="AE1287" s="6">
        <v>45680</v>
      </c>
      <c r="AF1287" s="3" t="s">
        <v>59</v>
      </c>
      <c r="AG1287" s="3" t="s">
        <v>48</v>
      </c>
      <c r="AH1287" s="3">
        <f>YEAR(SrcDB[[#This Row],[Datum_zverejnenia]])</f>
        <v>2024</v>
      </c>
      <c r="AI1287" s="3" cm="1">
        <f t="array" ref="AI1287">COUNT(_xlfn.UNIQUE(_xlfn._xlws.FILTER(SrcDB[ID],SrcDB[Objednavatel_ICO]=$H1287)))</f>
        <v>15</v>
      </c>
      <c r="AJ1287" s="3" cm="1">
        <f t="array" ref="AJ1287">COUNT(_xlfn.UNIQUE(_xlfn._xlws.FILTER(SrcDB[ID],SrcDB[Dodavatel_ICO]=$K1287)))</f>
        <v>2</v>
      </c>
      <c r="AK1287" s="3">
        <f t="shared" si="1429"/>
        <v>0</v>
      </c>
      <c r="AL1287" s="3">
        <f t="shared" si="1430"/>
        <v>0</v>
      </c>
      <c r="AM1287" s="17" t="str">
        <f>IF(SrcDB[[#This Row],[Pocet zmluv objednavatela]]&gt;3,SrcDB[[#This Row],[Objednavatel]],"Ostatné")</f>
        <v>Ministerstvo vnútra SR</v>
      </c>
      <c r="AN1287" s="17" t="str">
        <f>IF(SrcDB[[#This Row],[Pocet zmluv dodavatela]]&gt;3,SrcDB[[#This Row],[Dodavatel]],"Ostatné")</f>
        <v>Ostatné</v>
      </c>
    </row>
    <row r="1288" spans="1:40" x14ac:dyDescent="0.3">
      <c r="A1288" s="2" t="s">
        <v>523</v>
      </c>
      <c r="B1288" s="2">
        <v>9276085</v>
      </c>
      <c r="C1288" s="3" t="str">
        <f t="shared" si="1423"/>
        <v>Nejasné</v>
      </c>
      <c r="D1288" s="3" t="str">
        <f t="shared" si="1424"/>
        <v>Nejasné</v>
      </c>
      <c r="E1288" s="3" t="s">
        <v>48</v>
      </c>
      <c r="F1288" s="3" t="s">
        <v>49</v>
      </c>
      <c r="G1288" s="2" t="str">
        <f t="shared" si="1425"/>
        <v>Stredné zmluvy</v>
      </c>
      <c r="H1288" s="5" t="s">
        <v>342</v>
      </c>
      <c r="I1288" s="2" t="s">
        <v>343</v>
      </c>
      <c r="J1288" s="2" t="s">
        <v>344</v>
      </c>
      <c r="K1288" s="5">
        <v>17081386</v>
      </c>
      <c r="L1288" s="2" t="s">
        <v>345</v>
      </c>
      <c r="N1288" s="6">
        <v>45428</v>
      </c>
      <c r="O1288" s="4">
        <v>1288528.8</v>
      </c>
      <c r="P1288" s="2">
        <v>114723</v>
      </c>
      <c r="Q1288" s="2" t="s">
        <v>1633</v>
      </c>
      <c r="R1288" s="2" t="s">
        <v>1634</v>
      </c>
      <c r="S1288" s="2" t="s">
        <v>77</v>
      </c>
      <c r="T1288" s="2" t="s">
        <v>1565</v>
      </c>
      <c r="W1288" s="4">
        <f>103*8</f>
        <v>824</v>
      </c>
      <c r="X1288" s="4">
        <f>SrcDB[[#This Row],[Cena bez DPH]]*1.2</f>
        <v>988.8</v>
      </c>
      <c r="Y1288" s="4">
        <f t="shared" ref="Y1288" si="1436">INDEX(InternalRates,MATCH($S1288,InternalRates01,FALSE),2)</f>
        <v>278.98333333333335</v>
      </c>
      <c r="Z1288" s="3" t="str">
        <f t="shared" si="1405"/>
        <v>Nie</v>
      </c>
      <c r="AA1288" s="3" t="str">
        <f t="shared" si="1406"/>
        <v>SLA</v>
      </c>
      <c r="AB1288" s="4">
        <v>20</v>
      </c>
      <c r="AC1288" s="4">
        <f>SrcDB[[#This Row],[Množstvo práce]]/2</f>
        <v>10</v>
      </c>
      <c r="AD1288" s="3" t="s">
        <v>48</v>
      </c>
      <c r="AE1288" s="6">
        <v>45680</v>
      </c>
      <c r="AF1288" s="3" t="s">
        <v>59</v>
      </c>
      <c r="AG1288" s="3" t="s">
        <v>48</v>
      </c>
      <c r="AH1288" s="3">
        <f>YEAR(SrcDB[[#This Row],[Datum_zverejnenia]])</f>
        <v>2024</v>
      </c>
      <c r="AI1288" s="3" cm="1">
        <f t="array" ref="AI1288">COUNT(_xlfn.UNIQUE(_xlfn._xlws.FILTER(SrcDB[ID],SrcDB[Objednavatel_ICO]=$H1288)))</f>
        <v>15</v>
      </c>
      <c r="AJ1288" s="3" cm="1">
        <f t="array" ref="AJ1288">COUNT(_xlfn.UNIQUE(_xlfn._xlws.FILTER(SrcDB[ID],SrcDB[Dodavatel_ICO]=$K1288)))</f>
        <v>2</v>
      </c>
      <c r="AK1288" s="3">
        <f t="shared" si="1429"/>
        <v>0</v>
      </c>
      <c r="AL1288" s="3">
        <f t="shared" si="1430"/>
        <v>0</v>
      </c>
      <c r="AM1288" s="17" t="str">
        <f>IF(SrcDB[[#This Row],[Pocet zmluv objednavatela]]&gt;3,SrcDB[[#This Row],[Objednavatel]],"Ostatné")</f>
        <v>Ministerstvo vnútra SR</v>
      </c>
      <c r="AN1288" s="17" t="str">
        <f>IF(SrcDB[[#This Row],[Pocet zmluv dodavatela]]&gt;3,SrcDB[[#This Row],[Dodavatel]],"Ostatné")</f>
        <v>Ostatné</v>
      </c>
    </row>
    <row r="1289" spans="1:40" x14ac:dyDescent="0.3">
      <c r="A1289" s="2" t="s">
        <v>523</v>
      </c>
      <c r="B1289" s="2">
        <v>9276085</v>
      </c>
      <c r="C1289" s="3" t="str">
        <f t="shared" si="1423"/>
        <v>Nejasné</v>
      </c>
      <c r="D1289" s="3" t="str">
        <f t="shared" si="1424"/>
        <v>Nejasné</v>
      </c>
      <c r="E1289" s="3" t="s">
        <v>48</v>
      </c>
      <c r="F1289" s="3" t="s">
        <v>49</v>
      </c>
      <c r="G1289" s="2" t="str">
        <f t="shared" si="1425"/>
        <v>Stredné zmluvy</v>
      </c>
      <c r="H1289" s="5" t="s">
        <v>342</v>
      </c>
      <c r="I1289" s="2" t="s">
        <v>343</v>
      </c>
      <c r="J1289" s="2" t="s">
        <v>344</v>
      </c>
      <c r="K1289" s="5">
        <v>17081386</v>
      </c>
      <c r="L1289" s="2" t="s">
        <v>345</v>
      </c>
      <c r="N1289" s="6">
        <v>45428</v>
      </c>
      <c r="O1289" s="4">
        <v>1288528.8</v>
      </c>
      <c r="P1289" s="2">
        <v>114723</v>
      </c>
      <c r="Q1289" s="2" t="s">
        <v>1633</v>
      </c>
      <c r="R1289" s="2" t="s">
        <v>1634</v>
      </c>
      <c r="S1289" s="2" t="s">
        <v>56</v>
      </c>
      <c r="T1289" s="2" t="s">
        <v>1638</v>
      </c>
      <c r="U1289" s="2" t="s">
        <v>113</v>
      </c>
      <c r="W1289" s="4">
        <f>122*8</f>
        <v>976</v>
      </c>
      <c r="X1289" s="4">
        <f>SrcDB[[#This Row],[Cena bez DPH]]*1.2</f>
        <v>1171.2</v>
      </c>
      <c r="Y1289" s="4">
        <f t="shared" ref="Y1289" si="1437">INDEX(InternalRates,MATCH($S1289,InternalRates01,FALSE),2)</f>
        <v>278.98333333333335</v>
      </c>
      <c r="Z1289" s="3" t="str">
        <f t="shared" si="1405"/>
        <v>Nie</v>
      </c>
      <c r="AA1289" s="3" t="str">
        <f t="shared" si="1406"/>
        <v>SLA</v>
      </c>
      <c r="AB1289" s="4">
        <v>30</v>
      </c>
      <c r="AC1289" s="4">
        <f>SrcDB[[#This Row],[Množstvo práce]]/2</f>
        <v>15</v>
      </c>
      <c r="AD1289" s="3" t="s">
        <v>48</v>
      </c>
      <c r="AE1289" s="6">
        <v>45680</v>
      </c>
      <c r="AF1289" s="3" t="s">
        <v>59</v>
      </c>
      <c r="AG1289" s="3" t="s">
        <v>48</v>
      </c>
      <c r="AH1289" s="3">
        <f>YEAR(SrcDB[[#This Row],[Datum_zverejnenia]])</f>
        <v>2024</v>
      </c>
      <c r="AI1289" s="3" cm="1">
        <f t="array" ref="AI1289">COUNT(_xlfn.UNIQUE(_xlfn._xlws.FILTER(SrcDB[ID],SrcDB[Objednavatel_ICO]=$H1289)))</f>
        <v>15</v>
      </c>
      <c r="AJ1289" s="3" cm="1">
        <f t="array" ref="AJ1289">COUNT(_xlfn.UNIQUE(_xlfn._xlws.FILTER(SrcDB[ID],SrcDB[Dodavatel_ICO]=$K1289)))</f>
        <v>2</v>
      </c>
      <c r="AK1289" s="3">
        <f t="shared" si="1429"/>
        <v>0</v>
      </c>
      <c r="AL1289" s="3">
        <f t="shared" si="1430"/>
        <v>0</v>
      </c>
      <c r="AM1289" s="17" t="str">
        <f>IF(SrcDB[[#This Row],[Pocet zmluv objednavatela]]&gt;3,SrcDB[[#This Row],[Objednavatel]],"Ostatné")</f>
        <v>Ministerstvo vnútra SR</v>
      </c>
      <c r="AN1289" s="17" t="str">
        <f>IF(SrcDB[[#This Row],[Pocet zmluv dodavatela]]&gt;3,SrcDB[[#This Row],[Dodavatel]],"Ostatné")</f>
        <v>Ostatné</v>
      </c>
    </row>
    <row r="1290" spans="1:40" x14ac:dyDescent="0.3">
      <c r="A1290" s="2" t="s">
        <v>1639</v>
      </c>
      <c r="B1290" s="2">
        <v>9818798</v>
      </c>
      <c r="C1290" s="3" t="str">
        <f t="shared" si="1423"/>
        <v>Nie</v>
      </c>
      <c r="D1290" s="3" t="str">
        <f t="shared" si="1424"/>
        <v>Áno</v>
      </c>
      <c r="E1290" s="3" t="s">
        <v>48</v>
      </c>
      <c r="F1290" s="3" t="s">
        <v>49</v>
      </c>
      <c r="G1290" s="2" t="str">
        <f t="shared" si="1425"/>
        <v>Stredné zmluvy</v>
      </c>
      <c r="H1290" s="5" t="s">
        <v>62</v>
      </c>
      <c r="I1290" s="2" t="s">
        <v>63</v>
      </c>
      <c r="J1290" s="2" t="s">
        <v>1640</v>
      </c>
      <c r="K1290" s="5">
        <v>31385401</v>
      </c>
      <c r="L1290" s="2" t="s">
        <v>142</v>
      </c>
      <c r="M1290" s="2" t="s">
        <v>1641</v>
      </c>
      <c r="N1290" s="6">
        <v>45562</v>
      </c>
      <c r="O1290" s="4">
        <v>6866760</v>
      </c>
      <c r="P1290" s="2">
        <v>114565</v>
      </c>
      <c r="Q1290" s="2" t="s">
        <v>1642</v>
      </c>
      <c r="R1290" s="2" t="s">
        <v>1643</v>
      </c>
      <c r="S1290" s="2" t="s">
        <v>73</v>
      </c>
      <c r="T1290" s="2" t="s">
        <v>73</v>
      </c>
      <c r="W1290" s="4">
        <v>570</v>
      </c>
      <c r="X1290" s="4">
        <f>SrcDB[[#This Row],[Cena bez DPH]]*1.2</f>
        <v>684</v>
      </c>
      <c r="Y1290" s="4">
        <f t="shared" ref="Y1290" si="1438">INDEX(InternalRates,MATCH($S1290,InternalRates01,FALSE),2)</f>
        <v>278.98333333333335</v>
      </c>
      <c r="Z1290" s="3" t="str">
        <f>IF(W1290&gt;0,IF(Y1290&gt;W1290,"Áno","Nie"),"Nie")</f>
        <v>Nie</v>
      </c>
      <c r="AA1290" s="3" t="str">
        <f>IF(E1290="Nie","SLA",IF(F1290="Nie","ZoD","SLA+ZoD"))</f>
        <v>SLA</v>
      </c>
      <c r="AB1290" s="4">
        <v>320</v>
      </c>
      <c r="AC1290" s="4">
        <f>SrcDB[[#This Row],[Množstvo práce]]/4</f>
        <v>80</v>
      </c>
      <c r="AD1290" s="3" t="s">
        <v>48</v>
      </c>
      <c r="AE1290" s="6">
        <v>45680</v>
      </c>
      <c r="AF1290" s="3" t="s">
        <v>59</v>
      </c>
      <c r="AG1290" s="3" t="s">
        <v>49</v>
      </c>
      <c r="AH1290" s="3">
        <f>YEAR(SrcDB[[#This Row],[Datum_zverejnenia]])</f>
        <v>2024</v>
      </c>
      <c r="AI1290" s="3" cm="1">
        <f t="array" ref="AI1290">COUNT(_xlfn.UNIQUE(_xlfn._xlws.FILTER(SrcDB[ID],SrcDB[Objednavatel_ICO]=$H1290)))</f>
        <v>6</v>
      </c>
      <c r="AJ1290" s="3" cm="1">
        <f t="array" ref="AJ1290">COUNT(_xlfn.UNIQUE(_xlfn._xlws.FILTER(SrcDB[ID],SrcDB[Dodavatel_ICO]=$K1290)))</f>
        <v>14</v>
      </c>
      <c r="AK1290" s="3">
        <f t="shared" si="1429"/>
        <v>1</v>
      </c>
      <c r="AL1290" s="3">
        <f t="shared" si="1430"/>
        <v>1</v>
      </c>
      <c r="AM1290" s="17" t="str">
        <f>IF(SrcDB[[#This Row],[Pocet zmluv objednavatela]]&gt;3,SrcDB[[#This Row],[Objednavatel]],"Ostatné")</f>
        <v>Ministerstvo spravodlivosti SR</v>
      </c>
      <c r="AN1290" s="17" t="str">
        <f>IF(SrcDB[[#This Row],[Pocet zmluv dodavatela]]&gt;3,SrcDB[[#This Row],[Dodavatel]],"Ostatné")</f>
        <v>DITEC, a.s.</v>
      </c>
    </row>
    <row r="1291" spans="1:40" x14ac:dyDescent="0.3">
      <c r="A1291" s="2" t="s">
        <v>1639</v>
      </c>
      <c r="B1291" s="2">
        <v>9818798</v>
      </c>
      <c r="C1291" s="3" t="str">
        <f t="shared" si="1423"/>
        <v>Nie</v>
      </c>
      <c r="D1291" s="3" t="str">
        <f t="shared" si="1424"/>
        <v>Áno</v>
      </c>
      <c r="E1291" s="3" t="s">
        <v>48</v>
      </c>
      <c r="F1291" s="3" t="s">
        <v>49</v>
      </c>
      <c r="G1291" s="2" t="str">
        <f t="shared" si="1425"/>
        <v>Stredné zmluvy</v>
      </c>
      <c r="H1291" s="5" t="s">
        <v>62</v>
      </c>
      <c r="I1291" s="2" t="s">
        <v>63</v>
      </c>
      <c r="J1291" s="2" t="s">
        <v>1640</v>
      </c>
      <c r="K1291" s="5">
        <v>31385401</v>
      </c>
      <c r="L1291" s="2" t="s">
        <v>142</v>
      </c>
      <c r="M1291" s="2" t="s">
        <v>1641</v>
      </c>
      <c r="N1291" s="6">
        <v>45562</v>
      </c>
      <c r="O1291" s="4">
        <v>6866760</v>
      </c>
      <c r="P1291" s="2">
        <v>114565</v>
      </c>
      <c r="Q1291" s="2" t="s">
        <v>1642</v>
      </c>
      <c r="R1291" s="2" t="s">
        <v>1643</v>
      </c>
      <c r="S1291" s="2" t="s">
        <v>77</v>
      </c>
      <c r="T1291" s="2" t="s">
        <v>77</v>
      </c>
      <c r="W1291" s="4">
        <v>500</v>
      </c>
      <c r="X1291" s="4">
        <f>SrcDB[[#This Row],[Cena bez DPH]]*1.2</f>
        <v>600</v>
      </c>
      <c r="Y1291" s="4">
        <f t="shared" ref="Y1291" si="1439">INDEX(InternalRates,MATCH($S1291,InternalRates01,FALSE),2)</f>
        <v>278.98333333333335</v>
      </c>
      <c r="Z1291" s="3" t="str">
        <f t="shared" ref="Z1291:Z1298" si="1440">IF(W1291&gt;0,IF(Y1291&gt;W1291,"Áno","Nie"),"Nie")</f>
        <v>Nie</v>
      </c>
      <c r="AA1291" s="3" t="str">
        <f t="shared" ref="AA1291:AA1298" si="1441">IF(E1291="Nie","SLA",IF(F1291="Nie","ZoD","SLA+ZoD"))</f>
        <v>SLA</v>
      </c>
      <c r="AB1291" s="4">
        <v>500</v>
      </c>
      <c r="AC1291" s="4">
        <f>SrcDB[[#This Row],[Množstvo práce]]/4</f>
        <v>125</v>
      </c>
      <c r="AD1291" s="3" t="s">
        <v>48</v>
      </c>
      <c r="AE1291" s="6">
        <v>45680</v>
      </c>
      <c r="AF1291" s="3" t="s">
        <v>59</v>
      </c>
      <c r="AG1291" s="3" t="s">
        <v>49</v>
      </c>
      <c r="AH1291" s="3">
        <f>YEAR(SrcDB[[#This Row],[Datum_zverejnenia]])</f>
        <v>2024</v>
      </c>
      <c r="AI1291" s="3" cm="1">
        <f t="array" ref="AI1291">COUNT(_xlfn.UNIQUE(_xlfn._xlws.FILTER(SrcDB[ID],SrcDB[Objednavatel_ICO]=$H1291)))</f>
        <v>6</v>
      </c>
      <c r="AJ1291" s="3" cm="1">
        <f t="array" ref="AJ1291">COUNT(_xlfn.UNIQUE(_xlfn._xlws.FILTER(SrcDB[ID],SrcDB[Dodavatel_ICO]=$K1291)))</f>
        <v>14</v>
      </c>
      <c r="AK1291" s="3">
        <f t="shared" si="1429"/>
        <v>0</v>
      </c>
      <c r="AL1291" s="3">
        <f t="shared" si="1430"/>
        <v>0</v>
      </c>
      <c r="AM1291" s="17" t="str">
        <f>IF(SrcDB[[#This Row],[Pocet zmluv objednavatela]]&gt;3,SrcDB[[#This Row],[Objednavatel]],"Ostatné")</f>
        <v>Ministerstvo spravodlivosti SR</v>
      </c>
      <c r="AN1291" s="17" t="str">
        <f>IF(SrcDB[[#This Row],[Pocet zmluv dodavatela]]&gt;3,SrcDB[[#This Row],[Dodavatel]],"Ostatné")</f>
        <v>DITEC, a.s.</v>
      </c>
    </row>
    <row r="1292" spans="1:40" x14ac:dyDescent="0.3">
      <c r="A1292" s="2" t="s">
        <v>1639</v>
      </c>
      <c r="B1292" s="2">
        <v>9818798</v>
      </c>
      <c r="C1292" s="3" t="str">
        <f t="shared" si="1423"/>
        <v>Nie</v>
      </c>
      <c r="D1292" s="3" t="str">
        <f t="shared" si="1424"/>
        <v>Áno</v>
      </c>
      <c r="E1292" s="3" t="s">
        <v>48</v>
      </c>
      <c r="F1292" s="3" t="s">
        <v>49</v>
      </c>
      <c r="G1292" s="2" t="str">
        <f t="shared" si="1425"/>
        <v>Stredné zmluvy</v>
      </c>
      <c r="H1292" s="5" t="s">
        <v>62</v>
      </c>
      <c r="I1292" s="2" t="s">
        <v>63</v>
      </c>
      <c r="J1292" s="2" t="s">
        <v>1640</v>
      </c>
      <c r="K1292" s="5">
        <v>31385401</v>
      </c>
      <c r="L1292" s="2" t="s">
        <v>142</v>
      </c>
      <c r="M1292" s="2" t="s">
        <v>1641</v>
      </c>
      <c r="N1292" s="6">
        <v>45562</v>
      </c>
      <c r="O1292" s="4">
        <v>6866760</v>
      </c>
      <c r="P1292" s="2">
        <v>114565</v>
      </c>
      <c r="Q1292" s="2" t="s">
        <v>1642</v>
      </c>
      <c r="R1292" s="2" t="s">
        <v>1643</v>
      </c>
      <c r="S1292" s="2" t="s">
        <v>79</v>
      </c>
      <c r="T1292" s="2" t="s">
        <v>79</v>
      </c>
      <c r="W1292" s="4">
        <v>450</v>
      </c>
      <c r="X1292" s="4">
        <f>SrcDB[[#This Row],[Cena bez DPH]]*1.2</f>
        <v>540</v>
      </c>
      <c r="Y1292" s="4">
        <f t="shared" ref="Y1292" si="1442">INDEX(InternalRates,MATCH($S1292,InternalRates01,FALSE),2)</f>
        <v>278.98333333333335</v>
      </c>
      <c r="Z1292" s="3" t="str">
        <f t="shared" si="1440"/>
        <v>Nie</v>
      </c>
      <c r="AA1292" s="3" t="str">
        <f t="shared" si="1441"/>
        <v>SLA</v>
      </c>
      <c r="AB1292" s="4">
        <v>280</v>
      </c>
      <c r="AC1292" s="4">
        <f>SrcDB[[#This Row],[Množstvo práce]]/4</f>
        <v>70</v>
      </c>
      <c r="AD1292" s="3" t="s">
        <v>48</v>
      </c>
      <c r="AE1292" s="6">
        <v>45680</v>
      </c>
      <c r="AF1292" s="3" t="s">
        <v>59</v>
      </c>
      <c r="AG1292" s="3" t="s">
        <v>49</v>
      </c>
      <c r="AH1292" s="3">
        <f>YEAR(SrcDB[[#This Row],[Datum_zverejnenia]])</f>
        <v>2024</v>
      </c>
      <c r="AI1292" s="3" cm="1">
        <f t="array" ref="AI1292">COUNT(_xlfn.UNIQUE(_xlfn._xlws.FILTER(SrcDB[ID],SrcDB[Objednavatel_ICO]=$H1292)))</f>
        <v>6</v>
      </c>
      <c r="AJ1292" s="3" cm="1">
        <f t="array" ref="AJ1292">COUNT(_xlfn.UNIQUE(_xlfn._xlws.FILTER(SrcDB[ID],SrcDB[Dodavatel_ICO]=$K1292)))</f>
        <v>14</v>
      </c>
      <c r="AK1292" s="3">
        <f t="shared" si="1429"/>
        <v>0</v>
      </c>
      <c r="AL1292" s="3">
        <f t="shared" si="1430"/>
        <v>0</v>
      </c>
      <c r="AM1292" s="17" t="str">
        <f>IF(SrcDB[[#This Row],[Pocet zmluv objednavatela]]&gt;3,SrcDB[[#This Row],[Objednavatel]],"Ostatné")</f>
        <v>Ministerstvo spravodlivosti SR</v>
      </c>
      <c r="AN1292" s="17" t="str">
        <f>IF(SrcDB[[#This Row],[Pocet zmluv dodavatela]]&gt;3,SrcDB[[#This Row],[Dodavatel]],"Ostatné")</f>
        <v>DITEC, a.s.</v>
      </c>
    </row>
    <row r="1293" spans="1:40" x14ac:dyDescent="0.3">
      <c r="A1293" s="2" t="s">
        <v>1639</v>
      </c>
      <c r="B1293" s="2">
        <v>9818798</v>
      </c>
      <c r="C1293" s="3" t="str">
        <f t="shared" si="1423"/>
        <v>Nie</v>
      </c>
      <c r="D1293" s="3" t="str">
        <f t="shared" si="1424"/>
        <v>Áno</v>
      </c>
      <c r="E1293" s="3" t="s">
        <v>48</v>
      </c>
      <c r="F1293" s="3" t="s">
        <v>49</v>
      </c>
      <c r="G1293" s="2" t="str">
        <f t="shared" si="1425"/>
        <v>Stredné zmluvy</v>
      </c>
      <c r="H1293" s="5" t="s">
        <v>62</v>
      </c>
      <c r="I1293" s="2" t="s">
        <v>63</v>
      </c>
      <c r="J1293" s="2" t="s">
        <v>1640</v>
      </c>
      <c r="K1293" s="5">
        <v>31385401</v>
      </c>
      <c r="L1293" s="2" t="s">
        <v>142</v>
      </c>
      <c r="M1293" s="2" t="s">
        <v>1641</v>
      </c>
      <c r="N1293" s="6">
        <v>45562</v>
      </c>
      <c r="O1293" s="4">
        <v>6866760</v>
      </c>
      <c r="P1293" s="2">
        <v>114565</v>
      </c>
      <c r="Q1293" s="2" t="s">
        <v>1642</v>
      </c>
      <c r="R1293" s="2" t="s">
        <v>1643</v>
      </c>
      <c r="S1293" s="2" t="s">
        <v>69</v>
      </c>
      <c r="T1293" s="2" t="s">
        <v>1644</v>
      </c>
      <c r="W1293" s="4">
        <v>550</v>
      </c>
      <c r="X1293" s="4">
        <f>SrcDB[[#This Row],[Cena bez DPH]]*1.2</f>
        <v>660</v>
      </c>
      <c r="Y1293" s="4">
        <f t="shared" ref="Y1293" si="1443">INDEX(InternalRates,MATCH($S1293,InternalRates01,FALSE),2)</f>
        <v>278.98333333333335</v>
      </c>
      <c r="Z1293" s="3" t="str">
        <f t="shared" si="1440"/>
        <v>Nie</v>
      </c>
      <c r="AA1293" s="3" t="str">
        <f t="shared" si="1441"/>
        <v>SLA</v>
      </c>
      <c r="AB1293" s="4">
        <v>280</v>
      </c>
      <c r="AC1293" s="4">
        <f>SrcDB[[#This Row],[Množstvo práce]]/4</f>
        <v>70</v>
      </c>
      <c r="AD1293" s="3" t="s">
        <v>48</v>
      </c>
      <c r="AE1293" s="6">
        <v>45680</v>
      </c>
      <c r="AF1293" s="3" t="s">
        <v>59</v>
      </c>
      <c r="AG1293" s="3" t="s">
        <v>49</v>
      </c>
      <c r="AH1293" s="3">
        <f>YEAR(SrcDB[[#This Row],[Datum_zverejnenia]])</f>
        <v>2024</v>
      </c>
      <c r="AI1293" s="3" cm="1">
        <f t="array" ref="AI1293">COUNT(_xlfn.UNIQUE(_xlfn._xlws.FILTER(SrcDB[ID],SrcDB[Objednavatel_ICO]=$H1293)))</f>
        <v>6</v>
      </c>
      <c r="AJ1293" s="3" cm="1">
        <f t="array" ref="AJ1293">COUNT(_xlfn.UNIQUE(_xlfn._xlws.FILTER(SrcDB[ID],SrcDB[Dodavatel_ICO]=$K1293)))</f>
        <v>14</v>
      </c>
      <c r="AK1293" s="3">
        <f t="shared" si="1429"/>
        <v>0</v>
      </c>
      <c r="AL1293" s="3">
        <f t="shared" si="1430"/>
        <v>0</v>
      </c>
      <c r="AM1293" s="17" t="str">
        <f>IF(SrcDB[[#This Row],[Pocet zmluv objednavatela]]&gt;3,SrcDB[[#This Row],[Objednavatel]],"Ostatné")</f>
        <v>Ministerstvo spravodlivosti SR</v>
      </c>
      <c r="AN1293" s="17" t="str">
        <f>IF(SrcDB[[#This Row],[Pocet zmluv dodavatela]]&gt;3,SrcDB[[#This Row],[Dodavatel]],"Ostatné")</f>
        <v>DITEC, a.s.</v>
      </c>
    </row>
    <row r="1294" spans="1:40" x14ac:dyDescent="0.3">
      <c r="A1294" s="2" t="s">
        <v>1639</v>
      </c>
      <c r="B1294" s="2">
        <v>9818798</v>
      </c>
      <c r="C1294" s="3" t="str">
        <f t="shared" si="1423"/>
        <v>Nie</v>
      </c>
      <c r="D1294" s="3" t="str">
        <f t="shared" si="1424"/>
        <v>Áno</v>
      </c>
      <c r="E1294" s="3" t="s">
        <v>48</v>
      </c>
      <c r="F1294" s="3" t="s">
        <v>49</v>
      </c>
      <c r="G1294" s="2" t="str">
        <f t="shared" si="1425"/>
        <v>Stredné zmluvy</v>
      </c>
      <c r="H1294" s="5" t="s">
        <v>62</v>
      </c>
      <c r="I1294" s="2" t="s">
        <v>63</v>
      </c>
      <c r="J1294" s="2" t="s">
        <v>1640</v>
      </c>
      <c r="K1294" s="5">
        <v>31385401</v>
      </c>
      <c r="L1294" s="2" t="s">
        <v>142</v>
      </c>
      <c r="M1294" s="2" t="s">
        <v>1641</v>
      </c>
      <c r="N1294" s="6">
        <v>45562</v>
      </c>
      <c r="O1294" s="4">
        <v>6866760</v>
      </c>
      <c r="P1294" s="2">
        <v>114565</v>
      </c>
      <c r="Q1294" s="2" t="s">
        <v>1642</v>
      </c>
      <c r="R1294" s="2" t="s">
        <v>1643</v>
      </c>
      <c r="S1294" s="2" t="s">
        <v>56</v>
      </c>
      <c r="T1294" s="2" t="s">
        <v>147</v>
      </c>
      <c r="U1294" s="2" t="s">
        <v>76</v>
      </c>
      <c r="W1294" s="4">
        <v>550</v>
      </c>
      <c r="X1294" s="4">
        <f>SrcDB[[#This Row],[Cena bez DPH]]*1.2</f>
        <v>660</v>
      </c>
      <c r="Y1294" s="4">
        <f t="shared" ref="Y1294" si="1444">INDEX(InternalRates,MATCH($S1294,InternalRates01,FALSE),2)</f>
        <v>278.98333333333335</v>
      </c>
      <c r="Z1294" s="3" t="str">
        <f t="shared" si="1440"/>
        <v>Nie</v>
      </c>
      <c r="AA1294" s="3" t="str">
        <f t="shared" si="1441"/>
        <v>SLA</v>
      </c>
      <c r="AB1294" s="4">
        <v>160</v>
      </c>
      <c r="AC1294" s="4">
        <f>SrcDB[[#This Row],[Množstvo práce]]/4</f>
        <v>40</v>
      </c>
      <c r="AD1294" s="3" t="s">
        <v>48</v>
      </c>
      <c r="AE1294" s="6">
        <v>45680</v>
      </c>
      <c r="AF1294" s="3" t="s">
        <v>59</v>
      </c>
      <c r="AG1294" s="3" t="s">
        <v>49</v>
      </c>
      <c r="AH1294" s="3">
        <f>YEAR(SrcDB[[#This Row],[Datum_zverejnenia]])</f>
        <v>2024</v>
      </c>
      <c r="AI1294" s="3" cm="1">
        <f t="array" ref="AI1294">COUNT(_xlfn.UNIQUE(_xlfn._xlws.FILTER(SrcDB[ID],SrcDB[Objednavatel_ICO]=$H1294)))</f>
        <v>6</v>
      </c>
      <c r="AJ1294" s="3" cm="1">
        <f t="array" ref="AJ1294">COUNT(_xlfn.UNIQUE(_xlfn._xlws.FILTER(SrcDB[ID],SrcDB[Dodavatel_ICO]=$K1294)))</f>
        <v>14</v>
      </c>
      <c r="AK1294" s="3">
        <f t="shared" si="1429"/>
        <v>0</v>
      </c>
      <c r="AL1294" s="3">
        <f t="shared" si="1430"/>
        <v>0</v>
      </c>
      <c r="AM1294" s="17" t="str">
        <f>IF(SrcDB[[#This Row],[Pocet zmluv objednavatela]]&gt;3,SrcDB[[#This Row],[Objednavatel]],"Ostatné")</f>
        <v>Ministerstvo spravodlivosti SR</v>
      </c>
      <c r="AN1294" s="17" t="str">
        <f>IF(SrcDB[[#This Row],[Pocet zmluv dodavatela]]&gt;3,SrcDB[[#This Row],[Dodavatel]],"Ostatné")</f>
        <v>DITEC, a.s.</v>
      </c>
    </row>
    <row r="1295" spans="1:40" x14ac:dyDescent="0.3">
      <c r="A1295" s="2" t="s">
        <v>1639</v>
      </c>
      <c r="B1295" s="2">
        <v>9818798</v>
      </c>
      <c r="C1295" s="3" t="str">
        <f t="shared" si="1423"/>
        <v>Nie</v>
      </c>
      <c r="D1295" s="3" t="str">
        <f t="shared" si="1424"/>
        <v>Áno</v>
      </c>
      <c r="E1295" s="3" t="s">
        <v>48</v>
      </c>
      <c r="F1295" s="3" t="s">
        <v>49</v>
      </c>
      <c r="G1295" s="2" t="str">
        <f t="shared" si="1425"/>
        <v>Stredné zmluvy</v>
      </c>
      <c r="H1295" s="5" t="s">
        <v>62</v>
      </c>
      <c r="I1295" s="2" t="s">
        <v>63</v>
      </c>
      <c r="J1295" s="2" t="s">
        <v>1640</v>
      </c>
      <c r="K1295" s="5">
        <v>31385401</v>
      </c>
      <c r="L1295" s="2" t="s">
        <v>142</v>
      </c>
      <c r="M1295" s="2" t="s">
        <v>1641</v>
      </c>
      <c r="N1295" s="6">
        <v>45562</v>
      </c>
      <c r="O1295" s="4">
        <v>6866760</v>
      </c>
      <c r="P1295" s="2">
        <v>114565</v>
      </c>
      <c r="Q1295" s="2" t="s">
        <v>1642</v>
      </c>
      <c r="R1295" s="2" t="s">
        <v>1643</v>
      </c>
      <c r="S1295" s="2" t="s">
        <v>56</v>
      </c>
      <c r="T1295" s="2" t="s">
        <v>1645</v>
      </c>
      <c r="U1295" s="2" t="s">
        <v>58</v>
      </c>
      <c r="W1295" s="4">
        <v>500</v>
      </c>
      <c r="X1295" s="4">
        <f>SrcDB[[#This Row],[Cena bez DPH]]*1.2</f>
        <v>600</v>
      </c>
      <c r="Y1295" s="4">
        <f t="shared" ref="Y1295" si="1445">INDEX(InternalRates,MATCH($S1295,InternalRates01,FALSE),2)</f>
        <v>278.98333333333335</v>
      </c>
      <c r="Z1295" s="3" t="str">
        <f t="shared" si="1440"/>
        <v>Nie</v>
      </c>
      <c r="AA1295" s="3" t="str">
        <f t="shared" si="1441"/>
        <v>SLA</v>
      </c>
      <c r="AB1295" s="4">
        <v>120</v>
      </c>
      <c r="AC1295" s="4">
        <f>SrcDB[[#This Row],[Množstvo práce]]/4</f>
        <v>30</v>
      </c>
      <c r="AD1295" s="3" t="s">
        <v>48</v>
      </c>
      <c r="AE1295" s="6">
        <v>45680</v>
      </c>
      <c r="AF1295" s="3" t="s">
        <v>59</v>
      </c>
      <c r="AG1295" s="3" t="s">
        <v>49</v>
      </c>
      <c r="AH1295" s="3">
        <f>YEAR(SrcDB[[#This Row],[Datum_zverejnenia]])</f>
        <v>2024</v>
      </c>
      <c r="AI1295" s="3" cm="1">
        <f t="array" ref="AI1295">COUNT(_xlfn.UNIQUE(_xlfn._xlws.FILTER(SrcDB[ID],SrcDB[Objednavatel_ICO]=$H1295)))</f>
        <v>6</v>
      </c>
      <c r="AJ1295" s="3" cm="1">
        <f t="array" ref="AJ1295">COUNT(_xlfn.UNIQUE(_xlfn._xlws.FILTER(SrcDB[ID],SrcDB[Dodavatel_ICO]=$K1295)))</f>
        <v>14</v>
      </c>
      <c r="AK1295" s="3">
        <f t="shared" si="1429"/>
        <v>0</v>
      </c>
      <c r="AL1295" s="3">
        <f t="shared" si="1430"/>
        <v>0</v>
      </c>
      <c r="AM1295" s="17" t="str">
        <f>IF(SrcDB[[#This Row],[Pocet zmluv objednavatela]]&gt;3,SrcDB[[#This Row],[Objednavatel]],"Ostatné")</f>
        <v>Ministerstvo spravodlivosti SR</v>
      </c>
      <c r="AN1295" s="17" t="str">
        <f>IF(SrcDB[[#This Row],[Pocet zmluv dodavatela]]&gt;3,SrcDB[[#This Row],[Dodavatel]],"Ostatné")</f>
        <v>DITEC, a.s.</v>
      </c>
    </row>
    <row r="1296" spans="1:40" x14ac:dyDescent="0.3">
      <c r="A1296" s="2" t="s">
        <v>1639</v>
      </c>
      <c r="B1296" s="2">
        <v>9818798</v>
      </c>
      <c r="C1296" s="3" t="str">
        <f t="shared" si="1423"/>
        <v>Nie</v>
      </c>
      <c r="D1296" s="3" t="str">
        <f t="shared" si="1424"/>
        <v>Áno</v>
      </c>
      <c r="E1296" s="3" t="s">
        <v>48</v>
      </c>
      <c r="F1296" s="3" t="s">
        <v>49</v>
      </c>
      <c r="G1296" s="2" t="str">
        <f t="shared" si="1425"/>
        <v>Stredné zmluvy</v>
      </c>
      <c r="H1296" s="5" t="s">
        <v>62</v>
      </c>
      <c r="I1296" s="2" t="s">
        <v>63</v>
      </c>
      <c r="J1296" s="2" t="s">
        <v>1640</v>
      </c>
      <c r="K1296" s="5">
        <v>31385401</v>
      </c>
      <c r="L1296" s="2" t="s">
        <v>142</v>
      </c>
      <c r="M1296" s="2" t="s">
        <v>1641</v>
      </c>
      <c r="N1296" s="6">
        <v>45562</v>
      </c>
      <c r="O1296" s="4">
        <v>6866760</v>
      </c>
      <c r="P1296" s="2">
        <v>114565</v>
      </c>
      <c r="Q1296" s="2" t="s">
        <v>1642</v>
      </c>
      <c r="R1296" s="2" t="s">
        <v>1643</v>
      </c>
      <c r="S1296" s="2" t="s">
        <v>56</v>
      </c>
      <c r="T1296" s="2" t="s">
        <v>1646</v>
      </c>
      <c r="U1296" s="2" t="s">
        <v>95</v>
      </c>
      <c r="W1296" s="4">
        <v>620</v>
      </c>
      <c r="X1296" s="4">
        <f>SrcDB[[#This Row],[Cena bez DPH]]*1.2</f>
        <v>744</v>
      </c>
      <c r="Y1296" s="4">
        <f t="shared" ref="Y1296" si="1446">INDEX(InternalRates,MATCH($S1296,InternalRates01,FALSE),2)</f>
        <v>278.98333333333335</v>
      </c>
      <c r="Z1296" s="3" t="str">
        <f t="shared" si="1440"/>
        <v>Nie</v>
      </c>
      <c r="AA1296" s="3" t="str">
        <f t="shared" si="1441"/>
        <v>SLA</v>
      </c>
      <c r="AB1296" s="4">
        <v>260</v>
      </c>
      <c r="AC1296" s="4">
        <f>SrcDB[[#This Row],[Množstvo práce]]/4</f>
        <v>65</v>
      </c>
      <c r="AD1296" s="3" t="s">
        <v>48</v>
      </c>
      <c r="AE1296" s="6">
        <v>45680</v>
      </c>
      <c r="AF1296" s="3" t="s">
        <v>59</v>
      </c>
      <c r="AG1296" s="3" t="s">
        <v>49</v>
      </c>
      <c r="AH1296" s="3">
        <f>YEAR(SrcDB[[#This Row],[Datum_zverejnenia]])</f>
        <v>2024</v>
      </c>
      <c r="AI1296" s="3" cm="1">
        <f t="array" ref="AI1296">COUNT(_xlfn.UNIQUE(_xlfn._xlws.FILTER(SrcDB[ID],SrcDB[Objednavatel_ICO]=$H1296)))</f>
        <v>6</v>
      </c>
      <c r="AJ1296" s="3" cm="1">
        <f t="array" ref="AJ1296">COUNT(_xlfn.UNIQUE(_xlfn._xlws.FILTER(SrcDB[ID],SrcDB[Dodavatel_ICO]=$K1296)))</f>
        <v>14</v>
      </c>
      <c r="AK1296" s="3">
        <f t="shared" si="1429"/>
        <v>0</v>
      </c>
      <c r="AL1296" s="3">
        <f t="shared" si="1430"/>
        <v>0</v>
      </c>
      <c r="AM1296" s="17" t="str">
        <f>IF(SrcDB[[#This Row],[Pocet zmluv objednavatela]]&gt;3,SrcDB[[#This Row],[Objednavatel]],"Ostatné")</f>
        <v>Ministerstvo spravodlivosti SR</v>
      </c>
      <c r="AN1296" s="17" t="str">
        <f>IF(SrcDB[[#This Row],[Pocet zmluv dodavatela]]&gt;3,SrcDB[[#This Row],[Dodavatel]],"Ostatné")</f>
        <v>DITEC, a.s.</v>
      </c>
    </row>
    <row r="1297" spans="1:40" x14ac:dyDescent="0.3">
      <c r="A1297" s="2" t="s">
        <v>1639</v>
      </c>
      <c r="B1297" s="2">
        <v>9818798</v>
      </c>
      <c r="C1297" s="3" t="str">
        <f t="shared" si="1423"/>
        <v>Nie</v>
      </c>
      <c r="D1297" s="3" t="str">
        <f t="shared" si="1424"/>
        <v>Áno</v>
      </c>
      <c r="E1297" s="3" t="s">
        <v>48</v>
      </c>
      <c r="F1297" s="3" t="s">
        <v>49</v>
      </c>
      <c r="G1297" s="2" t="str">
        <f t="shared" si="1425"/>
        <v>Stredné zmluvy</v>
      </c>
      <c r="H1297" s="5" t="s">
        <v>62</v>
      </c>
      <c r="I1297" s="2" t="s">
        <v>63</v>
      </c>
      <c r="J1297" s="2" t="s">
        <v>1640</v>
      </c>
      <c r="K1297" s="5">
        <v>31385401</v>
      </c>
      <c r="L1297" s="2" t="s">
        <v>142</v>
      </c>
      <c r="M1297" s="2" t="s">
        <v>1641</v>
      </c>
      <c r="N1297" s="6">
        <v>45562</v>
      </c>
      <c r="O1297" s="4">
        <v>6866760</v>
      </c>
      <c r="P1297" s="2">
        <v>114565</v>
      </c>
      <c r="Q1297" s="2" t="s">
        <v>1642</v>
      </c>
      <c r="R1297" s="2" t="s">
        <v>1643</v>
      </c>
      <c r="S1297" s="2" t="s">
        <v>56</v>
      </c>
      <c r="T1297" s="2" t="s">
        <v>146</v>
      </c>
      <c r="U1297" s="2" t="s">
        <v>58</v>
      </c>
      <c r="W1297" s="4">
        <v>570</v>
      </c>
      <c r="X1297" s="4">
        <f>SrcDB[[#This Row],[Cena bez DPH]]*1.2</f>
        <v>684</v>
      </c>
      <c r="Y1297" s="4">
        <f t="shared" ref="Y1297" si="1447">INDEX(InternalRates,MATCH($S1297,InternalRates01,FALSE),2)</f>
        <v>278.98333333333335</v>
      </c>
      <c r="Z1297" s="3" t="str">
        <f t="shared" si="1440"/>
        <v>Nie</v>
      </c>
      <c r="AA1297" s="3" t="str">
        <f t="shared" si="1441"/>
        <v>SLA</v>
      </c>
      <c r="AB1297" s="4">
        <v>260</v>
      </c>
      <c r="AC1297" s="4">
        <f>SrcDB[[#This Row],[Množstvo práce]]/4</f>
        <v>65</v>
      </c>
      <c r="AD1297" s="3" t="s">
        <v>48</v>
      </c>
      <c r="AE1297" s="6">
        <v>45680</v>
      </c>
      <c r="AF1297" s="3" t="s">
        <v>59</v>
      </c>
      <c r="AG1297" s="3" t="s">
        <v>49</v>
      </c>
      <c r="AH1297" s="3">
        <f>YEAR(SrcDB[[#This Row],[Datum_zverejnenia]])</f>
        <v>2024</v>
      </c>
      <c r="AI1297" s="3" cm="1">
        <f t="array" ref="AI1297">COUNT(_xlfn.UNIQUE(_xlfn._xlws.FILTER(SrcDB[ID],SrcDB[Objednavatel_ICO]=$H1297)))</f>
        <v>6</v>
      </c>
      <c r="AJ1297" s="3" cm="1">
        <f t="array" ref="AJ1297">COUNT(_xlfn.UNIQUE(_xlfn._xlws.FILTER(SrcDB[ID],SrcDB[Dodavatel_ICO]=$K1297)))</f>
        <v>14</v>
      </c>
      <c r="AK1297" s="3">
        <f t="shared" si="1429"/>
        <v>0</v>
      </c>
      <c r="AL1297" s="3">
        <f t="shared" si="1430"/>
        <v>0</v>
      </c>
      <c r="AM1297" s="17" t="str">
        <f>IF(SrcDB[[#This Row],[Pocet zmluv objednavatela]]&gt;3,SrcDB[[#This Row],[Objednavatel]],"Ostatné")</f>
        <v>Ministerstvo spravodlivosti SR</v>
      </c>
      <c r="AN1297" s="17" t="str">
        <f>IF(SrcDB[[#This Row],[Pocet zmluv dodavatela]]&gt;3,SrcDB[[#This Row],[Dodavatel]],"Ostatné")</f>
        <v>DITEC, a.s.</v>
      </c>
    </row>
    <row r="1298" spans="1:40" x14ac:dyDescent="0.3">
      <c r="A1298" s="2" t="s">
        <v>1639</v>
      </c>
      <c r="B1298" s="2">
        <v>9818798</v>
      </c>
      <c r="C1298" s="3" t="str">
        <f t="shared" si="1423"/>
        <v>Nie</v>
      </c>
      <c r="D1298" s="3" t="str">
        <f t="shared" si="1424"/>
        <v>Áno</v>
      </c>
      <c r="E1298" s="3" t="s">
        <v>48</v>
      </c>
      <c r="F1298" s="3" t="s">
        <v>49</v>
      </c>
      <c r="G1298" s="2" t="str">
        <f t="shared" si="1425"/>
        <v>Stredné zmluvy</v>
      </c>
      <c r="H1298" s="5" t="s">
        <v>62</v>
      </c>
      <c r="I1298" s="2" t="s">
        <v>63</v>
      </c>
      <c r="J1298" s="2" t="s">
        <v>1640</v>
      </c>
      <c r="K1298" s="5">
        <v>31385401</v>
      </c>
      <c r="L1298" s="2" t="s">
        <v>142</v>
      </c>
      <c r="M1298" s="2" t="s">
        <v>1641</v>
      </c>
      <c r="N1298" s="6">
        <v>45562</v>
      </c>
      <c r="O1298" s="4">
        <v>6866760</v>
      </c>
      <c r="P1298" s="2">
        <v>114565</v>
      </c>
      <c r="Q1298" s="2" t="s">
        <v>1642</v>
      </c>
      <c r="R1298" s="2" t="s">
        <v>1643</v>
      </c>
      <c r="S1298" s="2" t="s">
        <v>56</v>
      </c>
      <c r="T1298" s="2" t="s">
        <v>1647</v>
      </c>
      <c r="U1298" s="2" t="s">
        <v>58</v>
      </c>
      <c r="W1298" s="4">
        <v>570</v>
      </c>
      <c r="X1298" s="4">
        <f>SrcDB[[#This Row],[Cena bez DPH]]*1.2</f>
        <v>684</v>
      </c>
      <c r="Y1298" s="4">
        <f t="shared" ref="Y1298" si="1448">INDEX(InternalRates,MATCH($S1298,InternalRates01,FALSE),2)</f>
        <v>278.98333333333335</v>
      </c>
      <c r="Z1298" s="3" t="str">
        <f t="shared" si="1440"/>
        <v>Nie</v>
      </c>
      <c r="AA1298" s="3" t="str">
        <f t="shared" si="1441"/>
        <v>SLA</v>
      </c>
      <c r="AB1298" s="4">
        <v>300</v>
      </c>
      <c r="AC1298" s="4">
        <f>SrcDB[[#This Row],[Množstvo práce]]/4</f>
        <v>75</v>
      </c>
      <c r="AD1298" s="3" t="s">
        <v>48</v>
      </c>
      <c r="AE1298" s="6">
        <v>45680</v>
      </c>
      <c r="AF1298" s="3" t="s">
        <v>59</v>
      </c>
      <c r="AG1298" s="3" t="s">
        <v>49</v>
      </c>
      <c r="AH1298" s="3">
        <f>YEAR(SrcDB[[#This Row],[Datum_zverejnenia]])</f>
        <v>2024</v>
      </c>
      <c r="AI1298" s="3" cm="1">
        <f t="array" ref="AI1298">COUNT(_xlfn.UNIQUE(_xlfn._xlws.FILTER(SrcDB[ID],SrcDB[Objednavatel_ICO]=$H1298)))</f>
        <v>6</v>
      </c>
      <c r="AJ1298" s="3" cm="1">
        <f t="array" ref="AJ1298">COUNT(_xlfn.UNIQUE(_xlfn._xlws.FILTER(SrcDB[ID],SrcDB[Dodavatel_ICO]=$K1298)))</f>
        <v>14</v>
      </c>
      <c r="AK1298" s="3">
        <f t="shared" si="1429"/>
        <v>0</v>
      </c>
      <c r="AL1298" s="3">
        <f t="shared" si="1430"/>
        <v>0</v>
      </c>
      <c r="AM1298" s="17" t="str">
        <f>IF(SrcDB[[#This Row],[Pocet zmluv objednavatela]]&gt;3,SrcDB[[#This Row],[Objednavatel]],"Ostatné")</f>
        <v>Ministerstvo spravodlivosti SR</v>
      </c>
      <c r="AN1298" s="17" t="str">
        <f>IF(SrcDB[[#This Row],[Pocet zmluv dodavatela]]&gt;3,SrcDB[[#This Row],[Dodavatel]],"Ostatné")</f>
        <v>DITEC, a.s.</v>
      </c>
    </row>
    <row r="1299" spans="1:40" x14ac:dyDescent="0.3">
      <c r="A1299" s="2" t="s">
        <v>1648</v>
      </c>
      <c r="B1299" s="2">
        <v>9286970</v>
      </c>
      <c r="C1299" s="3" t="str">
        <f t="shared" si="1423"/>
        <v>Nie</v>
      </c>
      <c r="D1299" s="3" t="str">
        <f t="shared" si="1424"/>
        <v>Áno</v>
      </c>
      <c r="E1299" s="3" t="s">
        <v>48</v>
      </c>
      <c r="F1299" s="3" t="s">
        <v>49</v>
      </c>
      <c r="G1299" s="2" t="str">
        <f t="shared" si="1425"/>
        <v>Veľké zmluvy</v>
      </c>
      <c r="H1299" s="5" t="s">
        <v>417</v>
      </c>
      <c r="I1299" s="2" t="s">
        <v>418</v>
      </c>
      <c r="J1299" s="2" t="s">
        <v>419</v>
      </c>
      <c r="K1299" s="5">
        <v>35810734</v>
      </c>
      <c r="L1299" s="2" t="s">
        <v>257</v>
      </c>
      <c r="M1299" s="2" t="s">
        <v>53</v>
      </c>
      <c r="N1299" s="6">
        <v>45432</v>
      </c>
      <c r="O1299" s="4">
        <v>10396800</v>
      </c>
      <c r="P1299" s="2">
        <v>114571</v>
      </c>
      <c r="Q1299" s="2" t="s">
        <v>1649</v>
      </c>
      <c r="R1299" s="2" t="s">
        <v>1650</v>
      </c>
      <c r="S1299" s="2" t="s">
        <v>69</v>
      </c>
      <c r="T1299" s="2" t="s">
        <v>70</v>
      </c>
      <c r="W1299" s="4">
        <v>400</v>
      </c>
      <c r="X1299" s="4">
        <f>SrcDB[[#This Row],[Cena bez DPH]]*1.2</f>
        <v>480</v>
      </c>
      <c r="Y1299" s="4">
        <f t="shared" ref="Y1299" si="1449">INDEX(InternalRates,MATCH($S1299,InternalRates01,FALSE),2)</f>
        <v>278.98333333333335</v>
      </c>
      <c r="Z1299" s="3" t="str">
        <f>IF(W1299&gt;0,IF(Y1299&gt;W1299,"Áno","Nie"),"Nie")</f>
        <v>Nie</v>
      </c>
      <c r="AA1299" s="3" t="str">
        <f>IF(E1299="Nie","SLA",IF(F1299="Nie","ZoD","SLA+ZoD"))</f>
        <v>SLA</v>
      </c>
      <c r="AB1299" s="4">
        <v>110</v>
      </c>
      <c r="AC1299" s="4">
        <f>SrcDB[[#This Row],[Množstvo práce]]/5</f>
        <v>22</v>
      </c>
      <c r="AD1299" s="3" t="s">
        <v>49</v>
      </c>
      <c r="AE1299" s="6">
        <v>45680</v>
      </c>
      <c r="AF1299" s="3" t="s">
        <v>59</v>
      </c>
      <c r="AG1299" s="3" t="s">
        <v>49</v>
      </c>
      <c r="AH1299" s="3">
        <f>YEAR(SrcDB[[#This Row],[Datum_zverejnenia]])</f>
        <v>2024</v>
      </c>
      <c r="AI1299" s="3" cm="1">
        <f t="array" ref="AI1299">COUNT(_xlfn.UNIQUE(_xlfn._xlws.FILTER(SrcDB[ID],SrcDB[Objednavatel_ICO]=$H1299)))</f>
        <v>5</v>
      </c>
      <c r="AJ1299" s="3" cm="1">
        <f t="array" ref="AJ1299">COUNT(_xlfn.UNIQUE(_xlfn._xlws.FILTER(SrcDB[ID],SrcDB[Dodavatel_ICO]=$K1299)))</f>
        <v>10</v>
      </c>
      <c r="AK1299" s="3">
        <f t="shared" si="1429"/>
        <v>1</v>
      </c>
      <c r="AL1299" s="3">
        <f t="shared" si="1430"/>
        <v>1</v>
      </c>
      <c r="AM1299" s="17" t="str">
        <f>IF(SrcDB[[#This Row],[Pocet zmluv objednavatela]]&gt;3,SrcDB[[#This Row],[Objednavatel]],"Ostatné")</f>
        <v>Národné centrum zdravotníckych informácií, Bratislava</v>
      </c>
      <c r="AN1299" s="17" t="str">
        <f>IF(SrcDB[[#This Row],[Pocet zmluv dodavatela]]&gt;3,SrcDB[[#This Row],[Dodavatel]],"Ostatné")</f>
        <v>DATALAN, a.s.</v>
      </c>
    </row>
    <row r="1300" spans="1:40" x14ac:dyDescent="0.3">
      <c r="A1300" s="2" t="s">
        <v>1648</v>
      </c>
      <c r="B1300" s="2">
        <v>9286970</v>
      </c>
      <c r="C1300" s="3" t="str">
        <f t="shared" si="1423"/>
        <v>Nie</v>
      </c>
      <c r="D1300" s="3" t="str">
        <f t="shared" si="1424"/>
        <v>Áno</v>
      </c>
      <c r="E1300" s="3" t="s">
        <v>48</v>
      </c>
      <c r="F1300" s="3" t="s">
        <v>49</v>
      </c>
      <c r="G1300" s="2" t="str">
        <f t="shared" si="1425"/>
        <v>Veľké zmluvy</v>
      </c>
      <c r="H1300" s="5" t="s">
        <v>417</v>
      </c>
      <c r="I1300" s="2" t="s">
        <v>418</v>
      </c>
      <c r="J1300" s="2" t="s">
        <v>419</v>
      </c>
      <c r="K1300" s="5">
        <v>35810734</v>
      </c>
      <c r="L1300" s="2" t="s">
        <v>257</v>
      </c>
      <c r="M1300" s="2" t="s">
        <v>53</v>
      </c>
      <c r="N1300" s="6">
        <v>45432</v>
      </c>
      <c r="O1300" s="4">
        <v>10396800</v>
      </c>
      <c r="P1300" s="2">
        <v>114571</v>
      </c>
      <c r="Q1300" s="2" t="s">
        <v>1649</v>
      </c>
      <c r="R1300" s="2" t="s">
        <v>1650</v>
      </c>
      <c r="S1300" s="2" t="s">
        <v>73</v>
      </c>
      <c r="T1300" s="2" t="s">
        <v>90</v>
      </c>
      <c r="W1300" s="4">
        <v>400</v>
      </c>
      <c r="X1300" s="4">
        <f>SrcDB[[#This Row],[Cena bez DPH]]*1.2</f>
        <v>480</v>
      </c>
      <c r="Y1300" s="4">
        <f t="shared" ref="Y1300" si="1450">INDEX(InternalRates,MATCH($S1300,InternalRates01,FALSE),2)</f>
        <v>278.98333333333335</v>
      </c>
      <c r="Z1300" s="3" t="str">
        <f t="shared" ref="Z1300:Z1310" si="1451">IF(W1300&gt;0,IF(Y1300&gt;W1300,"Áno","Nie"),"Nie")</f>
        <v>Nie</v>
      </c>
      <c r="AA1300" s="3" t="str">
        <f t="shared" ref="AA1300:AA1310" si="1452">IF(E1300="Nie","SLA",IF(F1300="Nie","ZoD","SLA+ZoD"))</f>
        <v>SLA</v>
      </c>
      <c r="AB1300" s="4">
        <v>800</v>
      </c>
      <c r="AC1300" s="4">
        <f>SrcDB[[#This Row],[Množstvo práce]]/5</f>
        <v>160</v>
      </c>
      <c r="AD1300" s="3" t="s">
        <v>49</v>
      </c>
      <c r="AE1300" s="6">
        <v>45680</v>
      </c>
      <c r="AF1300" s="3" t="s">
        <v>59</v>
      </c>
      <c r="AG1300" s="3" t="s">
        <v>49</v>
      </c>
      <c r="AH1300" s="3">
        <f>YEAR(SrcDB[[#This Row],[Datum_zverejnenia]])</f>
        <v>2024</v>
      </c>
      <c r="AI1300" s="3" cm="1">
        <f t="array" ref="AI1300">COUNT(_xlfn.UNIQUE(_xlfn._xlws.FILTER(SrcDB[ID],SrcDB[Objednavatel_ICO]=$H1300)))</f>
        <v>5</v>
      </c>
      <c r="AJ1300" s="3" cm="1">
        <f t="array" ref="AJ1300">COUNT(_xlfn.UNIQUE(_xlfn._xlws.FILTER(SrcDB[ID],SrcDB[Dodavatel_ICO]=$K1300)))</f>
        <v>10</v>
      </c>
      <c r="AK1300" s="3">
        <f t="shared" si="1429"/>
        <v>0</v>
      </c>
      <c r="AL1300" s="3">
        <f t="shared" si="1430"/>
        <v>0</v>
      </c>
      <c r="AM1300" s="17" t="str">
        <f>IF(SrcDB[[#This Row],[Pocet zmluv objednavatela]]&gt;3,SrcDB[[#This Row],[Objednavatel]],"Ostatné")</f>
        <v>Národné centrum zdravotníckych informácií, Bratislava</v>
      </c>
      <c r="AN1300" s="17" t="str">
        <f>IF(SrcDB[[#This Row],[Pocet zmluv dodavatela]]&gt;3,SrcDB[[#This Row],[Dodavatel]],"Ostatné")</f>
        <v>DATALAN, a.s.</v>
      </c>
    </row>
    <row r="1301" spans="1:40" x14ac:dyDescent="0.3">
      <c r="A1301" s="2" t="s">
        <v>1648</v>
      </c>
      <c r="B1301" s="2">
        <v>9286970</v>
      </c>
      <c r="C1301" s="3" t="str">
        <f t="shared" si="1423"/>
        <v>Nie</v>
      </c>
      <c r="D1301" s="3" t="str">
        <f t="shared" si="1424"/>
        <v>Áno</v>
      </c>
      <c r="E1301" s="3" t="s">
        <v>48</v>
      </c>
      <c r="F1301" s="3" t="s">
        <v>49</v>
      </c>
      <c r="G1301" s="2" t="str">
        <f t="shared" si="1425"/>
        <v>Veľké zmluvy</v>
      </c>
      <c r="H1301" s="5" t="s">
        <v>417</v>
      </c>
      <c r="I1301" s="2" t="s">
        <v>418</v>
      </c>
      <c r="J1301" s="2" t="s">
        <v>419</v>
      </c>
      <c r="K1301" s="5">
        <v>35810734</v>
      </c>
      <c r="L1301" s="2" t="s">
        <v>257</v>
      </c>
      <c r="M1301" s="2" t="s">
        <v>53</v>
      </c>
      <c r="N1301" s="6">
        <v>45432</v>
      </c>
      <c r="O1301" s="4">
        <v>10396800</v>
      </c>
      <c r="P1301" s="2">
        <v>114571</v>
      </c>
      <c r="Q1301" s="2" t="s">
        <v>1649</v>
      </c>
      <c r="R1301" s="2" t="s">
        <v>1650</v>
      </c>
      <c r="S1301" s="2" t="s">
        <v>71</v>
      </c>
      <c r="T1301" s="2" t="s">
        <v>196</v>
      </c>
      <c r="W1301" s="4">
        <v>400</v>
      </c>
      <c r="X1301" s="4">
        <f>SrcDB[[#This Row],[Cena bez DPH]]*1.2</f>
        <v>480</v>
      </c>
      <c r="Y1301" s="4">
        <f t="shared" ref="Y1301" si="1453">INDEX(InternalRates,MATCH($S1301,InternalRates01,FALSE),2)</f>
        <v>354.0333333333333</v>
      </c>
      <c r="Z1301" s="3" t="str">
        <f t="shared" si="1451"/>
        <v>Nie</v>
      </c>
      <c r="AA1301" s="3" t="str">
        <f t="shared" si="1452"/>
        <v>SLA</v>
      </c>
      <c r="AB1301" s="4">
        <v>150</v>
      </c>
      <c r="AC1301" s="4">
        <f>SrcDB[[#This Row],[Množstvo práce]]/5</f>
        <v>30</v>
      </c>
      <c r="AD1301" s="3" t="s">
        <v>49</v>
      </c>
      <c r="AE1301" s="6">
        <v>45680</v>
      </c>
      <c r="AF1301" s="3" t="s">
        <v>59</v>
      </c>
      <c r="AG1301" s="3" t="s">
        <v>49</v>
      </c>
      <c r="AH1301" s="3">
        <f>YEAR(SrcDB[[#This Row],[Datum_zverejnenia]])</f>
        <v>2024</v>
      </c>
      <c r="AI1301" s="3" cm="1">
        <f t="array" ref="AI1301">COUNT(_xlfn.UNIQUE(_xlfn._xlws.FILTER(SrcDB[ID],SrcDB[Objednavatel_ICO]=$H1301)))</f>
        <v>5</v>
      </c>
      <c r="AJ1301" s="3" cm="1">
        <f t="array" ref="AJ1301">COUNT(_xlfn.UNIQUE(_xlfn._xlws.FILTER(SrcDB[ID],SrcDB[Dodavatel_ICO]=$K1301)))</f>
        <v>10</v>
      </c>
      <c r="AK1301" s="3">
        <f t="shared" si="1429"/>
        <v>0</v>
      </c>
      <c r="AL1301" s="3">
        <f t="shared" si="1430"/>
        <v>0</v>
      </c>
      <c r="AM1301" s="17" t="str">
        <f>IF(SrcDB[[#This Row],[Pocet zmluv objednavatela]]&gt;3,SrcDB[[#This Row],[Objednavatel]],"Ostatné")</f>
        <v>Národné centrum zdravotníckych informácií, Bratislava</v>
      </c>
      <c r="AN1301" s="17" t="str">
        <f>IF(SrcDB[[#This Row],[Pocet zmluv dodavatela]]&gt;3,SrcDB[[#This Row],[Dodavatel]],"Ostatné")</f>
        <v>DATALAN, a.s.</v>
      </c>
    </row>
    <row r="1302" spans="1:40" x14ac:dyDescent="0.3">
      <c r="A1302" s="2" t="s">
        <v>1648</v>
      </c>
      <c r="B1302" s="2">
        <v>9286970</v>
      </c>
      <c r="C1302" s="3" t="str">
        <f t="shared" si="1423"/>
        <v>Nie</v>
      </c>
      <c r="D1302" s="3" t="str">
        <f t="shared" si="1424"/>
        <v>Áno</v>
      </c>
      <c r="E1302" s="3" t="s">
        <v>48</v>
      </c>
      <c r="F1302" s="3" t="s">
        <v>49</v>
      </c>
      <c r="G1302" s="2" t="str">
        <f t="shared" si="1425"/>
        <v>Veľké zmluvy</v>
      </c>
      <c r="H1302" s="5" t="s">
        <v>417</v>
      </c>
      <c r="I1302" s="2" t="s">
        <v>418</v>
      </c>
      <c r="J1302" s="2" t="s">
        <v>419</v>
      </c>
      <c r="K1302" s="5">
        <v>35810734</v>
      </c>
      <c r="L1302" s="2" t="s">
        <v>257</v>
      </c>
      <c r="M1302" s="2" t="s">
        <v>53</v>
      </c>
      <c r="N1302" s="6">
        <v>45432</v>
      </c>
      <c r="O1302" s="4">
        <v>10396800</v>
      </c>
      <c r="P1302" s="2">
        <v>114571</v>
      </c>
      <c r="Q1302" s="2" t="s">
        <v>1649</v>
      </c>
      <c r="R1302" s="2" t="s">
        <v>1650</v>
      </c>
      <c r="S1302" s="2" t="s">
        <v>77</v>
      </c>
      <c r="T1302" s="2" t="s">
        <v>1097</v>
      </c>
      <c r="W1302" s="4">
        <v>400</v>
      </c>
      <c r="X1302" s="4">
        <f>SrcDB[[#This Row],[Cena bez DPH]]*1.2</f>
        <v>480</v>
      </c>
      <c r="Y1302" s="4">
        <f t="shared" ref="Y1302" si="1454">INDEX(InternalRates,MATCH($S1302,InternalRates01,FALSE),2)</f>
        <v>278.98333333333335</v>
      </c>
      <c r="Z1302" s="3" t="str">
        <f t="shared" si="1451"/>
        <v>Nie</v>
      </c>
      <c r="AA1302" s="3" t="str">
        <f t="shared" si="1452"/>
        <v>SLA</v>
      </c>
      <c r="AB1302" s="4">
        <v>800</v>
      </c>
      <c r="AC1302" s="4">
        <f>SrcDB[[#This Row],[Množstvo práce]]/5</f>
        <v>160</v>
      </c>
      <c r="AD1302" s="3" t="s">
        <v>49</v>
      </c>
      <c r="AE1302" s="6">
        <v>45680</v>
      </c>
      <c r="AF1302" s="3" t="s">
        <v>59</v>
      </c>
      <c r="AG1302" s="3" t="s">
        <v>49</v>
      </c>
      <c r="AH1302" s="3">
        <f>YEAR(SrcDB[[#This Row],[Datum_zverejnenia]])</f>
        <v>2024</v>
      </c>
      <c r="AI1302" s="3" cm="1">
        <f t="array" ref="AI1302">COUNT(_xlfn.UNIQUE(_xlfn._xlws.FILTER(SrcDB[ID],SrcDB[Objednavatel_ICO]=$H1302)))</f>
        <v>5</v>
      </c>
      <c r="AJ1302" s="3" cm="1">
        <f t="array" ref="AJ1302">COUNT(_xlfn.UNIQUE(_xlfn._xlws.FILTER(SrcDB[ID],SrcDB[Dodavatel_ICO]=$K1302)))</f>
        <v>10</v>
      </c>
      <c r="AK1302" s="3">
        <f t="shared" si="1429"/>
        <v>0</v>
      </c>
      <c r="AL1302" s="3">
        <f t="shared" si="1430"/>
        <v>0</v>
      </c>
      <c r="AM1302" s="17" t="str">
        <f>IF(SrcDB[[#This Row],[Pocet zmluv objednavatela]]&gt;3,SrcDB[[#This Row],[Objednavatel]],"Ostatné")</f>
        <v>Národné centrum zdravotníckych informácií, Bratislava</v>
      </c>
      <c r="AN1302" s="17" t="str">
        <f>IF(SrcDB[[#This Row],[Pocet zmluv dodavatela]]&gt;3,SrcDB[[#This Row],[Dodavatel]],"Ostatné")</f>
        <v>DATALAN, a.s.</v>
      </c>
    </row>
    <row r="1303" spans="1:40" x14ac:dyDescent="0.3">
      <c r="A1303" s="2" t="s">
        <v>1648</v>
      </c>
      <c r="B1303" s="2">
        <v>9286970</v>
      </c>
      <c r="C1303" s="3" t="str">
        <f t="shared" si="1423"/>
        <v>Nie</v>
      </c>
      <c r="D1303" s="3" t="str">
        <f t="shared" si="1424"/>
        <v>Áno</v>
      </c>
      <c r="E1303" s="3" t="s">
        <v>48</v>
      </c>
      <c r="F1303" s="3" t="s">
        <v>49</v>
      </c>
      <c r="G1303" s="2" t="str">
        <f t="shared" si="1425"/>
        <v>Veľké zmluvy</v>
      </c>
      <c r="H1303" s="5" t="s">
        <v>417</v>
      </c>
      <c r="I1303" s="2" t="s">
        <v>418</v>
      </c>
      <c r="J1303" s="2" t="s">
        <v>419</v>
      </c>
      <c r="K1303" s="5">
        <v>35810734</v>
      </c>
      <c r="L1303" s="2" t="s">
        <v>257</v>
      </c>
      <c r="M1303" s="2" t="s">
        <v>53</v>
      </c>
      <c r="N1303" s="6">
        <v>45432</v>
      </c>
      <c r="O1303" s="4">
        <v>10396800</v>
      </c>
      <c r="P1303" s="2">
        <v>114571</v>
      </c>
      <c r="Q1303" s="2" t="s">
        <v>1649</v>
      </c>
      <c r="R1303" s="2" t="s">
        <v>1650</v>
      </c>
      <c r="S1303" s="2" t="s">
        <v>79</v>
      </c>
      <c r="T1303" s="2" t="s">
        <v>93</v>
      </c>
      <c r="W1303" s="4">
        <v>400</v>
      </c>
      <c r="X1303" s="4">
        <f>SrcDB[[#This Row],[Cena bez DPH]]*1.2</f>
        <v>480</v>
      </c>
      <c r="Y1303" s="4">
        <f t="shared" ref="Y1303" si="1455">INDEX(InternalRates,MATCH($S1303,InternalRates01,FALSE),2)</f>
        <v>278.98333333333335</v>
      </c>
      <c r="Z1303" s="3" t="str">
        <f t="shared" si="1451"/>
        <v>Nie</v>
      </c>
      <c r="AA1303" s="3" t="str">
        <f t="shared" si="1452"/>
        <v>SLA</v>
      </c>
      <c r="AB1303" s="4">
        <v>260</v>
      </c>
      <c r="AC1303" s="4">
        <f>SrcDB[[#This Row],[Množstvo práce]]/5</f>
        <v>52</v>
      </c>
      <c r="AD1303" s="3" t="s">
        <v>49</v>
      </c>
      <c r="AE1303" s="6">
        <v>45680</v>
      </c>
      <c r="AF1303" s="3" t="s">
        <v>59</v>
      </c>
      <c r="AG1303" s="3" t="s">
        <v>49</v>
      </c>
      <c r="AH1303" s="3">
        <f>YEAR(SrcDB[[#This Row],[Datum_zverejnenia]])</f>
        <v>2024</v>
      </c>
      <c r="AI1303" s="3" cm="1">
        <f t="array" ref="AI1303">COUNT(_xlfn.UNIQUE(_xlfn._xlws.FILTER(SrcDB[ID],SrcDB[Objednavatel_ICO]=$H1303)))</f>
        <v>5</v>
      </c>
      <c r="AJ1303" s="3" cm="1">
        <f t="array" ref="AJ1303">COUNT(_xlfn.UNIQUE(_xlfn._xlws.FILTER(SrcDB[ID],SrcDB[Dodavatel_ICO]=$K1303)))</f>
        <v>10</v>
      </c>
      <c r="AK1303" s="3">
        <f t="shared" si="1429"/>
        <v>0</v>
      </c>
      <c r="AL1303" s="3">
        <f t="shared" si="1430"/>
        <v>0</v>
      </c>
      <c r="AM1303" s="17" t="str">
        <f>IF(SrcDB[[#This Row],[Pocet zmluv objednavatela]]&gt;3,SrcDB[[#This Row],[Objednavatel]],"Ostatné")</f>
        <v>Národné centrum zdravotníckych informácií, Bratislava</v>
      </c>
      <c r="AN1303" s="17" t="str">
        <f>IF(SrcDB[[#This Row],[Pocet zmluv dodavatela]]&gt;3,SrcDB[[#This Row],[Dodavatel]],"Ostatné")</f>
        <v>DATALAN, a.s.</v>
      </c>
    </row>
    <row r="1304" spans="1:40" x14ac:dyDescent="0.3">
      <c r="A1304" s="2" t="s">
        <v>1648</v>
      </c>
      <c r="B1304" s="2">
        <v>9286970</v>
      </c>
      <c r="C1304" s="3" t="str">
        <f t="shared" si="1423"/>
        <v>Nie</v>
      </c>
      <c r="D1304" s="3" t="str">
        <f t="shared" si="1424"/>
        <v>Áno</v>
      </c>
      <c r="E1304" s="3" t="s">
        <v>48</v>
      </c>
      <c r="F1304" s="3" t="s">
        <v>49</v>
      </c>
      <c r="G1304" s="2" t="str">
        <f t="shared" si="1425"/>
        <v>Veľké zmluvy</v>
      </c>
      <c r="H1304" s="5" t="s">
        <v>417</v>
      </c>
      <c r="I1304" s="2" t="s">
        <v>418</v>
      </c>
      <c r="J1304" s="2" t="s">
        <v>419</v>
      </c>
      <c r="K1304" s="5">
        <v>35810734</v>
      </c>
      <c r="L1304" s="2" t="s">
        <v>257</v>
      </c>
      <c r="M1304" s="2" t="s">
        <v>53</v>
      </c>
      <c r="N1304" s="6">
        <v>45432</v>
      </c>
      <c r="O1304" s="4">
        <v>10396800</v>
      </c>
      <c r="P1304" s="2">
        <v>114571</v>
      </c>
      <c r="Q1304" s="2" t="s">
        <v>1649</v>
      </c>
      <c r="R1304" s="2" t="s">
        <v>1650</v>
      </c>
      <c r="S1304" s="2" t="s">
        <v>56</v>
      </c>
      <c r="T1304" s="2" t="s">
        <v>1651</v>
      </c>
      <c r="U1304" s="2" t="s">
        <v>449</v>
      </c>
      <c r="W1304" s="4">
        <v>400</v>
      </c>
      <c r="X1304" s="4">
        <f>SrcDB[[#This Row],[Cena bez DPH]]*1.2</f>
        <v>480</v>
      </c>
      <c r="Y1304" s="4">
        <f t="shared" ref="Y1304" si="1456">INDEX(InternalRates,MATCH($S1304,InternalRates01,FALSE),2)</f>
        <v>278.98333333333335</v>
      </c>
      <c r="Z1304" s="3" t="str">
        <f t="shared" si="1451"/>
        <v>Nie</v>
      </c>
      <c r="AA1304" s="3" t="str">
        <f t="shared" si="1452"/>
        <v>SLA</v>
      </c>
      <c r="AB1304" s="4">
        <v>50</v>
      </c>
      <c r="AC1304" s="4">
        <f>SrcDB[[#This Row],[Množstvo práce]]/5</f>
        <v>10</v>
      </c>
      <c r="AD1304" s="3" t="s">
        <v>49</v>
      </c>
      <c r="AE1304" s="6">
        <v>45680</v>
      </c>
      <c r="AF1304" s="3" t="s">
        <v>59</v>
      </c>
      <c r="AG1304" s="3" t="s">
        <v>49</v>
      </c>
      <c r="AH1304" s="3">
        <f>YEAR(SrcDB[[#This Row],[Datum_zverejnenia]])</f>
        <v>2024</v>
      </c>
      <c r="AI1304" s="3" cm="1">
        <f t="array" ref="AI1304">COUNT(_xlfn.UNIQUE(_xlfn._xlws.FILTER(SrcDB[ID],SrcDB[Objednavatel_ICO]=$H1304)))</f>
        <v>5</v>
      </c>
      <c r="AJ1304" s="3" cm="1">
        <f t="array" ref="AJ1304">COUNT(_xlfn.UNIQUE(_xlfn._xlws.FILTER(SrcDB[ID],SrcDB[Dodavatel_ICO]=$K1304)))</f>
        <v>10</v>
      </c>
      <c r="AK1304" s="3">
        <f t="shared" si="1429"/>
        <v>0</v>
      </c>
      <c r="AL1304" s="3">
        <f t="shared" si="1430"/>
        <v>0</v>
      </c>
      <c r="AM1304" s="17" t="str">
        <f>IF(SrcDB[[#This Row],[Pocet zmluv objednavatela]]&gt;3,SrcDB[[#This Row],[Objednavatel]],"Ostatné")</f>
        <v>Národné centrum zdravotníckych informácií, Bratislava</v>
      </c>
      <c r="AN1304" s="17" t="str">
        <f>IF(SrcDB[[#This Row],[Pocet zmluv dodavatela]]&gt;3,SrcDB[[#This Row],[Dodavatel]],"Ostatné")</f>
        <v>DATALAN, a.s.</v>
      </c>
    </row>
    <row r="1305" spans="1:40" x14ac:dyDescent="0.3">
      <c r="A1305" s="2" t="s">
        <v>1648</v>
      </c>
      <c r="B1305" s="2">
        <v>9286970</v>
      </c>
      <c r="C1305" s="3" t="str">
        <f t="shared" si="1423"/>
        <v>Nie</v>
      </c>
      <c r="D1305" s="3" t="str">
        <f t="shared" si="1424"/>
        <v>Áno</v>
      </c>
      <c r="E1305" s="3" t="s">
        <v>48</v>
      </c>
      <c r="F1305" s="3" t="s">
        <v>49</v>
      </c>
      <c r="G1305" s="2" t="str">
        <f t="shared" si="1425"/>
        <v>Veľké zmluvy</v>
      </c>
      <c r="H1305" s="5" t="s">
        <v>417</v>
      </c>
      <c r="I1305" s="2" t="s">
        <v>418</v>
      </c>
      <c r="J1305" s="2" t="s">
        <v>419</v>
      </c>
      <c r="K1305" s="5">
        <v>35810734</v>
      </c>
      <c r="L1305" s="2" t="s">
        <v>257</v>
      </c>
      <c r="M1305" s="2" t="s">
        <v>53</v>
      </c>
      <c r="N1305" s="6">
        <v>45432</v>
      </c>
      <c r="O1305" s="4">
        <v>10396800</v>
      </c>
      <c r="P1305" s="2">
        <v>114571</v>
      </c>
      <c r="Q1305" s="2" t="s">
        <v>1649</v>
      </c>
      <c r="R1305" s="2" t="s">
        <v>1650</v>
      </c>
      <c r="S1305" s="2" t="s">
        <v>102</v>
      </c>
      <c r="T1305" s="2" t="s">
        <v>111</v>
      </c>
      <c r="W1305" s="4">
        <v>400</v>
      </c>
      <c r="X1305" s="4">
        <f>SrcDB[[#This Row],[Cena bez DPH]]*1.2</f>
        <v>480</v>
      </c>
      <c r="Y1305" s="4">
        <f t="shared" ref="Y1305" si="1457">INDEX(InternalRates,MATCH($S1305,InternalRates01,FALSE),2)</f>
        <v>278.98333333333335</v>
      </c>
      <c r="Z1305" s="3" t="str">
        <f t="shared" si="1451"/>
        <v>Nie</v>
      </c>
      <c r="AA1305" s="3" t="str">
        <f t="shared" si="1452"/>
        <v>SLA</v>
      </c>
      <c r="AB1305" s="4">
        <v>120</v>
      </c>
      <c r="AC1305" s="4">
        <f>SrcDB[[#This Row],[Množstvo práce]]/5</f>
        <v>24</v>
      </c>
      <c r="AD1305" s="3" t="s">
        <v>49</v>
      </c>
      <c r="AE1305" s="6">
        <v>45680</v>
      </c>
      <c r="AF1305" s="3" t="s">
        <v>59</v>
      </c>
      <c r="AG1305" s="3" t="s">
        <v>49</v>
      </c>
      <c r="AH1305" s="3">
        <f>YEAR(SrcDB[[#This Row],[Datum_zverejnenia]])</f>
        <v>2024</v>
      </c>
      <c r="AI1305" s="3" cm="1">
        <f t="array" ref="AI1305">COUNT(_xlfn.UNIQUE(_xlfn._xlws.FILTER(SrcDB[ID],SrcDB[Objednavatel_ICO]=$H1305)))</f>
        <v>5</v>
      </c>
      <c r="AJ1305" s="3" cm="1">
        <f t="array" ref="AJ1305">COUNT(_xlfn.UNIQUE(_xlfn._xlws.FILTER(SrcDB[ID],SrcDB[Dodavatel_ICO]=$K1305)))</f>
        <v>10</v>
      </c>
      <c r="AK1305" s="3">
        <f t="shared" si="1429"/>
        <v>0</v>
      </c>
      <c r="AL1305" s="3">
        <f t="shared" si="1430"/>
        <v>0</v>
      </c>
      <c r="AM1305" s="17" t="str">
        <f>IF(SrcDB[[#This Row],[Pocet zmluv objednavatela]]&gt;3,SrcDB[[#This Row],[Objednavatel]],"Ostatné")</f>
        <v>Národné centrum zdravotníckych informácií, Bratislava</v>
      </c>
      <c r="AN1305" s="17" t="str">
        <f>IF(SrcDB[[#This Row],[Pocet zmluv dodavatela]]&gt;3,SrcDB[[#This Row],[Dodavatel]],"Ostatné")</f>
        <v>DATALAN, a.s.</v>
      </c>
    </row>
    <row r="1306" spans="1:40" x14ac:dyDescent="0.3">
      <c r="A1306" s="2" t="s">
        <v>1648</v>
      </c>
      <c r="B1306" s="2">
        <v>9286970</v>
      </c>
      <c r="C1306" s="3" t="str">
        <f t="shared" si="1423"/>
        <v>Nie</v>
      </c>
      <c r="D1306" s="3" t="str">
        <f t="shared" si="1424"/>
        <v>Áno</v>
      </c>
      <c r="E1306" s="3" t="s">
        <v>48</v>
      </c>
      <c r="F1306" s="3" t="s">
        <v>49</v>
      </c>
      <c r="G1306" s="2" t="str">
        <f t="shared" si="1425"/>
        <v>Veľké zmluvy</v>
      </c>
      <c r="H1306" s="5" t="s">
        <v>417</v>
      </c>
      <c r="I1306" s="2" t="s">
        <v>418</v>
      </c>
      <c r="J1306" s="2" t="s">
        <v>419</v>
      </c>
      <c r="K1306" s="5">
        <v>35810734</v>
      </c>
      <c r="L1306" s="2" t="s">
        <v>257</v>
      </c>
      <c r="M1306" s="2" t="s">
        <v>53</v>
      </c>
      <c r="N1306" s="6">
        <v>45432</v>
      </c>
      <c r="O1306" s="4">
        <v>10396800</v>
      </c>
      <c r="P1306" s="2">
        <v>114571</v>
      </c>
      <c r="Q1306" s="2" t="s">
        <v>1649</v>
      </c>
      <c r="R1306" s="2" t="s">
        <v>1650</v>
      </c>
      <c r="S1306" s="2" t="s">
        <v>56</v>
      </c>
      <c r="T1306" s="2" t="s">
        <v>94</v>
      </c>
      <c r="U1306" s="2" t="s">
        <v>95</v>
      </c>
      <c r="W1306" s="4">
        <v>400</v>
      </c>
      <c r="X1306" s="4">
        <f>SrcDB[[#This Row],[Cena bez DPH]]*1.2</f>
        <v>480</v>
      </c>
      <c r="Y1306" s="4">
        <f t="shared" ref="Y1306" si="1458">INDEX(InternalRates,MATCH($S1306,InternalRates01,FALSE),2)</f>
        <v>278.98333333333335</v>
      </c>
      <c r="Z1306" s="3" t="str">
        <f t="shared" si="1451"/>
        <v>Nie</v>
      </c>
      <c r="AA1306" s="3" t="str">
        <f t="shared" si="1452"/>
        <v>SLA</v>
      </c>
      <c r="AB1306" s="4">
        <v>120</v>
      </c>
      <c r="AC1306" s="4">
        <f>SrcDB[[#This Row],[Množstvo práce]]/5</f>
        <v>24</v>
      </c>
      <c r="AD1306" s="3" t="s">
        <v>49</v>
      </c>
      <c r="AE1306" s="6">
        <v>45680</v>
      </c>
      <c r="AF1306" s="3" t="s">
        <v>59</v>
      </c>
      <c r="AG1306" s="3" t="s">
        <v>49</v>
      </c>
      <c r="AH1306" s="3">
        <f>YEAR(SrcDB[[#This Row],[Datum_zverejnenia]])</f>
        <v>2024</v>
      </c>
      <c r="AI1306" s="3" cm="1">
        <f t="array" ref="AI1306">COUNT(_xlfn.UNIQUE(_xlfn._xlws.FILTER(SrcDB[ID],SrcDB[Objednavatel_ICO]=$H1306)))</f>
        <v>5</v>
      </c>
      <c r="AJ1306" s="3" cm="1">
        <f t="array" ref="AJ1306">COUNT(_xlfn.UNIQUE(_xlfn._xlws.FILTER(SrcDB[ID],SrcDB[Dodavatel_ICO]=$K1306)))</f>
        <v>10</v>
      </c>
      <c r="AK1306" s="3">
        <f t="shared" si="1429"/>
        <v>0</v>
      </c>
      <c r="AL1306" s="3">
        <f t="shared" si="1430"/>
        <v>0</v>
      </c>
      <c r="AM1306" s="17" t="str">
        <f>IF(SrcDB[[#This Row],[Pocet zmluv objednavatela]]&gt;3,SrcDB[[#This Row],[Objednavatel]],"Ostatné")</f>
        <v>Národné centrum zdravotníckych informácií, Bratislava</v>
      </c>
      <c r="AN1306" s="17" t="str">
        <f>IF(SrcDB[[#This Row],[Pocet zmluv dodavatela]]&gt;3,SrcDB[[#This Row],[Dodavatel]],"Ostatné")</f>
        <v>DATALAN, a.s.</v>
      </c>
    </row>
    <row r="1307" spans="1:40" x14ac:dyDescent="0.3">
      <c r="A1307" s="2" t="s">
        <v>1648</v>
      </c>
      <c r="B1307" s="2">
        <v>9286970</v>
      </c>
      <c r="C1307" s="3" t="str">
        <f t="shared" si="1423"/>
        <v>Nie</v>
      </c>
      <c r="D1307" s="3" t="str">
        <f t="shared" si="1424"/>
        <v>Áno</v>
      </c>
      <c r="E1307" s="3" t="s">
        <v>48</v>
      </c>
      <c r="F1307" s="3" t="s">
        <v>49</v>
      </c>
      <c r="G1307" s="2" t="str">
        <f t="shared" si="1425"/>
        <v>Veľké zmluvy</v>
      </c>
      <c r="H1307" s="5" t="s">
        <v>417</v>
      </c>
      <c r="I1307" s="2" t="s">
        <v>418</v>
      </c>
      <c r="J1307" s="2" t="s">
        <v>419</v>
      </c>
      <c r="K1307" s="5">
        <v>35810734</v>
      </c>
      <c r="L1307" s="2" t="s">
        <v>257</v>
      </c>
      <c r="M1307" s="2" t="s">
        <v>53</v>
      </c>
      <c r="N1307" s="6">
        <v>45432</v>
      </c>
      <c r="O1307" s="4">
        <v>10396800</v>
      </c>
      <c r="P1307" s="2">
        <v>114571</v>
      </c>
      <c r="Q1307" s="2" t="s">
        <v>1649</v>
      </c>
      <c r="R1307" s="2" t="s">
        <v>1650</v>
      </c>
      <c r="S1307" s="2" t="s">
        <v>56</v>
      </c>
      <c r="T1307" s="2" t="s">
        <v>1652</v>
      </c>
      <c r="U1307" s="2" t="s">
        <v>97</v>
      </c>
      <c r="W1307" s="4">
        <v>400</v>
      </c>
      <c r="X1307" s="4">
        <f>SrcDB[[#This Row],[Cena bez DPH]]*1.2</f>
        <v>480</v>
      </c>
      <c r="Y1307" s="4">
        <f t="shared" ref="Y1307" si="1459">INDEX(InternalRates,MATCH($S1307,InternalRates01,FALSE),2)</f>
        <v>278.98333333333335</v>
      </c>
      <c r="Z1307" s="3" t="str">
        <f t="shared" si="1451"/>
        <v>Nie</v>
      </c>
      <c r="AA1307" s="3" t="str">
        <f t="shared" si="1452"/>
        <v>SLA</v>
      </c>
      <c r="AB1307" s="4">
        <v>170</v>
      </c>
      <c r="AC1307" s="4">
        <f>SrcDB[[#This Row],[Množstvo práce]]/5</f>
        <v>34</v>
      </c>
      <c r="AD1307" s="3" t="s">
        <v>49</v>
      </c>
      <c r="AE1307" s="6">
        <v>45680</v>
      </c>
      <c r="AF1307" s="3" t="s">
        <v>59</v>
      </c>
      <c r="AG1307" s="3" t="s">
        <v>49</v>
      </c>
      <c r="AH1307" s="3">
        <f>YEAR(SrcDB[[#This Row],[Datum_zverejnenia]])</f>
        <v>2024</v>
      </c>
      <c r="AI1307" s="3" cm="1">
        <f t="array" ref="AI1307">COUNT(_xlfn.UNIQUE(_xlfn._xlws.FILTER(SrcDB[ID],SrcDB[Objednavatel_ICO]=$H1307)))</f>
        <v>5</v>
      </c>
      <c r="AJ1307" s="3" cm="1">
        <f t="array" ref="AJ1307">COUNT(_xlfn.UNIQUE(_xlfn._xlws.FILTER(SrcDB[ID],SrcDB[Dodavatel_ICO]=$K1307)))</f>
        <v>10</v>
      </c>
      <c r="AK1307" s="3">
        <f t="shared" si="1429"/>
        <v>0</v>
      </c>
      <c r="AL1307" s="3">
        <f t="shared" si="1430"/>
        <v>0</v>
      </c>
      <c r="AM1307" s="17" t="str">
        <f>IF(SrcDB[[#This Row],[Pocet zmluv objednavatela]]&gt;3,SrcDB[[#This Row],[Objednavatel]],"Ostatné")</f>
        <v>Národné centrum zdravotníckych informácií, Bratislava</v>
      </c>
      <c r="AN1307" s="17" t="str">
        <f>IF(SrcDB[[#This Row],[Pocet zmluv dodavatela]]&gt;3,SrcDB[[#This Row],[Dodavatel]],"Ostatné")</f>
        <v>DATALAN, a.s.</v>
      </c>
    </row>
    <row r="1308" spans="1:40" x14ac:dyDescent="0.3">
      <c r="A1308" s="2" t="s">
        <v>1648</v>
      </c>
      <c r="B1308" s="2">
        <v>9286970</v>
      </c>
      <c r="C1308" s="3" t="str">
        <f t="shared" si="1423"/>
        <v>Nie</v>
      </c>
      <c r="D1308" s="3" t="str">
        <f t="shared" si="1424"/>
        <v>Áno</v>
      </c>
      <c r="E1308" s="3" t="s">
        <v>48</v>
      </c>
      <c r="F1308" s="3" t="s">
        <v>49</v>
      </c>
      <c r="G1308" s="2" t="str">
        <f t="shared" si="1425"/>
        <v>Veľké zmluvy</v>
      </c>
      <c r="H1308" s="5" t="s">
        <v>417</v>
      </c>
      <c r="I1308" s="2" t="s">
        <v>418</v>
      </c>
      <c r="J1308" s="2" t="s">
        <v>419</v>
      </c>
      <c r="K1308" s="5">
        <v>35810734</v>
      </c>
      <c r="L1308" s="2" t="s">
        <v>257</v>
      </c>
      <c r="M1308" s="2" t="s">
        <v>53</v>
      </c>
      <c r="N1308" s="6">
        <v>45432</v>
      </c>
      <c r="O1308" s="4">
        <v>10396800</v>
      </c>
      <c r="P1308" s="2">
        <v>114571</v>
      </c>
      <c r="Q1308" s="2" t="s">
        <v>1649</v>
      </c>
      <c r="R1308" s="2" t="s">
        <v>1650</v>
      </c>
      <c r="S1308" s="2" t="s">
        <v>98</v>
      </c>
      <c r="T1308" s="2" t="s">
        <v>287</v>
      </c>
      <c r="W1308" s="4">
        <v>400</v>
      </c>
      <c r="X1308" s="4">
        <f>SrcDB[[#This Row],[Cena bez DPH]]*1.2</f>
        <v>480</v>
      </c>
      <c r="Y1308" s="4">
        <f t="shared" ref="Y1308" si="1460">INDEX(InternalRates,MATCH($S1308,InternalRates01,FALSE),2)</f>
        <v>278.98333333333335</v>
      </c>
      <c r="Z1308" s="3" t="str">
        <f t="shared" si="1451"/>
        <v>Nie</v>
      </c>
      <c r="AA1308" s="3" t="str">
        <f t="shared" si="1452"/>
        <v>SLA</v>
      </c>
      <c r="AB1308" s="4">
        <v>20</v>
      </c>
      <c r="AC1308" s="4">
        <f>SrcDB[[#This Row],[Množstvo práce]]/5</f>
        <v>4</v>
      </c>
      <c r="AD1308" s="3" t="s">
        <v>49</v>
      </c>
      <c r="AE1308" s="6">
        <v>45680</v>
      </c>
      <c r="AF1308" s="3" t="s">
        <v>59</v>
      </c>
      <c r="AG1308" s="3" t="s">
        <v>49</v>
      </c>
      <c r="AH1308" s="3">
        <f>YEAR(SrcDB[[#This Row],[Datum_zverejnenia]])</f>
        <v>2024</v>
      </c>
      <c r="AI1308" s="3" cm="1">
        <f t="array" ref="AI1308">COUNT(_xlfn.UNIQUE(_xlfn._xlws.FILTER(SrcDB[ID],SrcDB[Objednavatel_ICO]=$H1308)))</f>
        <v>5</v>
      </c>
      <c r="AJ1308" s="3" cm="1">
        <f t="array" ref="AJ1308">COUNT(_xlfn.UNIQUE(_xlfn._xlws.FILTER(SrcDB[ID],SrcDB[Dodavatel_ICO]=$K1308)))</f>
        <v>10</v>
      </c>
      <c r="AK1308" s="3">
        <f t="shared" si="1429"/>
        <v>0</v>
      </c>
      <c r="AL1308" s="3">
        <f t="shared" si="1430"/>
        <v>0</v>
      </c>
      <c r="AM1308" s="17" t="str">
        <f>IF(SrcDB[[#This Row],[Pocet zmluv objednavatela]]&gt;3,SrcDB[[#This Row],[Objednavatel]],"Ostatné")</f>
        <v>Národné centrum zdravotníckych informácií, Bratislava</v>
      </c>
      <c r="AN1308" s="17" t="str">
        <f>IF(SrcDB[[#This Row],[Pocet zmluv dodavatela]]&gt;3,SrcDB[[#This Row],[Dodavatel]],"Ostatné")</f>
        <v>DATALAN, a.s.</v>
      </c>
    </row>
    <row r="1309" spans="1:40" x14ac:dyDescent="0.3">
      <c r="A1309" s="2" t="s">
        <v>1648</v>
      </c>
      <c r="B1309" s="2">
        <v>9286970</v>
      </c>
      <c r="C1309" s="3" t="str">
        <f t="shared" si="1423"/>
        <v>Nie</v>
      </c>
      <c r="D1309" s="3" t="str">
        <f t="shared" si="1424"/>
        <v>Áno</v>
      </c>
      <c r="E1309" s="3" t="s">
        <v>48</v>
      </c>
      <c r="F1309" s="3" t="s">
        <v>49</v>
      </c>
      <c r="G1309" s="2" t="str">
        <f t="shared" si="1425"/>
        <v>Veľké zmluvy</v>
      </c>
      <c r="H1309" s="5" t="s">
        <v>417</v>
      </c>
      <c r="I1309" s="2" t="s">
        <v>418</v>
      </c>
      <c r="J1309" s="2" t="s">
        <v>419</v>
      </c>
      <c r="K1309" s="5">
        <v>35810734</v>
      </c>
      <c r="L1309" s="2" t="s">
        <v>257</v>
      </c>
      <c r="M1309" s="2" t="s">
        <v>53</v>
      </c>
      <c r="N1309" s="6">
        <v>45432</v>
      </c>
      <c r="O1309" s="4">
        <v>10396800</v>
      </c>
      <c r="P1309" s="2">
        <v>114571</v>
      </c>
      <c r="Q1309" s="2" t="s">
        <v>1649</v>
      </c>
      <c r="R1309" s="2" t="s">
        <v>1650</v>
      </c>
      <c r="S1309" s="2" t="s">
        <v>56</v>
      </c>
      <c r="T1309" s="2" t="s">
        <v>328</v>
      </c>
      <c r="U1309" s="2" t="s">
        <v>113</v>
      </c>
      <c r="W1309" s="4">
        <v>400</v>
      </c>
      <c r="X1309" s="4">
        <f>SrcDB[[#This Row],[Cena bez DPH]]*1.2</f>
        <v>480</v>
      </c>
      <c r="Y1309" s="4">
        <f t="shared" ref="Y1309" si="1461">INDEX(InternalRates,MATCH($S1309,InternalRates01,FALSE),2)</f>
        <v>278.98333333333335</v>
      </c>
      <c r="Z1309" s="3" t="str">
        <f t="shared" si="1451"/>
        <v>Nie</v>
      </c>
      <c r="AA1309" s="3" t="str">
        <f t="shared" si="1452"/>
        <v>SLA</v>
      </c>
      <c r="AB1309" s="4">
        <v>360</v>
      </c>
      <c r="AC1309" s="4">
        <f>SrcDB[[#This Row],[Množstvo práce]]/5</f>
        <v>72</v>
      </c>
      <c r="AD1309" s="3" t="s">
        <v>49</v>
      </c>
      <c r="AE1309" s="6">
        <v>45680</v>
      </c>
      <c r="AF1309" s="3" t="s">
        <v>59</v>
      </c>
      <c r="AG1309" s="3" t="s">
        <v>49</v>
      </c>
      <c r="AH1309" s="3">
        <f>YEAR(SrcDB[[#This Row],[Datum_zverejnenia]])</f>
        <v>2024</v>
      </c>
      <c r="AI1309" s="3" cm="1">
        <f t="array" ref="AI1309">COUNT(_xlfn.UNIQUE(_xlfn._xlws.FILTER(SrcDB[ID],SrcDB[Objednavatel_ICO]=$H1309)))</f>
        <v>5</v>
      </c>
      <c r="AJ1309" s="3" cm="1">
        <f t="array" ref="AJ1309">COUNT(_xlfn.UNIQUE(_xlfn._xlws.FILTER(SrcDB[ID],SrcDB[Dodavatel_ICO]=$K1309)))</f>
        <v>10</v>
      </c>
      <c r="AK1309" s="3">
        <f t="shared" si="1429"/>
        <v>0</v>
      </c>
      <c r="AL1309" s="3">
        <f t="shared" si="1430"/>
        <v>0</v>
      </c>
      <c r="AM1309" s="17" t="str">
        <f>IF(SrcDB[[#This Row],[Pocet zmluv objednavatela]]&gt;3,SrcDB[[#This Row],[Objednavatel]],"Ostatné")</f>
        <v>Národné centrum zdravotníckych informácií, Bratislava</v>
      </c>
      <c r="AN1309" s="17" t="str">
        <f>IF(SrcDB[[#This Row],[Pocet zmluv dodavatela]]&gt;3,SrcDB[[#This Row],[Dodavatel]],"Ostatné")</f>
        <v>DATALAN, a.s.</v>
      </c>
    </row>
    <row r="1310" spans="1:40" x14ac:dyDescent="0.3">
      <c r="A1310" s="2" t="s">
        <v>1648</v>
      </c>
      <c r="B1310" s="2">
        <v>9286970</v>
      </c>
      <c r="C1310" s="3" t="str">
        <f t="shared" si="1423"/>
        <v>Nie</v>
      </c>
      <c r="D1310" s="3" t="str">
        <f t="shared" si="1424"/>
        <v>Áno</v>
      </c>
      <c r="E1310" s="3" t="s">
        <v>48</v>
      </c>
      <c r="F1310" s="3" t="s">
        <v>49</v>
      </c>
      <c r="G1310" s="2" t="str">
        <f t="shared" si="1425"/>
        <v>Veľké zmluvy</v>
      </c>
      <c r="H1310" s="5" t="s">
        <v>417</v>
      </c>
      <c r="I1310" s="2" t="s">
        <v>418</v>
      </c>
      <c r="J1310" s="2" t="s">
        <v>419</v>
      </c>
      <c r="K1310" s="5">
        <v>35810734</v>
      </c>
      <c r="L1310" s="2" t="s">
        <v>257</v>
      </c>
      <c r="M1310" s="2" t="s">
        <v>53</v>
      </c>
      <c r="N1310" s="6">
        <v>45432</v>
      </c>
      <c r="O1310" s="4">
        <v>10396800</v>
      </c>
      <c r="P1310" s="2">
        <v>114571</v>
      </c>
      <c r="Q1310" s="2" t="s">
        <v>1649</v>
      </c>
      <c r="R1310" s="2" t="s">
        <v>1650</v>
      </c>
      <c r="S1310" s="2" t="s">
        <v>100</v>
      </c>
      <c r="T1310" s="2" t="s">
        <v>333</v>
      </c>
      <c r="W1310" s="4">
        <v>400</v>
      </c>
      <c r="X1310" s="4">
        <f>SrcDB[[#This Row],[Cena bez DPH]]*1.2</f>
        <v>480</v>
      </c>
      <c r="Y1310" s="4">
        <f t="shared" ref="Y1310" si="1462">INDEX(InternalRates,MATCH($S1310,InternalRates01,FALSE),2)</f>
        <v>278.98333333333335</v>
      </c>
      <c r="Z1310" s="3" t="str">
        <f t="shared" si="1451"/>
        <v>Nie</v>
      </c>
      <c r="AA1310" s="3" t="str">
        <f t="shared" si="1452"/>
        <v>SLA</v>
      </c>
      <c r="AB1310" s="4">
        <v>40</v>
      </c>
      <c r="AC1310" s="4">
        <f>SrcDB[[#This Row],[Množstvo práce]]/5</f>
        <v>8</v>
      </c>
      <c r="AD1310" s="3" t="s">
        <v>49</v>
      </c>
      <c r="AE1310" s="6">
        <v>45680</v>
      </c>
      <c r="AF1310" s="3" t="s">
        <v>59</v>
      </c>
      <c r="AG1310" s="3" t="s">
        <v>49</v>
      </c>
      <c r="AH1310" s="3">
        <f>YEAR(SrcDB[[#This Row],[Datum_zverejnenia]])</f>
        <v>2024</v>
      </c>
      <c r="AI1310" s="3" cm="1">
        <f t="array" ref="AI1310">COUNT(_xlfn.UNIQUE(_xlfn._xlws.FILTER(SrcDB[ID],SrcDB[Objednavatel_ICO]=$H1310)))</f>
        <v>5</v>
      </c>
      <c r="AJ1310" s="3" cm="1">
        <f t="array" ref="AJ1310">COUNT(_xlfn.UNIQUE(_xlfn._xlws.FILTER(SrcDB[ID],SrcDB[Dodavatel_ICO]=$K1310)))</f>
        <v>10</v>
      </c>
      <c r="AK1310" s="3">
        <f t="shared" si="1429"/>
        <v>0</v>
      </c>
      <c r="AL1310" s="3">
        <f t="shared" si="1430"/>
        <v>0</v>
      </c>
      <c r="AM1310" s="17" t="str">
        <f>IF(SrcDB[[#This Row],[Pocet zmluv objednavatela]]&gt;3,SrcDB[[#This Row],[Objednavatel]],"Ostatné")</f>
        <v>Národné centrum zdravotníckych informácií, Bratislava</v>
      </c>
      <c r="AN1310" s="17" t="str">
        <f>IF(SrcDB[[#This Row],[Pocet zmluv dodavatela]]&gt;3,SrcDB[[#This Row],[Dodavatel]],"Ostatné")</f>
        <v>DATALAN, a.s.</v>
      </c>
    </row>
    <row r="1311" spans="1:40" x14ac:dyDescent="0.3">
      <c r="A1311" s="2" t="s">
        <v>1653</v>
      </c>
      <c r="B1311" s="2">
        <v>9223275</v>
      </c>
      <c r="C1311" s="3" t="str">
        <f t="shared" si="1423"/>
        <v>Nie</v>
      </c>
      <c r="D1311" s="3" t="str">
        <f t="shared" si="1424"/>
        <v>Áno</v>
      </c>
      <c r="E1311" s="3" t="s">
        <v>48</v>
      </c>
      <c r="F1311" s="3" t="s">
        <v>49</v>
      </c>
      <c r="G1311" s="2" t="str">
        <f t="shared" si="1425"/>
        <v>Veľké zmluvy</v>
      </c>
      <c r="H1311" s="5" t="s">
        <v>231</v>
      </c>
      <c r="I1311" s="2" t="s">
        <v>232</v>
      </c>
      <c r="J1311" s="2" t="s">
        <v>233</v>
      </c>
      <c r="K1311" s="5">
        <v>45650276</v>
      </c>
      <c r="L1311" s="2" t="s">
        <v>234</v>
      </c>
      <c r="M1311" s="2" t="s">
        <v>818</v>
      </c>
      <c r="N1311" s="6">
        <v>45412</v>
      </c>
      <c r="O1311" s="4">
        <v>12759984</v>
      </c>
      <c r="P1311" s="2">
        <v>114497</v>
      </c>
      <c r="Q1311" s="2" t="s">
        <v>1654</v>
      </c>
      <c r="R1311" s="2" t="s">
        <v>1655</v>
      </c>
      <c r="S1311" s="2" t="s">
        <v>160</v>
      </c>
      <c r="T1311" s="2" t="s">
        <v>1656</v>
      </c>
      <c r="W1311" s="4">
        <f>87*8</f>
        <v>696</v>
      </c>
      <c r="X1311" s="4">
        <f>SrcDB[[#This Row],[Cena bez DPH]]*1.2</f>
        <v>835.19999999999993</v>
      </c>
      <c r="Y1311" s="4">
        <f t="shared" ref="Y1311" si="1463">INDEX(InternalRates,MATCH($S1311,InternalRates01,FALSE),2)</f>
        <v>231.85833333333335</v>
      </c>
      <c r="Z1311" s="3" t="str">
        <f>IF(W1311&gt;0,IF(Y1311&gt;W1311,"Áno","Nie"),"Nie")</f>
        <v>Nie</v>
      </c>
      <c r="AA1311" s="3" t="str">
        <f>IF(E1311="Nie","SLA",IF(F1311="Nie","ZoD","SLA+ZoD"))</f>
        <v>SLA</v>
      </c>
      <c r="AB1311" s="4">
        <f>11040/8*3+3680/8</f>
        <v>4600</v>
      </c>
      <c r="AC1311" s="4">
        <f>SrcDB[[#This Row],[Množstvo práce]]/4</f>
        <v>1150</v>
      </c>
      <c r="AD1311" s="6" t="s">
        <v>48</v>
      </c>
      <c r="AE1311" s="6">
        <v>45682</v>
      </c>
      <c r="AF1311" s="3" t="s">
        <v>59</v>
      </c>
      <c r="AG1311" s="3" t="s">
        <v>49</v>
      </c>
      <c r="AH1311" s="3">
        <f>YEAR(SrcDB[[#This Row],[Datum_zverejnenia]])</f>
        <v>2024</v>
      </c>
      <c r="AI1311" s="3" cm="1">
        <f t="array" ref="AI1311">COUNT(_xlfn.UNIQUE(_xlfn._xlws.FILTER(SrcDB[ID],SrcDB[Objednavatel_ICO]=$H1311)))</f>
        <v>9</v>
      </c>
      <c r="AJ1311" s="3" cm="1">
        <f t="array" ref="AJ1311">COUNT(_xlfn.UNIQUE(_xlfn._xlws.FILTER(SrcDB[ID],SrcDB[Dodavatel_ICO]=$K1311)))</f>
        <v>12</v>
      </c>
      <c r="AK1311" s="3">
        <f t="shared" si="1429"/>
        <v>1</v>
      </c>
      <c r="AL1311" s="3">
        <f t="shared" si="1430"/>
        <v>1</v>
      </c>
      <c r="AM1311" s="17" t="str">
        <f>IF(SrcDB[[#This Row],[Pocet zmluv objednavatela]]&gt;3,SrcDB[[#This Row],[Objednavatel]],"Ostatné")</f>
        <v>Ministerstvo školstva, výskumu, vývoja a mládeže SR</v>
      </c>
      <c r="AN1311" s="17" t="str">
        <f>IF(SrcDB[[#This Row],[Pocet zmluv dodavatela]]&gt;3,SrcDB[[#This Row],[Dodavatel]],"Ostatné")</f>
        <v>Atos IT Solutions and Services s.r.o. / Eviden Slovakia, s.r.o.</v>
      </c>
    </row>
    <row r="1312" spans="1:40" x14ac:dyDescent="0.3">
      <c r="A1312" s="2" t="s">
        <v>1653</v>
      </c>
      <c r="B1312" s="2">
        <v>9223275</v>
      </c>
      <c r="C1312" s="3" t="str">
        <f t="shared" si="1423"/>
        <v>Nie</v>
      </c>
      <c r="D1312" s="3" t="str">
        <f t="shared" si="1424"/>
        <v>Áno</v>
      </c>
      <c r="E1312" s="3" t="s">
        <v>48</v>
      </c>
      <c r="F1312" s="3" t="s">
        <v>49</v>
      </c>
      <c r="G1312" s="2" t="str">
        <f t="shared" si="1425"/>
        <v>Veľké zmluvy</v>
      </c>
      <c r="H1312" s="5" t="s">
        <v>231</v>
      </c>
      <c r="I1312" s="2" t="s">
        <v>232</v>
      </c>
      <c r="J1312" s="2" t="s">
        <v>233</v>
      </c>
      <c r="K1312" s="5">
        <v>45650276</v>
      </c>
      <c r="L1312" s="2" t="s">
        <v>234</v>
      </c>
      <c r="M1312" s="2" t="s">
        <v>818</v>
      </c>
      <c r="N1312" s="6">
        <v>45412</v>
      </c>
      <c r="O1312" s="4">
        <v>12759984</v>
      </c>
      <c r="P1312" s="2">
        <v>114497</v>
      </c>
      <c r="Q1312" s="2" t="s">
        <v>1654</v>
      </c>
      <c r="R1312" s="2" t="s">
        <v>1655</v>
      </c>
      <c r="S1312" s="2" t="s">
        <v>69</v>
      </c>
      <c r="T1312" s="2" t="s">
        <v>1657</v>
      </c>
      <c r="W1312" s="4">
        <f t="shared" ref="W1312:W1320" si="1464">87*8</f>
        <v>696</v>
      </c>
      <c r="X1312" s="4">
        <f>SrcDB[[#This Row],[Cena bez DPH]]*1.2</f>
        <v>835.19999999999993</v>
      </c>
      <c r="Y1312" s="4">
        <f t="shared" ref="Y1312" si="1465">INDEX(InternalRates,MATCH($S1312,InternalRates01,FALSE),2)</f>
        <v>278.98333333333335</v>
      </c>
      <c r="Z1312" s="3" t="str">
        <f t="shared" ref="Z1312:Z1332" si="1466">IF(W1312&gt;0,IF(Y1312&gt;W1312,"Áno","Nie"),"Nie")</f>
        <v>Nie</v>
      </c>
      <c r="AA1312" s="3" t="str">
        <f t="shared" ref="AA1312:AA1332" si="1467">IF(E1312="Nie","SLA",IF(F1312="Nie","ZoD","SLA+ZoD"))</f>
        <v>SLA</v>
      </c>
      <c r="AD1312" s="6" t="s">
        <v>48</v>
      </c>
      <c r="AE1312" s="6">
        <v>45682</v>
      </c>
      <c r="AF1312" s="3" t="s">
        <v>59</v>
      </c>
      <c r="AG1312" s="3" t="s">
        <v>49</v>
      </c>
      <c r="AH1312" s="3">
        <f>YEAR(SrcDB[[#This Row],[Datum_zverejnenia]])</f>
        <v>2024</v>
      </c>
      <c r="AI1312" s="3" cm="1">
        <f t="array" ref="AI1312">COUNT(_xlfn.UNIQUE(_xlfn._xlws.FILTER(SrcDB[ID],SrcDB[Objednavatel_ICO]=$H1312)))</f>
        <v>9</v>
      </c>
      <c r="AJ1312" s="3" cm="1">
        <f t="array" ref="AJ1312">COUNT(_xlfn.UNIQUE(_xlfn._xlws.FILTER(SrcDB[ID],SrcDB[Dodavatel_ICO]=$K1312)))</f>
        <v>12</v>
      </c>
      <c r="AK1312" s="3">
        <f t="shared" si="1429"/>
        <v>0</v>
      </c>
      <c r="AL1312" s="3">
        <f t="shared" si="1430"/>
        <v>0</v>
      </c>
      <c r="AM1312" s="17" t="str">
        <f>IF(SrcDB[[#This Row],[Pocet zmluv objednavatela]]&gt;3,SrcDB[[#This Row],[Objednavatel]],"Ostatné")</f>
        <v>Ministerstvo školstva, výskumu, vývoja a mládeže SR</v>
      </c>
      <c r="AN1312" s="17" t="str">
        <f>IF(SrcDB[[#This Row],[Pocet zmluv dodavatela]]&gt;3,SrcDB[[#This Row],[Dodavatel]],"Ostatné")</f>
        <v>Atos IT Solutions and Services s.r.o. / Eviden Slovakia, s.r.o.</v>
      </c>
    </row>
    <row r="1313" spans="1:40" x14ac:dyDescent="0.3">
      <c r="A1313" s="2" t="s">
        <v>1653</v>
      </c>
      <c r="B1313" s="2">
        <v>9223275</v>
      </c>
      <c r="C1313" s="3" t="str">
        <f t="shared" si="1423"/>
        <v>Nie</v>
      </c>
      <c r="D1313" s="3" t="str">
        <f t="shared" si="1424"/>
        <v>Áno</v>
      </c>
      <c r="E1313" s="3" t="s">
        <v>48</v>
      </c>
      <c r="F1313" s="3" t="s">
        <v>49</v>
      </c>
      <c r="G1313" s="2" t="str">
        <f t="shared" si="1425"/>
        <v>Veľké zmluvy</v>
      </c>
      <c r="H1313" s="5" t="s">
        <v>231</v>
      </c>
      <c r="I1313" s="2" t="s">
        <v>232</v>
      </c>
      <c r="J1313" s="2" t="s">
        <v>233</v>
      </c>
      <c r="K1313" s="5">
        <v>45650276</v>
      </c>
      <c r="L1313" s="2" t="s">
        <v>234</v>
      </c>
      <c r="M1313" s="2" t="s">
        <v>818</v>
      </c>
      <c r="N1313" s="6">
        <v>45412</v>
      </c>
      <c r="O1313" s="4">
        <v>12759984</v>
      </c>
      <c r="P1313" s="2">
        <v>114497</v>
      </c>
      <c r="Q1313" s="2" t="s">
        <v>1654</v>
      </c>
      <c r="R1313" s="2" t="s">
        <v>1655</v>
      </c>
      <c r="S1313" s="2" t="s">
        <v>71</v>
      </c>
      <c r="T1313" s="2" t="s">
        <v>1658</v>
      </c>
      <c r="W1313" s="4">
        <f t="shared" si="1464"/>
        <v>696</v>
      </c>
      <c r="X1313" s="4">
        <f>SrcDB[[#This Row],[Cena bez DPH]]*1.2</f>
        <v>835.19999999999993</v>
      </c>
      <c r="Y1313" s="4">
        <f t="shared" ref="Y1313" si="1468">INDEX(InternalRates,MATCH($S1313,InternalRates01,FALSE),2)</f>
        <v>354.0333333333333</v>
      </c>
      <c r="Z1313" s="3" t="str">
        <f t="shared" si="1466"/>
        <v>Nie</v>
      </c>
      <c r="AA1313" s="3" t="str">
        <f t="shared" si="1467"/>
        <v>SLA</v>
      </c>
      <c r="AD1313" s="6" t="s">
        <v>48</v>
      </c>
      <c r="AE1313" s="6">
        <v>45682</v>
      </c>
      <c r="AF1313" s="3" t="s">
        <v>59</v>
      </c>
      <c r="AG1313" s="3" t="s">
        <v>49</v>
      </c>
      <c r="AH1313" s="3">
        <f>YEAR(SrcDB[[#This Row],[Datum_zverejnenia]])</f>
        <v>2024</v>
      </c>
      <c r="AI1313" s="3" cm="1">
        <f t="array" ref="AI1313">COUNT(_xlfn.UNIQUE(_xlfn._xlws.FILTER(SrcDB[ID],SrcDB[Objednavatel_ICO]=$H1313)))</f>
        <v>9</v>
      </c>
      <c r="AJ1313" s="3" cm="1">
        <f t="array" ref="AJ1313">COUNT(_xlfn.UNIQUE(_xlfn._xlws.FILTER(SrcDB[ID],SrcDB[Dodavatel_ICO]=$K1313)))</f>
        <v>12</v>
      </c>
      <c r="AK1313" s="3">
        <f t="shared" si="1429"/>
        <v>0</v>
      </c>
      <c r="AL1313" s="3">
        <f t="shared" si="1430"/>
        <v>0</v>
      </c>
      <c r="AM1313" s="17" t="str">
        <f>IF(SrcDB[[#This Row],[Pocet zmluv objednavatela]]&gt;3,SrcDB[[#This Row],[Objednavatel]],"Ostatné")</f>
        <v>Ministerstvo školstva, výskumu, vývoja a mládeže SR</v>
      </c>
      <c r="AN1313" s="17" t="str">
        <f>IF(SrcDB[[#This Row],[Pocet zmluv dodavatela]]&gt;3,SrcDB[[#This Row],[Dodavatel]],"Ostatné")</f>
        <v>Atos IT Solutions and Services s.r.o. / Eviden Slovakia, s.r.o.</v>
      </c>
    </row>
    <row r="1314" spans="1:40" x14ac:dyDescent="0.3">
      <c r="A1314" s="2" t="s">
        <v>1653</v>
      </c>
      <c r="B1314" s="2">
        <v>9223275</v>
      </c>
      <c r="C1314" s="3" t="str">
        <f t="shared" si="1423"/>
        <v>Nie</v>
      </c>
      <c r="D1314" s="3" t="str">
        <f t="shared" si="1424"/>
        <v>Áno</v>
      </c>
      <c r="E1314" s="3" t="s">
        <v>48</v>
      </c>
      <c r="F1314" s="3" t="s">
        <v>49</v>
      </c>
      <c r="G1314" s="2" t="str">
        <f t="shared" si="1425"/>
        <v>Veľké zmluvy</v>
      </c>
      <c r="H1314" s="5" t="s">
        <v>231</v>
      </c>
      <c r="I1314" s="2" t="s">
        <v>232</v>
      </c>
      <c r="J1314" s="2" t="s">
        <v>233</v>
      </c>
      <c r="K1314" s="5">
        <v>45650276</v>
      </c>
      <c r="L1314" s="2" t="s">
        <v>234</v>
      </c>
      <c r="M1314" s="2" t="s">
        <v>818</v>
      </c>
      <c r="N1314" s="6">
        <v>45412</v>
      </c>
      <c r="O1314" s="4">
        <v>12759984</v>
      </c>
      <c r="P1314" s="2">
        <v>114497</v>
      </c>
      <c r="Q1314" s="2" t="s">
        <v>1654</v>
      </c>
      <c r="R1314" s="2" t="s">
        <v>1655</v>
      </c>
      <c r="S1314" s="2" t="s">
        <v>73</v>
      </c>
      <c r="T1314" s="2" t="s">
        <v>1659</v>
      </c>
      <c r="W1314" s="4">
        <f t="shared" si="1464"/>
        <v>696</v>
      </c>
      <c r="X1314" s="4">
        <f>SrcDB[[#This Row],[Cena bez DPH]]*1.2</f>
        <v>835.19999999999993</v>
      </c>
      <c r="Y1314" s="4">
        <f t="shared" ref="Y1314" si="1469">INDEX(InternalRates,MATCH($S1314,InternalRates01,FALSE),2)</f>
        <v>278.98333333333335</v>
      </c>
      <c r="Z1314" s="3" t="str">
        <f t="shared" si="1466"/>
        <v>Nie</v>
      </c>
      <c r="AA1314" s="3" t="str">
        <f t="shared" si="1467"/>
        <v>SLA</v>
      </c>
      <c r="AD1314" s="6" t="s">
        <v>48</v>
      </c>
      <c r="AE1314" s="6">
        <v>45682</v>
      </c>
      <c r="AF1314" s="3" t="s">
        <v>59</v>
      </c>
      <c r="AG1314" s="3" t="s">
        <v>49</v>
      </c>
      <c r="AH1314" s="3">
        <f>YEAR(SrcDB[[#This Row],[Datum_zverejnenia]])</f>
        <v>2024</v>
      </c>
      <c r="AI1314" s="3" cm="1">
        <f t="array" ref="AI1314">COUNT(_xlfn.UNIQUE(_xlfn._xlws.FILTER(SrcDB[ID],SrcDB[Objednavatel_ICO]=$H1314)))</f>
        <v>9</v>
      </c>
      <c r="AJ1314" s="3" cm="1">
        <f t="array" ref="AJ1314">COUNT(_xlfn.UNIQUE(_xlfn._xlws.FILTER(SrcDB[ID],SrcDB[Dodavatel_ICO]=$K1314)))</f>
        <v>12</v>
      </c>
      <c r="AK1314" s="3">
        <f t="shared" si="1429"/>
        <v>0</v>
      </c>
      <c r="AL1314" s="3">
        <f t="shared" si="1430"/>
        <v>0</v>
      </c>
      <c r="AM1314" s="17" t="str">
        <f>IF(SrcDB[[#This Row],[Pocet zmluv objednavatela]]&gt;3,SrcDB[[#This Row],[Objednavatel]],"Ostatné")</f>
        <v>Ministerstvo školstva, výskumu, vývoja a mládeže SR</v>
      </c>
      <c r="AN1314" s="17" t="str">
        <f>IF(SrcDB[[#This Row],[Pocet zmluv dodavatela]]&gt;3,SrcDB[[#This Row],[Dodavatel]],"Ostatné")</f>
        <v>Atos IT Solutions and Services s.r.o. / Eviden Slovakia, s.r.o.</v>
      </c>
    </row>
    <row r="1315" spans="1:40" x14ac:dyDescent="0.3">
      <c r="A1315" s="2" t="s">
        <v>1653</v>
      </c>
      <c r="B1315" s="2">
        <v>9223275</v>
      </c>
      <c r="C1315" s="3" t="str">
        <f t="shared" si="1423"/>
        <v>Nie</v>
      </c>
      <c r="D1315" s="3" t="str">
        <f t="shared" si="1424"/>
        <v>Áno</v>
      </c>
      <c r="E1315" s="3" t="s">
        <v>48</v>
      </c>
      <c r="F1315" s="3" t="s">
        <v>49</v>
      </c>
      <c r="G1315" s="2" t="str">
        <f t="shared" si="1425"/>
        <v>Veľké zmluvy</v>
      </c>
      <c r="H1315" s="5" t="s">
        <v>231</v>
      </c>
      <c r="I1315" s="2" t="s">
        <v>232</v>
      </c>
      <c r="J1315" s="2" t="s">
        <v>233</v>
      </c>
      <c r="K1315" s="5">
        <v>45650276</v>
      </c>
      <c r="L1315" s="2" t="s">
        <v>234</v>
      </c>
      <c r="M1315" s="2" t="s">
        <v>818</v>
      </c>
      <c r="N1315" s="6">
        <v>45412</v>
      </c>
      <c r="O1315" s="4">
        <v>12759984</v>
      </c>
      <c r="P1315" s="2">
        <v>114497</v>
      </c>
      <c r="Q1315" s="2" t="s">
        <v>1654</v>
      </c>
      <c r="R1315" s="2" t="s">
        <v>1655</v>
      </c>
      <c r="S1315" s="2" t="s">
        <v>56</v>
      </c>
      <c r="T1315" s="2" t="s">
        <v>1660</v>
      </c>
      <c r="U1315" s="2" t="s">
        <v>449</v>
      </c>
      <c r="W1315" s="4">
        <f t="shared" si="1464"/>
        <v>696</v>
      </c>
      <c r="X1315" s="4">
        <f>SrcDB[[#This Row],[Cena bez DPH]]*1.2</f>
        <v>835.19999999999993</v>
      </c>
      <c r="Y1315" s="4">
        <f t="shared" ref="Y1315" si="1470">INDEX(InternalRates,MATCH($S1315,InternalRates01,FALSE),2)</f>
        <v>278.98333333333335</v>
      </c>
      <c r="Z1315" s="3" t="str">
        <f t="shared" si="1466"/>
        <v>Nie</v>
      </c>
      <c r="AA1315" s="3" t="str">
        <f t="shared" si="1467"/>
        <v>SLA</v>
      </c>
      <c r="AD1315" s="6" t="s">
        <v>48</v>
      </c>
      <c r="AE1315" s="6">
        <v>45682</v>
      </c>
      <c r="AF1315" s="3" t="s">
        <v>59</v>
      </c>
      <c r="AG1315" s="3" t="s">
        <v>49</v>
      </c>
      <c r="AH1315" s="3">
        <f>YEAR(SrcDB[[#This Row],[Datum_zverejnenia]])</f>
        <v>2024</v>
      </c>
      <c r="AI1315" s="3" cm="1">
        <f t="array" ref="AI1315">COUNT(_xlfn.UNIQUE(_xlfn._xlws.FILTER(SrcDB[ID],SrcDB[Objednavatel_ICO]=$H1315)))</f>
        <v>9</v>
      </c>
      <c r="AJ1315" s="3" cm="1">
        <f t="array" ref="AJ1315">COUNT(_xlfn.UNIQUE(_xlfn._xlws.FILTER(SrcDB[ID],SrcDB[Dodavatel_ICO]=$K1315)))</f>
        <v>12</v>
      </c>
      <c r="AK1315" s="3">
        <f t="shared" si="1429"/>
        <v>0</v>
      </c>
      <c r="AL1315" s="3">
        <f t="shared" si="1430"/>
        <v>0</v>
      </c>
      <c r="AM1315" s="17" t="str">
        <f>IF(SrcDB[[#This Row],[Pocet zmluv objednavatela]]&gt;3,SrcDB[[#This Row],[Objednavatel]],"Ostatné")</f>
        <v>Ministerstvo školstva, výskumu, vývoja a mládeže SR</v>
      </c>
      <c r="AN1315" s="17" t="str">
        <f>IF(SrcDB[[#This Row],[Pocet zmluv dodavatela]]&gt;3,SrcDB[[#This Row],[Dodavatel]],"Ostatné")</f>
        <v>Atos IT Solutions and Services s.r.o. / Eviden Slovakia, s.r.o.</v>
      </c>
    </row>
    <row r="1316" spans="1:40" x14ac:dyDescent="0.3">
      <c r="A1316" s="2" t="s">
        <v>1653</v>
      </c>
      <c r="B1316" s="2">
        <v>9223275</v>
      </c>
      <c r="C1316" s="3" t="str">
        <f t="shared" si="1423"/>
        <v>Nie</v>
      </c>
      <c r="D1316" s="3" t="str">
        <f t="shared" si="1424"/>
        <v>Áno</v>
      </c>
      <c r="E1316" s="3" t="s">
        <v>48</v>
      </c>
      <c r="F1316" s="3" t="s">
        <v>49</v>
      </c>
      <c r="G1316" s="2" t="str">
        <f t="shared" si="1425"/>
        <v>Veľké zmluvy</v>
      </c>
      <c r="H1316" s="5" t="s">
        <v>231</v>
      </c>
      <c r="I1316" s="2" t="s">
        <v>232</v>
      </c>
      <c r="J1316" s="2" t="s">
        <v>233</v>
      </c>
      <c r="K1316" s="5">
        <v>45650276</v>
      </c>
      <c r="L1316" s="2" t="s">
        <v>234</v>
      </c>
      <c r="M1316" s="2" t="s">
        <v>818</v>
      </c>
      <c r="N1316" s="6">
        <v>45412</v>
      </c>
      <c r="O1316" s="4">
        <v>12759984</v>
      </c>
      <c r="P1316" s="2">
        <v>114497</v>
      </c>
      <c r="Q1316" s="2" t="s">
        <v>1654</v>
      </c>
      <c r="R1316" s="2" t="s">
        <v>1655</v>
      </c>
      <c r="S1316" s="2" t="s">
        <v>56</v>
      </c>
      <c r="T1316" s="2" t="s">
        <v>1661</v>
      </c>
      <c r="U1316" s="2" t="s">
        <v>289</v>
      </c>
      <c r="W1316" s="4">
        <f t="shared" si="1464"/>
        <v>696</v>
      </c>
      <c r="X1316" s="4">
        <f>SrcDB[[#This Row],[Cena bez DPH]]*1.2</f>
        <v>835.19999999999993</v>
      </c>
      <c r="Y1316" s="4">
        <f t="shared" ref="Y1316" si="1471">INDEX(InternalRates,MATCH($S1316,InternalRates01,FALSE),2)</f>
        <v>278.98333333333335</v>
      </c>
      <c r="Z1316" s="3" t="str">
        <f t="shared" si="1466"/>
        <v>Nie</v>
      </c>
      <c r="AA1316" s="3" t="str">
        <f t="shared" si="1467"/>
        <v>SLA</v>
      </c>
      <c r="AD1316" s="6" t="s">
        <v>48</v>
      </c>
      <c r="AE1316" s="6">
        <v>45682</v>
      </c>
      <c r="AF1316" s="3" t="s">
        <v>59</v>
      </c>
      <c r="AG1316" s="3" t="s">
        <v>49</v>
      </c>
      <c r="AH1316" s="3">
        <f>YEAR(SrcDB[[#This Row],[Datum_zverejnenia]])</f>
        <v>2024</v>
      </c>
      <c r="AI1316" s="3" cm="1">
        <f t="array" ref="AI1316">COUNT(_xlfn.UNIQUE(_xlfn._xlws.FILTER(SrcDB[ID],SrcDB[Objednavatel_ICO]=$H1316)))</f>
        <v>9</v>
      </c>
      <c r="AJ1316" s="3" cm="1">
        <f t="array" ref="AJ1316">COUNT(_xlfn.UNIQUE(_xlfn._xlws.FILTER(SrcDB[ID],SrcDB[Dodavatel_ICO]=$K1316)))</f>
        <v>12</v>
      </c>
      <c r="AK1316" s="3">
        <f t="shared" si="1429"/>
        <v>0</v>
      </c>
      <c r="AL1316" s="3">
        <f t="shared" si="1430"/>
        <v>0</v>
      </c>
      <c r="AM1316" s="17" t="str">
        <f>IF(SrcDB[[#This Row],[Pocet zmluv objednavatela]]&gt;3,SrcDB[[#This Row],[Objednavatel]],"Ostatné")</f>
        <v>Ministerstvo školstva, výskumu, vývoja a mládeže SR</v>
      </c>
      <c r="AN1316" s="17" t="str">
        <f>IF(SrcDB[[#This Row],[Pocet zmluv dodavatela]]&gt;3,SrcDB[[#This Row],[Dodavatel]],"Ostatné")</f>
        <v>Atos IT Solutions and Services s.r.o. / Eviden Slovakia, s.r.o.</v>
      </c>
    </row>
    <row r="1317" spans="1:40" x14ac:dyDescent="0.3">
      <c r="A1317" s="2" t="s">
        <v>1653</v>
      </c>
      <c r="B1317" s="2">
        <v>9223275</v>
      </c>
      <c r="C1317" s="3" t="str">
        <f t="shared" si="1423"/>
        <v>Nie</v>
      </c>
      <c r="D1317" s="3" t="str">
        <f t="shared" si="1424"/>
        <v>Áno</v>
      </c>
      <c r="E1317" s="3" t="s">
        <v>48</v>
      </c>
      <c r="F1317" s="3" t="s">
        <v>49</v>
      </c>
      <c r="G1317" s="2" t="str">
        <f t="shared" si="1425"/>
        <v>Veľké zmluvy</v>
      </c>
      <c r="H1317" s="5" t="s">
        <v>231</v>
      </c>
      <c r="I1317" s="2" t="s">
        <v>232</v>
      </c>
      <c r="J1317" s="2" t="s">
        <v>233</v>
      </c>
      <c r="K1317" s="5">
        <v>45650276</v>
      </c>
      <c r="L1317" s="2" t="s">
        <v>234</v>
      </c>
      <c r="M1317" s="2" t="s">
        <v>818</v>
      </c>
      <c r="N1317" s="6">
        <v>45412</v>
      </c>
      <c r="O1317" s="4">
        <v>12759984</v>
      </c>
      <c r="P1317" s="2">
        <v>114497</v>
      </c>
      <c r="Q1317" s="2" t="s">
        <v>1654</v>
      </c>
      <c r="R1317" s="2" t="s">
        <v>1655</v>
      </c>
      <c r="S1317" s="2" t="s">
        <v>56</v>
      </c>
      <c r="T1317" s="2" t="s">
        <v>1662</v>
      </c>
      <c r="U1317" s="2" t="s">
        <v>113</v>
      </c>
      <c r="W1317" s="4">
        <f t="shared" si="1464"/>
        <v>696</v>
      </c>
      <c r="X1317" s="4">
        <f>SrcDB[[#This Row],[Cena bez DPH]]*1.2</f>
        <v>835.19999999999993</v>
      </c>
      <c r="Y1317" s="4">
        <f t="shared" ref="Y1317" si="1472">INDEX(InternalRates,MATCH($S1317,InternalRates01,FALSE),2)</f>
        <v>278.98333333333335</v>
      </c>
      <c r="Z1317" s="3" t="str">
        <f t="shared" si="1466"/>
        <v>Nie</v>
      </c>
      <c r="AA1317" s="3" t="str">
        <f t="shared" si="1467"/>
        <v>SLA</v>
      </c>
      <c r="AD1317" s="6" t="s">
        <v>48</v>
      </c>
      <c r="AE1317" s="6">
        <v>45682</v>
      </c>
      <c r="AF1317" s="3" t="s">
        <v>59</v>
      </c>
      <c r="AG1317" s="3" t="s">
        <v>49</v>
      </c>
      <c r="AH1317" s="3">
        <f>YEAR(SrcDB[[#This Row],[Datum_zverejnenia]])</f>
        <v>2024</v>
      </c>
      <c r="AI1317" s="3" cm="1">
        <f t="array" ref="AI1317">COUNT(_xlfn.UNIQUE(_xlfn._xlws.FILTER(SrcDB[ID],SrcDB[Objednavatel_ICO]=$H1317)))</f>
        <v>9</v>
      </c>
      <c r="AJ1317" s="3" cm="1">
        <f t="array" ref="AJ1317">COUNT(_xlfn.UNIQUE(_xlfn._xlws.FILTER(SrcDB[ID],SrcDB[Dodavatel_ICO]=$K1317)))</f>
        <v>12</v>
      </c>
      <c r="AK1317" s="3">
        <f t="shared" si="1429"/>
        <v>0</v>
      </c>
      <c r="AL1317" s="3">
        <f t="shared" si="1430"/>
        <v>0</v>
      </c>
      <c r="AM1317" s="17" t="str">
        <f>IF(SrcDB[[#This Row],[Pocet zmluv objednavatela]]&gt;3,SrcDB[[#This Row],[Objednavatel]],"Ostatné")</f>
        <v>Ministerstvo školstva, výskumu, vývoja a mládeže SR</v>
      </c>
      <c r="AN1317" s="17" t="str">
        <f>IF(SrcDB[[#This Row],[Pocet zmluv dodavatela]]&gt;3,SrcDB[[#This Row],[Dodavatel]],"Ostatné")</f>
        <v>Atos IT Solutions and Services s.r.o. / Eviden Slovakia, s.r.o.</v>
      </c>
    </row>
    <row r="1318" spans="1:40" x14ac:dyDescent="0.3">
      <c r="A1318" s="2" t="s">
        <v>1653</v>
      </c>
      <c r="B1318" s="2">
        <v>9223275</v>
      </c>
      <c r="C1318" s="3" t="str">
        <f t="shared" si="1423"/>
        <v>Nie</v>
      </c>
      <c r="D1318" s="3" t="str">
        <f t="shared" si="1424"/>
        <v>Áno</v>
      </c>
      <c r="E1318" s="3" t="s">
        <v>48</v>
      </c>
      <c r="F1318" s="3" t="s">
        <v>49</v>
      </c>
      <c r="G1318" s="2" t="str">
        <f t="shared" si="1425"/>
        <v>Veľké zmluvy</v>
      </c>
      <c r="H1318" s="5" t="s">
        <v>231</v>
      </c>
      <c r="I1318" s="2" t="s">
        <v>232</v>
      </c>
      <c r="J1318" s="2" t="s">
        <v>233</v>
      </c>
      <c r="K1318" s="5">
        <v>45650276</v>
      </c>
      <c r="L1318" s="2" t="s">
        <v>234</v>
      </c>
      <c r="M1318" s="2" t="s">
        <v>818</v>
      </c>
      <c r="N1318" s="6">
        <v>45412</v>
      </c>
      <c r="O1318" s="4">
        <v>12759984</v>
      </c>
      <c r="P1318" s="2">
        <v>114497</v>
      </c>
      <c r="Q1318" s="2" t="s">
        <v>1654</v>
      </c>
      <c r="R1318" s="2" t="s">
        <v>1655</v>
      </c>
      <c r="S1318" s="2" t="s">
        <v>56</v>
      </c>
      <c r="T1318" s="2" t="s">
        <v>1663</v>
      </c>
      <c r="U1318" s="2" t="s">
        <v>95</v>
      </c>
      <c r="W1318" s="4">
        <f t="shared" si="1464"/>
        <v>696</v>
      </c>
      <c r="X1318" s="4">
        <f>SrcDB[[#This Row],[Cena bez DPH]]*1.2</f>
        <v>835.19999999999993</v>
      </c>
      <c r="Y1318" s="4">
        <f t="shared" ref="Y1318" si="1473">INDEX(InternalRates,MATCH($S1318,InternalRates01,FALSE),2)</f>
        <v>278.98333333333335</v>
      </c>
      <c r="Z1318" s="3" t="str">
        <f t="shared" si="1466"/>
        <v>Nie</v>
      </c>
      <c r="AA1318" s="3" t="str">
        <f t="shared" si="1467"/>
        <v>SLA</v>
      </c>
      <c r="AD1318" s="6" t="s">
        <v>48</v>
      </c>
      <c r="AE1318" s="6">
        <v>45682</v>
      </c>
      <c r="AF1318" s="3" t="s">
        <v>59</v>
      </c>
      <c r="AG1318" s="3" t="s">
        <v>49</v>
      </c>
      <c r="AH1318" s="3">
        <f>YEAR(SrcDB[[#This Row],[Datum_zverejnenia]])</f>
        <v>2024</v>
      </c>
      <c r="AI1318" s="3" cm="1">
        <f t="array" ref="AI1318">COUNT(_xlfn.UNIQUE(_xlfn._xlws.FILTER(SrcDB[ID],SrcDB[Objednavatel_ICO]=$H1318)))</f>
        <v>9</v>
      </c>
      <c r="AJ1318" s="3" cm="1">
        <f t="array" ref="AJ1318">COUNT(_xlfn.UNIQUE(_xlfn._xlws.FILTER(SrcDB[ID],SrcDB[Dodavatel_ICO]=$K1318)))</f>
        <v>12</v>
      </c>
      <c r="AK1318" s="3">
        <f t="shared" si="1429"/>
        <v>0</v>
      </c>
      <c r="AL1318" s="3">
        <f t="shared" si="1430"/>
        <v>0</v>
      </c>
      <c r="AM1318" s="17" t="str">
        <f>IF(SrcDB[[#This Row],[Pocet zmluv objednavatela]]&gt;3,SrcDB[[#This Row],[Objednavatel]],"Ostatné")</f>
        <v>Ministerstvo školstva, výskumu, vývoja a mládeže SR</v>
      </c>
      <c r="AN1318" s="17" t="str">
        <f>IF(SrcDB[[#This Row],[Pocet zmluv dodavatela]]&gt;3,SrcDB[[#This Row],[Dodavatel]],"Ostatné")</f>
        <v>Atos IT Solutions and Services s.r.o. / Eviden Slovakia, s.r.o.</v>
      </c>
    </row>
    <row r="1319" spans="1:40" x14ac:dyDescent="0.3">
      <c r="A1319" s="2" t="s">
        <v>1653</v>
      </c>
      <c r="B1319" s="2">
        <v>9223275</v>
      </c>
      <c r="C1319" s="3" t="str">
        <f t="shared" si="1423"/>
        <v>Nie</v>
      </c>
      <c r="D1319" s="3" t="str">
        <f t="shared" si="1424"/>
        <v>Áno</v>
      </c>
      <c r="E1319" s="3" t="s">
        <v>48</v>
      </c>
      <c r="F1319" s="3" t="s">
        <v>49</v>
      </c>
      <c r="G1319" s="2" t="str">
        <f t="shared" si="1425"/>
        <v>Veľké zmluvy</v>
      </c>
      <c r="H1319" s="5" t="s">
        <v>231</v>
      </c>
      <c r="I1319" s="2" t="s">
        <v>232</v>
      </c>
      <c r="J1319" s="2" t="s">
        <v>233</v>
      </c>
      <c r="K1319" s="5">
        <v>45650276</v>
      </c>
      <c r="L1319" s="2" t="s">
        <v>234</v>
      </c>
      <c r="M1319" s="2" t="s">
        <v>818</v>
      </c>
      <c r="N1319" s="6">
        <v>45412</v>
      </c>
      <c r="O1319" s="4">
        <v>12759984</v>
      </c>
      <c r="P1319" s="2">
        <v>114497</v>
      </c>
      <c r="Q1319" s="2" t="s">
        <v>1654</v>
      </c>
      <c r="R1319" s="2" t="s">
        <v>1655</v>
      </c>
      <c r="S1319" s="2" t="s">
        <v>77</v>
      </c>
      <c r="T1319" s="2" t="s">
        <v>1664</v>
      </c>
      <c r="W1319" s="4">
        <f t="shared" si="1464"/>
        <v>696</v>
      </c>
      <c r="X1319" s="4">
        <f>SrcDB[[#This Row],[Cena bez DPH]]*1.2</f>
        <v>835.19999999999993</v>
      </c>
      <c r="Y1319" s="4">
        <f t="shared" ref="Y1319" si="1474">INDEX(InternalRates,MATCH($S1319,InternalRates01,FALSE),2)</f>
        <v>278.98333333333335</v>
      </c>
      <c r="Z1319" s="3" t="str">
        <f t="shared" si="1466"/>
        <v>Nie</v>
      </c>
      <c r="AA1319" s="3" t="str">
        <f t="shared" si="1467"/>
        <v>SLA</v>
      </c>
      <c r="AD1319" s="6" t="s">
        <v>48</v>
      </c>
      <c r="AE1319" s="6">
        <v>45682</v>
      </c>
      <c r="AF1319" s="3" t="s">
        <v>59</v>
      </c>
      <c r="AG1319" s="3" t="s">
        <v>49</v>
      </c>
      <c r="AH1319" s="3">
        <f>YEAR(SrcDB[[#This Row],[Datum_zverejnenia]])</f>
        <v>2024</v>
      </c>
      <c r="AI1319" s="3" cm="1">
        <f t="array" ref="AI1319">COUNT(_xlfn.UNIQUE(_xlfn._xlws.FILTER(SrcDB[ID],SrcDB[Objednavatel_ICO]=$H1319)))</f>
        <v>9</v>
      </c>
      <c r="AJ1319" s="3" cm="1">
        <f t="array" ref="AJ1319">COUNT(_xlfn.UNIQUE(_xlfn._xlws.FILTER(SrcDB[ID],SrcDB[Dodavatel_ICO]=$K1319)))</f>
        <v>12</v>
      </c>
      <c r="AK1319" s="3">
        <f t="shared" si="1429"/>
        <v>0</v>
      </c>
      <c r="AL1319" s="3">
        <f t="shared" si="1430"/>
        <v>0</v>
      </c>
      <c r="AM1319" s="17" t="str">
        <f>IF(SrcDB[[#This Row],[Pocet zmluv objednavatela]]&gt;3,SrcDB[[#This Row],[Objednavatel]],"Ostatné")</f>
        <v>Ministerstvo školstva, výskumu, vývoja a mládeže SR</v>
      </c>
      <c r="AN1319" s="17" t="str">
        <f>IF(SrcDB[[#This Row],[Pocet zmluv dodavatela]]&gt;3,SrcDB[[#This Row],[Dodavatel]],"Ostatné")</f>
        <v>Atos IT Solutions and Services s.r.o. / Eviden Slovakia, s.r.o.</v>
      </c>
    </row>
    <row r="1320" spans="1:40" x14ac:dyDescent="0.3">
      <c r="A1320" s="2" t="s">
        <v>1653</v>
      </c>
      <c r="B1320" s="2">
        <v>9223275</v>
      </c>
      <c r="C1320" s="3" t="str">
        <f t="shared" si="1423"/>
        <v>Nie</v>
      </c>
      <c r="D1320" s="3" t="str">
        <f t="shared" si="1424"/>
        <v>Áno</v>
      </c>
      <c r="E1320" s="3" t="s">
        <v>48</v>
      </c>
      <c r="F1320" s="3" t="s">
        <v>49</v>
      </c>
      <c r="G1320" s="2" t="str">
        <f t="shared" si="1425"/>
        <v>Veľké zmluvy</v>
      </c>
      <c r="H1320" s="5" t="s">
        <v>231</v>
      </c>
      <c r="I1320" s="2" t="s">
        <v>232</v>
      </c>
      <c r="J1320" s="2" t="s">
        <v>233</v>
      </c>
      <c r="K1320" s="5">
        <v>45650276</v>
      </c>
      <c r="L1320" s="2" t="s">
        <v>234</v>
      </c>
      <c r="M1320" s="2" t="s">
        <v>818</v>
      </c>
      <c r="N1320" s="6">
        <v>45412</v>
      </c>
      <c r="O1320" s="4">
        <v>12759984</v>
      </c>
      <c r="P1320" s="2">
        <v>114497</v>
      </c>
      <c r="Q1320" s="2" t="s">
        <v>1654</v>
      </c>
      <c r="R1320" s="2" t="s">
        <v>1655</v>
      </c>
      <c r="S1320" s="2" t="s">
        <v>79</v>
      </c>
      <c r="T1320" s="2" t="s">
        <v>1665</v>
      </c>
      <c r="W1320" s="4">
        <f t="shared" si="1464"/>
        <v>696</v>
      </c>
      <c r="X1320" s="4">
        <f>SrcDB[[#This Row],[Cena bez DPH]]*1.2</f>
        <v>835.19999999999993</v>
      </c>
      <c r="Y1320" s="4">
        <f t="shared" ref="Y1320" si="1475">INDEX(InternalRates,MATCH($S1320,InternalRates01,FALSE),2)</f>
        <v>278.98333333333335</v>
      </c>
      <c r="Z1320" s="3" t="str">
        <f t="shared" si="1466"/>
        <v>Nie</v>
      </c>
      <c r="AA1320" s="3" t="str">
        <f t="shared" si="1467"/>
        <v>SLA</v>
      </c>
      <c r="AD1320" s="6" t="s">
        <v>48</v>
      </c>
      <c r="AE1320" s="6">
        <v>45682</v>
      </c>
      <c r="AF1320" s="3" t="s">
        <v>59</v>
      </c>
      <c r="AG1320" s="3" t="s">
        <v>49</v>
      </c>
      <c r="AH1320" s="3">
        <f>YEAR(SrcDB[[#This Row],[Datum_zverejnenia]])</f>
        <v>2024</v>
      </c>
      <c r="AI1320" s="3" cm="1">
        <f t="array" ref="AI1320">COUNT(_xlfn.UNIQUE(_xlfn._xlws.FILTER(SrcDB[ID],SrcDB[Objednavatel_ICO]=$H1320)))</f>
        <v>9</v>
      </c>
      <c r="AJ1320" s="3" cm="1">
        <f t="array" ref="AJ1320">COUNT(_xlfn.UNIQUE(_xlfn._xlws.FILTER(SrcDB[ID],SrcDB[Dodavatel_ICO]=$K1320)))</f>
        <v>12</v>
      </c>
      <c r="AK1320" s="3">
        <f t="shared" si="1429"/>
        <v>0</v>
      </c>
      <c r="AL1320" s="3">
        <f t="shared" si="1430"/>
        <v>0</v>
      </c>
      <c r="AM1320" s="17" t="str">
        <f>IF(SrcDB[[#This Row],[Pocet zmluv objednavatela]]&gt;3,SrcDB[[#This Row],[Objednavatel]],"Ostatné")</f>
        <v>Ministerstvo školstva, výskumu, vývoja a mládeže SR</v>
      </c>
      <c r="AN1320" s="17" t="str">
        <f>IF(SrcDB[[#This Row],[Pocet zmluv dodavatela]]&gt;3,SrcDB[[#This Row],[Dodavatel]],"Ostatné")</f>
        <v>Atos IT Solutions and Services s.r.o. / Eviden Slovakia, s.r.o.</v>
      </c>
    </row>
    <row r="1321" spans="1:40" x14ac:dyDescent="0.3">
      <c r="A1321" s="2" t="s">
        <v>1666</v>
      </c>
      <c r="B1321" s="2">
        <v>9286861</v>
      </c>
      <c r="C1321" s="3" t="str">
        <f t="shared" si="1423"/>
        <v>Áno</v>
      </c>
      <c r="D1321" s="3" t="str">
        <f t="shared" si="1424"/>
        <v>Nie</v>
      </c>
      <c r="E1321" s="3" t="s">
        <v>49</v>
      </c>
      <c r="F1321" s="3" t="s">
        <v>48</v>
      </c>
      <c r="G1321" s="2" t="str">
        <f t="shared" si="1425"/>
        <v>Stredné zmluvy</v>
      </c>
      <c r="H1321" s="5" t="s">
        <v>417</v>
      </c>
      <c r="I1321" s="2" t="s">
        <v>418</v>
      </c>
      <c r="J1321" s="2" t="s">
        <v>419</v>
      </c>
      <c r="K1321" s="5">
        <v>35810734</v>
      </c>
      <c r="L1321" s="2" t="s">
        <v>257</v>
      </c>
      <c r="M1321" s="2" t="s">
        <v>53</v>
      </c>
      <c r="N1321" s="6">
        <v>45432</v>
      </c>
      <c r="O1321" s="4">
        <v>6684174</v>
      </c>
      <c r="P1321" s="2">
        <v>114571</v>
      </c>
      <c r="Q1321" s="2" t="s">
        <v>1667</v>
      </c>
      <c r="R1321" s="2" t="s">
        <v>1668</v>
      </c>
      <c r="S1321" s="2" t="s">
        <v>69</v>
      </c>
      <c r="T1321" s="2" t="s">
        <v>70</v>
      </c>
      <c r="W1321" s="4">
        <v>505</v>
      </c>
      <c r="X1321" s="4">
        <f>SrcDB[[#This Row],[Cena bez DPH]]*1.2</f>
        <v>606</v>
      </c>
      <c r="Y1321" s="4">
        <f t="shared" ref="Y1321" si="1476">INDEX(InternalRates,MATCH($S1321,InternalRates01,FALSE),2)</f>
        <v>278.98333333333335</v>
      </c>
      <c r="Z1321" s="3" t="str">
        <f t="shared" si="1466"/>
        <v>Nie</v>
      </c>
      <c r="AA1321" s="3" t="str">
        <f t="shared" si="1467"/>
        <v>ZoD</v>
      </c>
      <c r="AB1321" s="4">
        <v>420</v>
      </c>
      <c r="AC1321" s="4">
        <f>SrcDB[[#This Row],[Množstvo práce]]*12/16</f>
        <v>315</v>
      </c>
      <c r="AD1321" s="3" t="s">
        <v>49</v>
      </c>
      <c r="AE1321" s="6">
        <v>45682</v>
      </c>
      <c r="AF1321" s="3" t="s">
        <v>59</v>
      </c>
      <c r="AG1321" s="3" t="s">
        <v>49</v>
      </c>
      <c r="AH1321" s="3">
        <f>YEAR(SrcDB[[#This Row],[Datum_zverejnenia]])</f>
        <v>2024</v>
      </c>
      <c r="AI1321" s="3" cm="1">
        <f t="array" ref="AI1321">COUNT(_xlfn.UNIQUE(_xlfn._xlws.FILTER(SrcDB[ID],SrcDB[Objednavatel_ICO]=$H1321)))</f>
        <v>5</v>
      </c>
      <c r="AJ1321" s="3" cm="1">
        <f t="array" ref="AJ1321">COUNT(_xlfn.UNIQUE(_xlfn._xlws.FILTER(SrcDB[ID],SrcDB[Dodavatel_ICO]=$K1321)))</f>
        <v>10</v>
      </c>
      <c r="AK1321" s="3">
        <f t="shared" si="1429"/>
        <v>1</v>
      </c>
      <c r="AL1321" s="3">
        <f t="shared" si="1430"/>
        <v>1</v>
      </c>
      <c r="AM1321" s="17" t="str">
        <f>IF(SrcDB[[#This Row],[Pocet zmluv objednavatela]]&gt;3,SrcDB[[#This Row],[Objednavatel]],"Ostatné")</f>
        <v>Národné centrum zdravotníckych informácií, Bratislava</v>
      </c>
      <c r="AN1321" s="17" t="str">
        <f>IF(SrcDB[[#This Row],[Pocet zmluv dodavatela]]&gt;3,SrcDB[[#This Row],[Dodavatel]],"Ostatné")</f>
        <v>DATALAN, a.s.</v>
      </c>
    </row>
    <row r="1322" spans="1:40" x14ac:dyDescent="0.3">
      <c r="A1322" s="2" t="s">
        <v>1666</v>
      </c>
      <c r="B1322" s="2">
        <v>9286861</v>
      </c>
      <c r="C1322" s="3" t="str">
        <f t="shared" si="1423"/>
        <v>Áno</v>
      </c>
      <c r="D1322" s="3" t="str">
        <f t="shared" si="1424"/>
        <v>Nie</v>
      </c>
      <c r="E1322" s="3" t="s">
        <v>49</v>
      </c>
      <c r="F1322" s="3" t="s">
        <v>48</v>
      </c>
      <c r="G1322" s="2" t="str">
        <f t="shared" si="1425"/>
        <v>Stredné zmluvy</v>
      </c>
      <c r="H1322" s="5" t="s">
        <v>417</v>
      </c>
      <c r="I1322" s="2" t="s">
        <v>418</v>
      </c>
      <c r="J1322" s="2" t="s">
        <v>419</v>
      </c>
      <c r="K1322" s="5">
        <v>35810734</v>
      </c>
      <c r="L1322" s="2" t="s">
        <v>257</v>
      </c>
      <c r="M1322" s="2" t="s">
        <v>53</v>
      </c>
      <c r="N1322" s="6">
        <v>45432</v>
      </c>
      <c r="O1322" s="4">
        <v>6684174</v>
      </c>
      <c r="P1322" s="2">
        <v>114571</v>
      </c>
      <c r="Q1322" s="2" t="s">
        <v>1667</v>
      </c>
      <c r="R1322" s="2" t="s">
        <v>1668</v>
      </c>
      <c r="S1322" s="2" t="s">
        <v>73</v>
      </c>
      <c r="T1322" s="2" t="s">
        <v>90</v>
      </c>
      <c r="W1322" s="4">
        <v>505</v>
      </c>
      <c r="X1322" s="4">
        <f>SrcDB[[#This Row],[Cena bez DPH]]*1.2</f>
        <v>606</v>
      </c>
      <c r="Y1322" s="4">
        <f t="shared" ref="Y1322" si="1477">INDEX(InternalRates,MATCH($S1322,InternalRates01,FALSE),2)</f>
        <v>278.98333333333335</v>
      </c>
      <c r="Z1322" s="3" t="str">
        <f t="shared" si="1466"/>
        <v>Nie</v>
      </c>
      <c r="AA1322" s="3" t="str">
        <f t="shared" si="1467"/>
        <v>ZoD</v>
      </c>
      <c r="AB1322" s="4">
        <v>3000</v>
      </c>
      <c r="AC1322" s="4">
        <f>SrcDB[[#This Row],[Množstvo práce]]*12/16</f>
        <v>2250</v>
      </c>
      <c r="AD1322" s="3" t="s">
        <v>49</v>
      </c>
      <c r="AE1322" s="6">
        <v>45682</v>
      </c>
      <c r="AF1322" s="3" t="s">
        <v>59</v>
      </c>
      <c r="AG1322" s="3" t="s">
        <v>49</v>
      </c>
      <c r="AH1322" s="3">
        <f>YEAR(SrcDB[[#This Row],[Datum_zverejnenia]])</f>
        <v>2024</v>
      </c>
      <c r="AI1322" s="3" cm="1">
        <f t="array" ref="AI1322">COUNT(_xlfn.UNIQUE(_xlfn._xlws.FILTER(SrcDB[ID],SrcDB[Objednavatel_ICO]=$H1322)))</f>
        <v>5</v>
      </c>
      <c r="AJ1322" s="3" cm="1">
        <f t="array" ref="AJ1322">COUNT(_xlfn.UNIQUE(_xlfn._xlws.FILTER(SrcDB[ID],SrcDB[Dodavatel_ICO]=$K1322)))</f>
        <v>10</v>
      </c>
      <c r="AK1322" s="3">
        <f t="shared" si="1429"/>
        <v>0</v>
      </c>
      <c r="AL1322" s="3">
        <f t="shared" si="1430"/>
        <v>0</v>
      </c>
      <c r="AM1322" s="17" t="str">
        <f>IF(SrcDB[[#This Row],[Pocet zmluv objednavatela]]&gt;3,SrcDB[[#This Row],[Objednavatel]],"Ostatné")</f>
        <v>Národné centrum zdravotníckych informácií, Bratislava</v>
      </c>
      <c r="AN1322" s="17" t="str">
        <f>IF(SrcDB[[#This Row],[Pocet zmluv dodavatela]]&gt;3,SrcDB[[#This Row],[Dodavatel]],"Ostatné")</f>
        <v>DATALAN, a.s.</v>
      </c>
    </row>
    <row r="1323" spans="1:40" x14ac:dyDescent="0.3">
      <c r="A1323" s="2" t="s">
        <v>1666</v>
      </c>
      <c r="B1323" s="2">
        <v>9286861</v>
      </c>
      <c r="C1323" s="3" t="str">
        <f t="shared" si="1423"/>
        <v>Áno</v>
      </c>
      <c r="D1323" s="3" t="str">
        <f t="shared" si="1424"/>
        <v>Nie</v>
      </c>
      <c r="E1323" s="3" t="s">
        <v>49</v>
      </c>
      <c r="F1323" s="3" t="s">
        <v>48</v>
      </c>
      <c r="G1323" s="2" t="str">
        <f t="shared" si="1425"/>
        <v>Stredné zmluvy</v>
      </c>
      <c r="H1323" s="5" t="s">
        <v>417</v>
      </c>
      <c r="I1323" s="2" t="s">
        <v>418</v>
      </c>
      <c r="J1323" s="2" t="s">
        <v>419</v>
      </c>
      <c r="K1323" s="5">
        <v>35810734</v>
      </c>
      <c r="L1323" s="2" t="s">
        <v>257</v>
      </c>
      <c r="M1323" s="2" t="s">
        <v>53</v>
      </c>
      <c r="N1323" s="6">
        <v>45432</v>
      </c>
      <c r="O1323" s="4">
        <v>6684174</v>
      </c>
      <c r="P1323" s="2">
        <v>114571</v>
      </c>
      <c r="Q1323" s="2" t="s">
        <v>1667</v>
      </c>
      <c r="R1323" s="2" t="s">
        <v>1668</v>
      </c>
      <c r="S1323" s="2" t="s">
        <v>71</v>
      </c>
      <c r="T1323" s="2" t="s">
        <v>196</v>
      </c>
      <c r="W1323" s="4">
        <v>505</v>
      </c>
      <c r="X1323" s="4">
        <f>SrcDB[[#This Row],[Cena bez DPH]]*1.2</f>
        <v>606</v>
      </c>
      <c r="Y1323" s="4">
        <f t="shared" ref="Y1323" si="1478">INDEX(InternalRates,MATCH($S1323,InternalRates01,FALSE),2)</f>
        <v>354.0333333333333</v>
      </c>
      <c r="Z1323" s="3" t="str">
        <f t="shared" si="1466"/>
        <v>Nie</v>
      </c>
      <c r="AA1323" s="3" t="str">
        <f t="shared" si="1467"/>
        <v>ZoD</v>
      </c>
      <c r="AB1323" s="4">
        <v>567</v>
      </c>
      <c r="AC1323" s="4">
        <f>SrcDB[[#This Row],[Množstvo práce]]*12/16</f>
        <v>425.25</v>
      </c>
      <c r="AD1323" s="3" t="s">
        <v>49</v>
      </c>
      <c r="AE1323" s="6">
        <v>45682</v>
      </c>
      <c r="AF1323" s="3" t="s">
        <v>59</v>
      </c>
      <c r="AG1323" s="3" t="s">
        <v>49</v>
      </c>
      <c r="AH1323" s="3">
        <f>YEAR(SrcDB[[#This Row],[Datum_zverejnenia]])</f>
        <v>2024</v>
      </c>
      <c r="AI1323" s="3" cm="1">
        <f t="array" ref="AI1323">COUNT(_xlfn.UNIQUE(_xlfn._xlws.FILTER(SrcDB[ID],SrcDB[Objednavatel_ICO]=$H1323)))</f>
        <v>5</v>
      </c>
      <c r="AJ1323" s="3" cm="1">
        <f t="array" ref="AJ1323">COUNT(_xlfn.UNIQUE(_xlfn._xlws.FILTER(SrcDB[ID],SrcDB[Dodavatel_ICO]=$K1323)))</f>
        <v>10</v>
      </c>
      <c r="AK1323" s="3">
        <f t="shared" si="1429"/>
        <v>0</v>
      </c>
      <c r="AL1323" s="3">
        <f t="shared" si="1430"/>
        <v>0</v>
      </c>
      <c r="AM1323" s="17" t="str">
        <f>IF(SrcDB[[#This Row],[Pocet zmluv objednavatela]]&gt;3,SrcDB[[#This Row],[Objednavatel]],"Ostatné")</f>
        <v>Národné centrum zdravotníckych informácií, Bratislava</v>
      </c>
      <c r="AN1323" s="17" t="str">
        <f>IF(SrcDB[[#This Row],[Pocet zmluv dodavatela]]&gt;3,SrcDB[[#This Row],[Dodavatel]],"Ostatné")</f>
        <v>DATALAN, a.s.</v>
      </c>
    </row>
    <row r="1324" spans="1:40" x14ac:dyDescent="0.3">
      <c r="A1324" s="2" t="s">
        <v>1666</v>
      </c>
      <c r="B1324" s="2">
        <v>9286861</v>
      </c>
      <c r="C1324" s="3" t="str">
        <f t="shared" si="1423"/>
        <v>Áno</v>
      </c>
      <c r="D1324" s="3" t="str">
        <f t="shared" si="1424"/>
        <v>Nie</v>
      </c>
      <c r="E1324" s="3" t="s">
        <v>49</v>
      </c>
      <c r="F1324" s="3" t="s">
        <v>48</v>
      </c>
      <c r="G1324" s="2" t="str">
        <f t="shared" si="1425"/>
        <v>Stredné zmluvy</v>
      </c>
      <c r="H1324" s="5" t="s">
        <v>417</v>
      </c>
      <c r="I1324" s="2" t="s">
        <v>418</v>
      </c>
      <c r="J1324" s="2" t="s">
        <v>419</v>
      </c>
      <c r="K1324" s="5">
        <v>35810734</v>
      </c>
      <c r="L1324" s="2" t="s">
        <v>257</v>
      </c>
      <c r="M1324" s="2" t="s">
        <v>53</v>
      </c>
      <c r="N1324" s="6">
        <v>45432</v>
      </c>
      <c r="O1324" s="4">
        <v>6684174</v>
      </c>
      <c r="P1324" s="2">
        <v>114571</v>
      </c>
      <c r="Q1324" s="2" t="s">
        <v>1667</v>
      </c>
      <c r="R1324" s="2" t="s">
        <v>1668</v>
      </c>
      <c r="S1324" s="2" t="s">
        <v>77</v>
      </c>
      <c r="T1324" s="2" t="s">
        <v>1097</v>
      </c>
      <c r="W1324" s="4">
        <v>505</v>
      </c>
      <c r="X1324" s="4">
        <f>SrcDB[[#This Row],[Cena bez DPH]]*1.2</f>
        <v>606</v>
      </c>
      <c r="Y1324" s="4">
        <f t="shared" ref="Y1324" si="1479">INDEX(InternalRates,MATCH($S1324,InternalRates01,FALSE),2)</f>
        <v>278.98333333333335</v>
      </c>
      <c r="Z1324" s="3" t="str">
        <f t="shared" si="1466"/>
        <v>Nie</v>
      </c>
      <c r="AA1324" s="3" t="str">
        <f t="shared" si="1467"/>
        <v>ZoD</v>
      </c>
      <c r="AB1324" s="4">
        <v>3000</v>
      </c>
      <c r="AC1324" s="4">
        <f>SrcDB[[#This Row],[Množstvo práce]]*12/16</f>
        <v>2250</v>
      </c>
      <c r="AD1324" s="3" t="s">
        <v>49</v>
      </c>
      <c r="AE1324" s="6">
        <v>45682</v>
      </c>
      <c r="AF1324" s="3" t="s">
        <v>59</v>
      </c>
      <c r="AG1324" s="3" t="s">
        <v>49</v>
      </c>
      <c r="AH1324" s="3">
        <f>YEAR(SrcDB[[#This Row],[Datum_zverejnenia]])</f>
        <v>2024</v>
      </c>
      <c r="AI1324" s="3" cm="1">
        <f t="array" ref="AI1324">COUNT(_xlfn.UNIQUE(_xlfn._xlws.FILTER(SrcDB[ID],SrcDB[Objednavatel_ICO]=$H1324)))</f>
        <v>5</v>
      </c>
      <c r="AJ1324" s="3" cm="1">
        <f t="array" ref="AJ1324">COUNT(_xlfn.UNIQUE(_xlfn._xlws.FILTER(SrcDB[ID],SrcDB[Dodavatel_ICO]=$K1324)))</f>
        <v>10</v>
      </c>
      <c r="AK1324" s="3">
        <f t="shared" si="1429"/>
        <v>0</v>
      </c>
      <c r="AL1324" s="3">
        <f t="shared" si="1430"/>
        <v>0</v>
      </c>
      <c r="AM1324" s="17" t="str">
        <f>IF(SrcDB[[#This Row],[Pocet zmluv objednavatela]]&gt;3,SrcDB[[#This Row],[Objednavatel]],"Ostatné")</f>
        <v>Národné centrum zdravotníckych informácií, Bratislava</v>
      </c>
      <c r="AN1324" s="17" t="str">
        <f>IF(SrcDB[[#This Row],[Pocet zmluv dodavatela]]&gt;3,SrcDB[[#This Row],[Dodavatel]],"Ostatné")</f>
        <v>DATALAN, a.s.</v>
      </c>
    </row>
    <row r="1325" spans="1:40" x14ac:dyDescent="0.3">
      <c r="A1325" s="2" t="s">
        <v>1666</v>
      </c>
      <c r="B1325" s="2">
        <v>9286861</v>
      </c>
      <c r="C1325" s="3" t="str">
        <f t="shared" si="1423"/>
        <v>Áno</v>
      </c>
      <c r="D1325" s="3" t="str">
        <f t="shared" si="1424"/>
        <v>Nie</v>
      </c>
      <c r="E1325" s="3" t="s">
        <v>49</v>
      </c>
      <c r="F1325" s="3" t="s">
        <v>48</v>
      </c>
      <c r="G1325" s="2" t="str">
        <f t="shared" si="1425"/>
        <v>Stredné zmluvy</v>
      </c>
      <c r="H1325" s="5" t="s">
        <v>417</v>
      </c>
      <c r="I1325" s="2" t="s">
        <v>418</v>
      </c>
      <c r="J1325" s="2" t="s">
        <v>419</v>
      </c>
      <c r="K1325" s="5">
        <v>35810734</v>
      </c>
      <c r="L1325" s="2" t="s">
        <v>257</v>
      </c>
      <c r="M1325" s="2" t="s">
        <v>53</v>
      </c>
      <c r="N1325" s="6">
        <v>45432</v>
      </c>
      <c r="O1325" s="4">
        <v>6684174</v>
      </c>
      <c r="P1325" s="2">
        <v>114571</v>
      </c>
      <c r="Q1325" s="2" t="s">
        <v>1667</v>
      </c>
      <c r="R1325" s="2" t="s">
        <v>1668</v>
      </c>
      <c r="S1325" s="2" t="s">
        <v>79</v>
      </c>
      <c r="T1325" s="2" t="s">
        <v>93</v>
      </c>
      <c r="W1325" s="4">
        <v>505</v>
      </c>
      <c r="X1325" s="4">
        <f>SrcDB[[#This Row],[Cena bez DPH]]*1.2</f>
        <v>606</v>
      </c>
      <c r="Y1325" s="4">
        <f t="shared" ref="Y1325" si="1480">INDEX(InternalRates,MATCH($S1325,InternalRates01,FALSE),2)</f>
        <v>278.98333333333335</v>
      </c>
      <c r="Z1325" s="3" t="str">
        <f t="shared" si="1466"/>
        <v>Nie</v>
      </c>
      <c r="AA1325" s="3" t="str">
        <f t="shared" si="1467"/>
        <v>ZoD</v>
      </c>
      <c r="AB1325" s="4">
        <v>967</v>
      </c>
      <c r="AC1325" s="4">
        <f>SrcDB[[#This Row],[Množstvo práce]]*12/16</f>
        <v>725.25</v>
      </c>
      <c r="AD1325" s="3" t="s">
        <v>49</v>
      </c>
      <c r="AE1325" s="6">
        <v>45682</v>
      </c>
      <c r="AF1325" s="3" t="s">
        <v>59</v>
      </c>
      <c r="AG1325" s="3" t="s">
        <v>49</v>
      </c>
      <c r="AH1325" s="3">
        <f>YEAR(SrcDB[[#This Row],[Datum_zverejnenia]])</f>
        <v>2024</v>
      </c>
      <c r="AI1325" s="3" cm="1">
        <f t="array" ref="AI1325">COUNT(_xlfn.UNIQUE(_xlfn._xlws.FILTER(SrcDB[ID],SrcDB[Objednavatel_ICO]=$H1325)))</f>
        <v>5</v>
      </c>
      <c r="AJ1325" s="3" cm="1">
        <f t="array" ref="AJ1325">COUNT(_xlfn.UNIQUE(_xlfn._xlws.FILTER(SrcDB[ID],SrcDB[Dodavatel_ICO]=$K1325)))</f>
        <v>10</v>
      </c>
      <c r="AK1325" s="3">
        <f t="shared" si="1429"/>
        <v>0</v>
      </c>
      <c r="AL1325" s="3">
        <f t="shared" si="1430"/>
        <v>0</v>
      </c>
      <c r="AM1325" s="17" t="str">
        <f>IF(SrcDB[[#This Row],[Pocet zmluv objednavatela]]&gt;3,SrcDB[[#This Row],[Objednavatel]],"Ostatné")</f>
        <v>Národné centrum zdravotníckych informácií, Bratislava</v>
      </c>
      <c r="AN1325" s="17" t="str">
        <f>IF(SrcDB[[#This Row],[Pocet zmluv dodavatela]]&gt;3,SrcDB[[#This Row],[Dodavatel]],"Ostatné")</f>
        <v>DATALAN, a.s.</v>
      </c>
    </row>
    <row r="1326" spans="1:40" x14ac:dyDescent="0.3">
      <c r="A1326" s="2" t="s">
        <v>1666</v>
      </c>
      <c r="B1326" s="2">
        <v>9286861</v>
      </c>
      <c r="C1326" s="3" t="str">
        <f t="shared" si="1423"/>
        <v>Áno</v>
      </c>
      <c r="D1326" s="3" t="str">
        <f t="shared" si="1424"/>
        <v>Nie</v>
      </c>
      <c r="E1326" s="3" t="s">
        <v>49</v>
      </c>
      <c r="F1326" s="3" t="s">
        <v>48</v>
      </c>
      <c r="G1326" s="2" t="str">
        <f t="shared" si="1425"/>
        <v>Stredné zmluvy</v>
      </c>
      <c r="H1326" s="5" t="s">
        <v>417</v>
      </c>
      <c r="I1326" s="2" t="s">
        <v>418</v>
      </c>
      <c r="J1326" s="2" t="s">
        <v>419</v>
      </c>
      <c r="K1326" s="5">
        <v>35810734</v>
      </c>
      <c r="L1326" s="2" t="s">
        <v>257</v>
      </c>
      <c r="M1326" s="2" t="s">
        <v>53</v>
      </c>
      <c r="N1326" s="6">
        <v>45432</v>
      </c>
      <c r="O1326" s="4">
        <v>6684174</v>
      </c>
      <c r="P1326" s="2">
        <v>114571</v>
      </c>
      <c r="Q1326" s="2" t="s">
        <v>1667</v>
      </c>
      <c r="R1326" s="2" t="s">
        <v>1668</v>
      </c>
      <c r="S1326" s="2" t="s">
        <v>56</v>
      </c>
      <c r="T1326" s="2" t="s">
        <v>1651</v>
      </c>
      <c r="U1326" s="2" t="s">
        <v>449</v>
      </c>
      <c r="W1326" s="4">
        <v>505</v>
      </c>
      <c r="X1326" s="4">
        <f>SrcDB[[#This Row],[Cena bez DPH]]*1.2</f>
        <v>606</v>
      </c>
      <c r="Y1326" s="4">
        <f t="shared" ref="Y1326" si="1481">INDEX(InternalRates,MATCH($S1326,InternalRates01,FALSE),2)</f>
        <v>278.98333333333335</v>
      </c>
      <c r="Z1326" s="3" t="str">
        <f t="shared" si="1466"/>
        <v>Nie</v>
      </c>
      <c r="AA1326" s="3" t="str">
        <f t="shared" si="1467"/>
        <v>ZoD</v>
      </c>
      <c r="AB1326" s="4">
        <v>186</v>
      </c>
      <c r="AC1326" s="4">
        <f>SrcDB[[#This Row],[Množstvo práce]]*12/16</f>
        <v>139.5</v>
      </c>
      <c r="AD1326" s="3" t="s">
        <v>49</v>
      </c>
      <c r="AE1326" s="6">
        <v>45682</v>
      </c>
      <c r="AF1326" s="3" t="s">
        <v>59</v>
      </c>
      <c r="AG1326" s="3" t="s">
        <v>49</v>
      </c>
      <c r="AH1326" s="3">
        <f>YEAR(SrcDB[[#This Row],[Datum_zverejnenia]])</f>
        <v>2024</v>
      </c>
      <c r="AI1326" s="3" cm="1">
        <f t="array" ref="AI1326">COUNT(_xlfn.UNIQUE(_xlfn._xlws.FILTER(SrcDB[ID],SrcDB[Objednavatel_ICO]=$H1326)))</f>
        <v>5</v>
      </c>
      <c r="AJ1326" s="3" cm="1">
        <f t="array" ref="AJ1326">COUNT(_xlfn.UNIQUE(_xlfn._xlws.FILTER(SrcDB[ID],SrcDB[Dodavatel_ICO]=$K1326)))</f>
        <v>10</v>
      </c>
      <c r="AK1326" s="3">
        <f t="shared" si="1429"/>
        <v>0</v>
      </c>
      <c r="AL1326" s="3">
        <f t="shared" si="1430"/>
        <v>0</v>
      </c>
      <c r="AM1326" s="17" t="str">
        <f>IF(SrcDB[[#This Row],[Pocet zmluv objednavatela]]&gt;3,SrcDB[[#This Row],[Objednavatel]],"Ostatné")</f>
        <v>Národné centrum zdravotníckych informácií, Bratislava</v>
      </c>
      <c r="AN1326" s="17" t="str">
        <f>IF(SrcDB[[#This Row],[Pocet zmluv dodavatela]]&gt;3,SrcDB[[#This Row],[Dodavatel]],"Ostatné")</f>
        <v>DATALAN, a.s.</v>
      </c>
    </row>
    <row r="1327" spans="1:40" x14ac:dyDescent="0.3">
      <c r="A1327" s="2" t="s">
        <v>1666</v>
      </c>
      <c r="B1327" s="2">
        <v>9286861</v>
      </c>
      <c r="C1327" s="3" t="str">
        <f t="shared" si="1423"/>
        <v>Áno</v>
      </c>
      <c r="D1327" s="3" t="str">
        <f t="shared" si="1424"/>
        <v>Nie</v>
      </c>
      <c r="E1327" s="3" t="s">
        <v>49</v>
      </c>
      <c r="F1327" s="3" t="s">
        <v>48</v>
      </c>
      <c r="G1327" s="2" t="str">
        <f t="shared" si="1425"/>
        <v>Stredné zmluvy</v>
      </c>
      <c r="H1327" s="5" t="s">
        <v>417</v>
      </c>
      <c r="I1327" s="2" t="s">
        <v>418</v>
      </c>
      <c r="J1327" s="2" t="s">
        <v>419</v>
      </c>
      <c r="K1327" s="5">
        <v>35810734</v>
      </c>
      <c r="L1327" s="2" t="s">
        <v>257</v>
      </c>
      <c r="M1327" s="2" t="s">
        <v>53</v>
      </c>
      <c r="N1327" s="6">
        <v>45432</v>
      </c>
      <c r="O1327" s="4">
        <v>6684174</v>
      </c>
      <c r="P1327" s="2">
        <v>114571</v>
      </c>
      <c r="Q1327" s="2" t="s">
        <v>1667</v>
      </c>
      <c r="R1327" s="2" t="s">
        <v>1668</v>
      </c>
      <c r="S1327" s="2" t="s">
        <v>102</v>
      </c>
      <c r="T1327" s="2" t="s">
        <v>111</v>
      </c>
      <c r="W1327" s="4">
        <v>505</v>
      </c>
      <c r="X1327" s="4">
        <f>SrcDB[[#This Row],[Cena bez DPH]]*1.2</f>
        <v>606</v>
      </c>
      <c r="Y1327" s="4">
        <f t="shared" ref="Y1327" si="1482">INDEX(InternalRates,MATCH($S1327,InternalRates01,FALSE),2)</f>
        <v>278.98333333333335</v>
      </c>
      <c r="Z1327" s="3" t="str">
        <f t="shared" si="1466"/>
        <v>Nie</v>
      </c>
      <c r="AA1327" s="3" t="str">
        <f t="shared" si="1467"/>
        <v>ZoD</v>
      </c>
      <c r="AB1327" s="4">
        <v>500</v>
      </c>
      <c r="AC1327" s="4">
        <f>SrcDB[[#This Row],[Množstvo práce]]*12/16</f>
        <v>375</v>
      </c>
      <c r="AD1327" s="3" t="s">
        <v>49</v>
      </c>
      <c r="AE1327" s="6">
        <v>45682</v>
      </c>
      <c r="AF1327" s="3" t="s">
        <v>59</v>
      </c>
      <c r="AG1327" s="3" t="s">
        <v>49</v>
      </c>
      <c r="AH1327" s="3">
        <f>YEAR(SrcDB[[#This Row],[Datum_zverejnenia]])</f>
        <v>2024</v>
      </c>
      <c r="AI1327" s="3" cm="1">
        <f t="array" ref="AI1327">COUNT(_xlfn.UNIQUE(_xlfn._xlws.FILTER(SrcDB[ID],SrcDB[Objednavatel_ICO]=$H1327)))</f>
        <v>5</v>
      </c>
      <c r="AJ1327" s="3" cm="1">
        <f t="array" ref="AJ1327">COUNT(_xlfn.UNIQUE(_xlfn._xlws.FILTER(SrcDB[ID],SrcDB[Dodavatel_ICO]=$K1327)))</f>
        <v>10</v>
      </c>
      <c r="AK1327" s="3">
        <f t="shared" si="1429"/>
        <v>0</v>
      </c>
      <c r="AL1327" s="3">
        <f t="shared" si="1430"/>
        <v>0</v>
      </c>
      <c r="AM1327" s="17" t="str">
        <f>IF(SrcDB[[#This Row],[Pocet zmluv objednavatela]]&gt;3,SrcDB[[#This Row],[Objednavatel]],"Ostatné")</f>
        <v>Národné centrum zdravotníckych informácií, Bratislava</v>
      </c>
      <c r="AN1327" s="17" t="str">
        <f>IF(SrcDB[[#This Row],[Pocet zmluv dodavatela]]&gt;3,SrcDB[[#This Row],[Dodavatel]],"Ostatné")</f>
        <v>DATALAN, a.s.</v>
      </c>
    </row>
    <row r="1328" spans="1:40" x14ac:dyDescent="0.3">
      <c r="A1328" s="2" t="s">
        <v>1666</v>
      </c>
      <c r="B1328" s="2">
        <v>9286861</v>
      </c>
      <c r="C1328" s="3" t="str">
        <f t="shared" si="1423"/>
        <v>Áno</v>
      </c>
      <c r="D1328" s="3" t="str">
        <f t="shared" si="1424"/>
        <v>Nie</v>
      </c>
      <c r="E1328" s="3" t="s">
        <v>49</v>
      </c>
      <c r="F1328" s="3" t="s">
        <v>48</v>
      </c>
      <c r="G1328" s="2" t="str">
        <f t="shared" si="1425"/>
        <v>Stredné zmluvy</v>
      </c>
      <c r="H1328" s="5" t="s">
        <v>417</v>
      </c>
      <c r="I1328" s="2" t="s">
        <v>418</v>
      </c>
      <c r="J1328" s="2" t="s">
        <v>419</v>
      </c>
      <c r="K1328" s="5">
        <v>35810734</v>
      </c>
      <c r="L1328" s="2" t="s">
        <v>257</v>
      </c>
      <c r="M1328" s="2" t="s">
        <v>53</v>
      </c>
      <c r="N1328" s="6">
        <v>45432</v>
      </c>
      <c r="O1328" s="4">
        <v>6684174</v>
      </c>
      <c r="P1328" s="2">
        <v>114571</v>
      </c>
      <c r="Q1328" s="2" t="s">
        <v>1667</v>
      </c>
      <c r="R1328" s="2" t="s">
        <v>1668</v>
      </c>
      <c r="S1328" s="2" t="s">
        <v>56</v>
      </c>
      <c r="T1328" s="2" t="s">
        <v>94</v>
      </c>
      <c r="U1328" s="2" t="s">
        <v>95</v>
      </c>
      <c r="W1328" s="4">
        <v>505</v>
      </c>
      <c r="X1328" s="4">
        <f>SrcDB[[#This Row],[Cena bez DPH]]*1.2</f>
        <v>606</v>
      </c>
      <c r="Y1328" s="4">
        <f t="shared" ref="Y1328" si="1483">INDEX(InternalRates,MATCH($S1328,InternalRates01,FALSE),2)</f>
        <v>278.98333333333335</v>
      </c>
      <c r="Z1328" s="3" t="str">
        <f t="shared" si="1466"/>
        <v>Nie</v>
      </c>
      <c r="AA1328" s="3" t="str">
        <f t="shared" si="1467"/>
        <v>ZoD</v>
      </c>
      <c r="AB1328" s="4">
        <v>437</v>
      </c>
      <c r="AC1328" s="4">
        <f>SrcDB[[#This Row],[Množstvo práce]]*12/16</f>
        <v>327.75</v>
      </c>
      <c r="AD1328" s="3" t="s">
        <v>49</v>
      </c>
      <c r="AE1328" s="6">
        <v>45682</v>
      </c>
      <c r="AF1328" s="3" t="s">
        <v>59</v>
      </c>
      <c r="AG1328" s="3" t="s">
        <v>49</v>
      </c>
      <c r="AH1328" s="3">
        <f>YEAR(SrcDB[[#This Row],[Datum_zverejnenia]])</f>
        <v>2024</v>
      </c>
      <c r="AI1328" s="3" cm="1">
        <f t="array" ref="AI1328">COUNT(_xlfn.UNIQUE(_xlfn._xlws.FILTER(SrcDB[ID],SrcDB[Objednavatel_ICO]=$H1328)))</f>
        <v>5</v>
      </c>
      <c r="AJ1328" s="3" cm="1">
        <f t="array" ref="AJ1328">COUNT(_xlfn.UNIQUE(_xlfn._xlws.FILTER(SrcDB[ID],SrcDB[Dodavatel_ICO]=$K1328)))</f>
        <v>10</v>
      </c>
      <c r="AK1328" s="3">
        <f t="shared" si="1429"/>
        <v>0</v>
      </c>
      <c r="AL1328" s="3">
        <f t="shared" si="1430"/>
        <v>0</v>
      </c>
      <c r="AM1328" s="17" t="str">
        <f>IF(SrcDB[[#This Row],[Pocet zmluv objednavatela]]&gt;3,SrcDB[[#This Row],[Objednavatel]],"Ostatné")</f>
        <v>Národné centrum zdravotníckych informácií, Bratislava</v>
      </c>
      <c r="AN1328" s="17" t="str">
        <f>IF(SrcDB[[#This Row],[Pocet zmluv dodavatela]]&gt;3,SrcDB[[#This Row],[Dodavatel]],"Ostatné")</f>
        <v>DATALAN, a.s.</v>
      </c>
    </row>
    <row r="1329" spans="1:40" x14ac:dyDescent="0.3">
      <c r="A1329" s="2" t="s">
        <v>1666</v>
      </c>
      <c r="B1329" s="2">
        <v>9286861</v>
      </c>
      <c r="C1329" s="3" t="str">
        <f t="shared" si="1423"/>
        <v>Áno</v>
      </c>
      <c r="D1329" s="3" t="str">
        <f t="shared" si="1424"/>
        <v>Nie</v>
      </c>
      <c r="E1329" s="3" t="s">
        <v>49</v>
      </c>
      <c r="F1329" s="3" t="s">
        <v>48</v>
      </c>
      <c r="G1329" s="2" t="str">
        <f t="shared" si="1425"/>
        <v>Stredné zmluvy</v>
      </c>
      <c r="H1329" s="5" t="s">
        <v>417</v>
      </c>
      <c r="I1329" s="2" t="s">
        <v>418</v>
      </c>
      <c r="J1329" s="2" t="s">
        <v>419</v>
      </c>
      <c r="K1329" s="5">
        <v>35810734</v>
      </c>
      <c r="L1329" s="2" t="s">
        <v>257</v>
      </c>
      <c r="M1329" s="2" t="s">
        <v>53</v>
      </c>
      <c r="N1329" s="6">
        <v>45432</v>
      </c>
      <c r="O1329" s="4">
        <v>6684174</v>
      </c>
      <c r="P1329" s="2">
        <v>114571</v>
      </c>
      <c r="Q1329" s="2" t="s">
        <v>1667</v>
      </c>
      <c r="R1329" s="2" t="s">
        <v>1668</v>
      </c>
      <c r="S1329" s="2" t="s">
        <v>56</v>
      </c>
      <c r="T1329" s="2" t="s">
        <v>1652</v>
      </c>
      <c r="U1329" s="2" t="s">
        <v>97</v>
      </c>
      <c r="W1329" s="4">
        <v>505</v>
      </c>
      <c r="X1329" s="4">
        <f>SrcDB[[#This Row],[Cena bez DPH]]*1.2</f>
        <v>606</v>
      </c>
      <c r="Y1329" s="4">
        <f t="shared" ref="Y1329" si="1484">INDEX(InternalRates,MATCH($S1329,InternalRates01,FALSE),2)</f>
        <v>278.98333333333335</v>
      </c>
      <c r="Z1329" s="3" t="str">
        <f t="shared" si="1466"/>
        <v>Nie</v>
      </c>
      <c r="AA1329" s="3" t="str">
        <f t="shared" si="1467"/>
        <v>ZoD</v>
      </c>
      <c r="AB1329" s="4">
        <v>626</v>
      </c>
      <c r="AC1329" s="4">
        <f>SrcDB[[#This Row],[Množstvo práce]]*12/16</f>
        <v>469.5</v>
      </c>
      <c r="AD1329" s="3" t="s">
        <v>49</v>
      </c>
      <c r="AE1329" s="6">
        <v>45682</v>
      </c>
      <c r="AF1329" s="3" t="s">
        <v>59</v>
      </c>
      <c r="AG1329" s="3" t="s">
        <v>49</v>
      </c>
      <c r="AH1329" s="3">
        <f>YEAR(SrcDB[[#This Row],[Datum_zverejnenia]])</f>
        <v>2024</v>
      </c>
      <c r="AI1329" s="3" cm="1">
        <f t="array" ref="AI1329">COUNT(_xlfn.UNIQUE(_xlfn._xlws.FILTER(SrcDB[ID],SrcDB[Objednavatel_ICO]=$H1329)))</f>
        <v>5</v>
      </c>
      <c r="AJ1329" s="3" cm="1">
        <f t="array" ref="AJ1329">COUNT(_xlfn.UNIQUE(_xlfn._xlws.FILTER(SrcDB[ID],SrcDB[Dodavatel_ICO]=$K1329)))</f>
        <v>10</v>
      </c>
      <c r="AK1329" s="3">
        <f t="shared" si="1429"/>
        <v>0</v>
      </c>
      <c r="AL1329" s="3">
        <f t="shared" si="1430"/>
        <v>0</v>
      </c>
      <c r="AM1329" s="17" t="str">
        <f>IF(SrcDB[[#This Row],[Pocet zmluv objednavatela]]&gt;3,SrcDB[[#This Row],[Objednavatel]],"Ostatné")</f>
        <v>Národné centrum zdravotníckych informácií, Bratislava</v>
      </c>
      <c r="AN1329" s="17" t="str">
        <f>IF(SrcDB[[#This Row],[Pocet zmluv dodavatela]]&gt;3,SrcDB[[#This Row],[Dodavatel]],"Ostatné")</f>
        <v>DATALAN, a.s.</v>
      </c>
    </row>
    <row r="1330" spans="1:40" x14ac:dyDescent="0.3">
      <c r="A1330" s="2" t="s">
        <v>1666</v>
      </c>
      <c r="B1330" s="2">
        <v>9286861</v>
      </c>
      <c r="C1330" s="3" t="str">
        <f t="shared" si="1423"/>
        <v>Áno</v>
      </c>
      <c r="D1330" s="3" t="str">
        <f t="shared" si="1424"/>
        <v>Nie</v>
      </c>
      <c r="E1330" s="3" t="s">
        <v>49</v>
      </c>
      <c r="F1330" s="3" t="s">
        <v>48</v>
      </c>
      <c r="G1330" s="2" t="str">
        <f t="shared" si="1425"/>
        <v>Stredné zmluvy</v>
      </c>
      <c r="H1330" s="5" t="s">
        <v>417</v>
      </c>
      <c r="I1330" s="2" t="s">
        <v>418</v>
      </c>
      <c r="J1330" s="2" t="s">
        <v>419</v>
      </c>
      <c r="K1330" s="5">
        <v>35810734</v>
      </c>
      <c r="L1330" s="2" t="s">
        <v>257</v>
      </c>
      <c r="M1330" s="2" t="s">
        <v>53</v>
      </c>
      <c r="N1330" s="6">
        <v>45432</v>
      </c>
      <c r="O1330" s="4">
        <v>6684174</v>
      </c>
      <c r="P1330" s="2">
        <v>114571</v>
      </c>
      <c r="Q1330" s="2" t="s">
        <v>1667</v>
      </c>
      <c r="R1330" s="2" t="s">
        <v>1668</v>
      </c>
      <c r="S1330" s="2" t="s">
        <v>98</v>
      </c>
      <c r="T1330" s="2" t="s">
        <v>287</v>
      </c>
      <c r="W1330" s="4">
        <v>505</v>
      </c>
      <c r="X1330" s="4">
        <f>SrcDB[[#This Row],[Cena bez DPH]]*1.2</f>
        <v>606</v>
      </c>
      <c r="Y1330" s="4">
        <f t="shared" ref="Y1330" si="1485">INDEX(InternalRates,MATCH($S1330,InternalRates01,FALSE),2)</f>
        <v>278.98333333333335</v>
      </c>
      <c r="Z1330" s="3" t="str">
        <f t="shared" si="1466"/>
        <v>Nie</v>
      </c>
      <c r="AA1330" s="3" t="str">
        <f t="shared" si="1467"/>
        <v>ZoD</v>
      </c>
      <c r="AB1330" s="4">
        <v>60</v>
      </c>
      <c r="AC1330" s="4">
        <f>SrcDB[[#This Row],[Množstvo práce]]*12/16</f>
        <v>45</v>
      </c>
      <c r="AD1330" s="3" t="s">
        <v>49</v>
      </c>
      <c r="AE1330" s="6">
        <v>45682</v>
      </c>
      <c r="AF1330" s="3" t="s">
        <v>59</v>
      </c>
      <c r="AG1330" s="3" t="s">
        <v>49</v>
      </c>
      <c r="AH1330" s="3">
        <f>YEAR(SrcDB[[#This Row],[Datum_zverejnenia]])</f>
        <v>2024</v>
      </c>
      <c r="AI1330" s="3" cm="1">
        <f t="array" ref="AI1330">COUNT(_xlfn.UNIQUE(_xlfn._xlws.FILTER(SrcDB[ID],SrcDB[Objednavatel_ICO]=$H1330)))</f>
        <v>5</v>
      </c>
      <c r="AJ1330" s="3" cm="1">
        <f t="array" ref="AJ1330">COUNT(_xlfn.UNIQUE(_xlfn._xlws.FILTER(SrcDB[ID],SrcDB[Dodavatel_ICO]=$K1330)))</f>
        <v>10</v>
      </c>
      <c r="AK1330" s="3">
        <f t="shared" si="1429"/>
        <v>0</v>
      </c>
      <c r="AL1330" s="3">
        <f t="shared" si="1430"/>
        <v>0</v>
      </c>
      <c r="AM1330" s="17" t="str">
        <f>IF(SrcDB[[#This Row],[Pocet zmluv objednavatela]]&gt;3,SrcDB[[#This Row],[Objednavatel]],"Ostatné")</f>
        <v>Národné centrum zdravotníckych informácií, Bratislava</v>
      </c>
      <c r="AN1330" s="17" t="str">
        <f>IF(SrcDB[[#This Row],[Pocet zmluv dodavatela]]&gt;3,SrcDB[[#This Row],[Dodavatel]],"Ostatné")</f>
        <v>DATALAN, a.s.</v>
      </c>
    </row>
    <row r="1331" spans="1:40" x14ac:dyDescent="0.3">
      <c r="A1331" s="2" t="s">
        <v>1666</v>
      </c>
      <c r="B1331" s="2">
        <v>9286861</v>
      </c>
      <c r="C1331" s="3" t="str">
        <f t="shared" si="1423"/>
        <v>Áno</v>
      </c>
      <c r="D1331" s="3" t="str">
        <f t="shared" si="1424"/>
        <v>Nie</v>
      </c>
      <c r="E1331" s="3" t="s">
        <v>49</v>
      </c>
      <c r="F1331" s="3" t="s">
        <v>48</v>
      </c>
      <c r="G1331" s="2" t="str">
        <f t="shared" si="1425"/>
        <v>Stredné zmluvy</v>
      </c>
      <c r="H1331" s="5" t="s">
        <v>417</v>
      </c>
      <c r="I1331" s="2" t="s">
        <v>418</v>
      </c>
      <c r="J1331" s="2" t="s">
        <v>419</v>
      </c>
      <c r="K1331" s="5">
        <v>35810734</v>
      </c>
      <c r="L1331" s="2" t="s">
        <v>257</v>
      </c>
      <c r="M1331" s="2" t="s">
        <v>53</v>
      </c>
      <c r="N1331" s="6">
        <v>45432</v>
      </c>
      <c r="O1331" s="4">
        <v>6684174</v>
      </c>
      <c r="P1331" s="2">
        <v>114571</v>
      </c>
      <c r="Q1331" s="2" t="s">
        <v>1667</v>
      </c>
      <c r="R1331" s="2" t="s">
        <v>1668</v>
      </c>
      <c r="S1331" s="2" t="s">
        <v>56</v>
      </c>
      <c r="T1331" s="2" t="s">
        <v>328</v>
      </c>
      <c r="U1331" s="2" t="s">
        <v>113</v>
      </c>
      <c r="W1331" s="4">
        <v>505</v>
      </c>
      <c r="X1331" s="4">
        <f>SrcDB[[#This Row],[Cena bez DPH]]*1.2</f>
        <v>606</v>
      </c>
      <c r="Y1331" s="4">
        <f t="shared" ref="Y1331" si="1486">INDEX(InternalRates,MATCH($S1331,InternalRates01,FALSE),2)</f>
        <v>278.98333333333335</v>
      </c>
      <c r="Z1331" s="3" t="str">
        <f t="shared" si="1466"/>
        <v>Nie</v>
      </c>
      <c r="AA1331" s="3" t="str">
        <f t="shared" si="1467"/>
        <v>ZoD</v>
      </c>
      <c r="AB1331" s="4">
        <v>1433</v>
      </c>
      <c r="AC1331" s="4">
        <f>SrcDB[[#This Row],[Množstvo práce]]*12/16</f>
        <v>1074.75</v>
      </c>
      <c r="AD1331" s="3" t="s">
        <v>49</v>
      </c>
      <c r="AE1331" s="6">
        <v>45682</v>
      </c>
      <c r="AF1331" s="3" t="s">
        <v>59</v>
      </c>
      <c r="AG1331" s="3" t="s">
        <v>49</v>
      </c>
      <c r="AH1331" s="3">
        <f>YEAR(SrcDB[[#This Row],[Datum_zverejnenia]])</f>
        <v>2024</v>
      </c>
      <c r="AI1331" s="3" cm="1">
        <f t="array" ref="AI1331">COUNT(_xlfn.UNIQUE(_xlfn._xlws.FILTER(SrcDB[ID],SrcDB[Objednavatel_ICO]=$H1331)))</f>
        <v>5</v>
      </c>
      <c r="AJ1331" s="3" cm="1">
        <f t="array" ref="AJ1331">COUNT(_xlfn.UNIQUE(_xlfn._xlws.FILTER(SrcDB[ID],SrcDB[Dodavatel_ICO]=$K1331)))</f>
        <v>10</v>
      </c>
      <c r="AK1331" s="3">
        <f t="shared" si="1429"/>
        <v>0</v>
      </c>
      <c r="AL1331" s="3">
        <f t="shared" si="1430"/>
        <v>0</v>
      </c>
      <c r="AM1331" s="17" t="str">
        <f>IF(SrcDB[[#This Row],[Pocet zmluv objednavatela]]&gt;3,SrcDB[[#This Row],[Objednavatel]],"Ostatné")</f>
        <v>Národné centrum zdravotníckych informácií, Bratislava</v>
      </c>
      <c r="AN1331" s="17" t="str">
        <f>IF(SrcDB[[#This Row],[Pocet zmluv dodavatela]]&gt;3,SrcDB[[#This Row],[Dodavatel]],"Ostatné")</f>
        <v>DATALAN, a.s.</v>
      </c>
    </row>
    <row r="1332" spans="1:40" x14ac:dyDescent="0.3">
      <c r="A1332" s="2" t="s">
        <v>1666</v>
      </c>
      <c r="B1332" s="2">
        <v>9286861</v>
      </c>
      <c r="C1332" s="3" t="str">
        <f t="shared" si="1423"/>
        <v>Áno</v>
      </c>
      <c r="D1332" s="3" t="str">
        <f t="shared" si="1424"/>
        <v>Nie</v>
      </c>
      <c r="E1332" s="3" t="s">
        <v>49</v>
      </c>
      <c r="F1332" s="3" t="s">
        <v>48</v>
      </c>
      <c r="G1332" s="2" t="str">
        <f t="shared" si="1425"/>
        <v>Stredné zmluvy</v>
      </c>
      <c r="H1332" s="5" t="s">
        <v>417</v>
      </c>
      <c r="I1332" s="2" t="s">
        <v>418</v>
      </c>
      <c r="J1332" s="2" t="s">
        <v>419</v>
      </c>
      <c r="K1332" s="5">
        <v>35810734</v>
      </c>
      <c r="L1332" s="2" t="s">
        <v>257</v>
      </c>
      <c r="M1332" s="2" t="s">
        <v>53</v>
      </c>
      <c r="N1332" s="6">
        <v>45432</v>
      </c>
      <c r="O1332" s="4">
        <v>6684174</v>
      </c>
      <c r="P1332" s="2">
        <v>114571</v>
      </c>
      <c r="Q1332" s="2" t="s">
        <v>1667</v>
      </c>
      <c r="R1332" s="2" t="s">
        <v>1668</v>
      </c>
      <c r="S1332" s="2" t="s">
        <v>100</v>
      </c>
      <c r="T1332" s="2" t="s">
        <v>333</v>
      </c>
      <c r="W1332" s="4">
        <v>505</v>
      </c>
      <c r="X1332" s="4">
        <f>SrcDB[[#This Row],[Cena bez DPH]]*1.2</f>
        <v>606</v>
      </c>
      <c r="Y1332" s="4">
        <f t="shared" ref="Y1332" si="1487">INDEX(InternalRates,MATCH($S1332,InternalRates01,FALSE),2)</f>
        <v>278.98333333333335</v>
      </c>
      <c r="Z1332" s="3" t="str">
        <f t="shared" si="1466"/>
        <v>Nie</v>
      </c>
      <c r="AA1332" s="3" t="str">
        <f t="shared" si="1467"/>
        <v>ZoD</v>
      </c>
      <c r="AB1332" s="4">
        <v>60</v>
      </c>
      <c r="AC1332" s="4">
        <f>SrcDB[[#This Row],[Množstvo práce]]*12/16</f>
        <v>45</v>
      </c>
      <c r="AD1332" s="3" t="s">
        <v>49</v>
      </c>
      <c r="AE1332" s="6">
        <v>45682</v>
      </c>
      <c r="AF1332" s="3" t="s">
        <v>59</v>
      </c>
      <c r="AG1332" s="3" t="s">
        <v>49</v>
      </c>
      <c r="AH1332" s="3">
        <f>YEAR(SrcDB[[#This Row],[Datum_zverejnenia]])</f>
        <v>2024</v>
      </c>
      <c r="AI1332" s="3" cm="1">
        <f t="array" ref="AI1332">COUNT(_xlfn.UNIQUE(_xlfn._xlws.FILTER(SrcDB[ID],SrcDB[Objednavatel_ICO]=$H1332)))</f>
        <v>5</v>
      </c>
      <c r="AJ1332" s="3" cm="1">
        <f t="array" ref="AJ1332">COUNT(_xlfn.UNIQUE(_xlfn._xlws.FILTER(SrcDB[ID],SrcDB[Dodavatel_ICO]=$K1332)))</f>
        <v>10</v>
      </c>
      <c r="AK1332" s="3">
        <f t="shared" si="1429"/>
        <v>0</v>
      </c>
      <c r="AL1332" s="3">
        <f t="shared" si="1430"/>
        <v>0</v>
      </c>
      <c r="AM1332" s="17" t="str">
        <f>IF(SrcDB[[#This Row],[Pocet zmluv objednavatela]]&gt;3,SrcDB[[#This Row],[Objednavatel]],"Ostatné")</f>
        <v>Národné centrum zdravotníckych informácií, Bratislava</v>
      </c>
      <c r="AN1332" s="17" t="str">
        <f>IF(SrcDB[[#This Row],[Pocet zmluv dodavatela]]&gt;3,SrcDB[[#This Row],[Dodavatel]],"Ostatné")</f>
        <v>DATALAN, a.s.</v>
      </c>
    </row>
    <row r="1333" spans="1:40" x14ac:dyDescent="0.3">
      <c r="A1333" s="2" t="s">
        <v>1666</v>
      </c>
      <c r="B1333" s="2">
        <v>9796778</v>
      </c>
      <c r="C1333" s="3" t="str">
        <f t="shared" si="1423"/>
        <v>Áno</v>
      </c>
      <c r="D1333" s="3" t="str">
        <f t="shared" si="1424"/>
        <v>Nie</v>
      </c>
      <c r="E1333" s="3" t="s">
        <v>49</v>
      </c>
      <c r="F1333" s="3" t="s">
        <v>48</v>
      </c>
      <c r="G1333" s="2" t="str">
        <f t="shared" si="1425"/>
        <v>Stredné zmluvy</v>
      </c>
      <c r="H1333" s="5" t="s">
        <v>417</v>
      </c>
      <c r="I1333" s="2" t="s">
        <v>418</v>
      </c>
      <c r="J1333" s="2" t="s">
        <v>419</v>
      </c>
      <c r="K1333" s="5">
        <v>46117491</v>
      </c>
      <c r="L1333" s="2" t="s">
        <v>707</v>
      </c>
      <c r="M1333" s="2" t="s">
        <v>708</v>
      </c>
      <c r="N1333" s="6">
        <v>45558</v>
      </c>
      <c r="O1333" s="4">
        <v>1676220</v>
      </c>
      <c r="P1333" s="2">
        <v>114571</v>
      </c>
      <c r="Q1333" s="2" t="s">
        <v>1669</v>
      </c>
      <c r="R1333" s="2" t="s">
        <v>1670</v>
      </c>
      <c r="S1333" s="2" t="s">
        <v>77</v>
      </c>
      <c r="T1333" s="2" t="s">
        <v>1097</v>
      </c>
      <c r="W1333" s="4">
        <v>350</v>
      </c>
      <c r="X1333" s="4">
        <f>SrcDB[[#This Row],[Cena bez DPH]]*1.2</f>
        <v>420</v>
      </c>
      <c r="Y1333" s="4">
        <f t="shared" ref="Y1333" si="1488">INDEX(InternalRates,MATCH($S1333,InternalRates01,FALSE),2)</f>
        <v>278.98333333333335</v>
      </c>
      <c r="Z1333" s="3" t="str">
        <f t="shared" ref="Z1333:Z1339" si="1489">IF(W1333&gt;0,IF(Y1333&gt;W1333,"Áno","Nie"),"Nie")</f>
        <v>Nie</v>
      </c>
      <c r="AA1333" s="3" t="str">
        <f t="shared" ref="AA1333:AA1339" si="1490">IF(E1333="Nie","SLA",IF(F1333="Nie","ZoD","SLA+ZoD"))</f>
        <v>ZoD</v>
      </c>
      <c r="AB1333" s="4">
        <v>990</v>
      </c>
      <c r="AC1333" s="4">
        <f>SrcDB[[#This Row],[Množstvo práce]]*12/16</f>
        <v>742.5</v>
      </c>
      <c r="AD1333" s="3" t="s">
        <v>49</v>
      </c>
      <c r="AE1333" s="6">
        <v>45682</v>
      </c>
      <c r="AF1333" s="3" t="s">
        <v>59</v>
      </c>
      <c r="AG1333" s="3" t="s">
        <v>49</v>
      </c>
      <c r="AH1333" s="3">
        <f>YEAR(SrcDB[[#This Row],[Datum_zverejnenia]])</f>
        <v>2024</v>
      </c>
      <c r="AI1333" s="3" cm="1">
        <f t="array" ref="AI1333">COUNT(_xlfn.UNIQUE(_xlfn._xlws.FILTER(SrcDB[ID],SrcDB[Objednavatel_ICO]=$H1333)))</f>
        <v>5</v>
      </c>
      <c r="AJ1333" s="3" cm="1">
        <f t="array" ref="AJ1333">COUNT(_xlfn.UNIQUE(_xlfn._xlws.FILTER(SrcDB[ID],SrcDB[Dodavatel_ICO]=$K1333)))</f>
        <v>7</v>
      </c>
      <c r="AK1333" s="3" t="e">
        <f>IF(#REF!&lt;&gt;$H1333,1,IF(#REF!&lt;&gt;$B1333,1,0))</f>
        <v>#REF!</v>
      </c>
      <c r="AL1333" s="3" t="e">
        <f>IF(#REF!&lt;&gt;$K1333,1,IF(#REF!&lt;&gt;$B1333,1,0))</f>
        <v>#REF!</v>
      </c>
      <c r="AM1333" s="17" t="str">
        <f>IF(SrcDB[[#This Row],[Pocet zmluv objednavatela]]&gt;3,SrcDB[[#This Row],[Objednavatel]],"Ostatné")</f>
        <v>Národné centrum zdravotníckych informácií, Bratislava</v>
      </c>
      <c r="AN1333" s="17" t="str">
        <f>IF(SrcDB[[#This Row],[Pocet zmluv dodavatela]]&gt;3,SrcDB[[#This Row],[Dodavatel]],"Ostatné")</f>
        <v>JUMP soft a.s.</v>
      </c>
    </row>
    <row r="1334" spans="1:40" x14ac:dyDescent="0.3">
      <c r="A1334" s="2" t="s">
        <v>1666</v>
      </c>
      <c r="B1334" s="2">
        <v>9796778</v>
      </c>
      <c r="C1334" s="3" t="str">
        <f t="shared" si="1423"/>
        <v>Áno</v>
      </c>
      <c r="D1334" s="3" t="str">
        <f t="shared" si="1424"/>
        <v>Nie</v>
      </c>
      <c r="E1334" s="3" t="s">
        <v>49</v>
      </c>
      <c r="F1334" s="3" t="s">
        <v>48</v>
      </c>
      <c r="G1334" s="2" t="str">
        <f t="shared" si="1425"/>
        <v>Stredné zmluvy</v>
      </c>
      <c r="H1334" s="5" t="s">
        <v>417</v>
      </c>
      <c r="I1334" s="2" t="s">
        <v>418</v>
      </c>
      <c r="J1334" s="2" t="s">
        <v>419</v>
      </c>
      <c r="K1334" s="5">
        <v>46117491</v>
      </c>
      <c r="L1334" s="2" t="s">
        <v>707</v>
      </c>
      <c r="M1334" s="2" t="s">
        <v>708</v>
      </c>
      <c r="N1334" s="6">
        <v>45558</v>
      </c>
      <c r="O1334" s="4">
        <v>1676220</v>
      </c>
      <c r="P1334" s="2">
        <v>114571</v>
      </c>
      <c r="Q1334" s="2" t="s">
        <v>1669</v>
      </c>
      <c r="R1334" s="2" t="s">
        <v>1670</v>
      </c>
      <c r="S1334" s="2" t="s">
        <v>69</v>
      </c>
      <c r="T1334" s="2" t="s">
        <v>285</v>
      </c>
      <c r="W1334" s="4">
        <v>350</v>
      </c>
      <c r="X1334" s="4">
        <f>SrcDB[[#This Row],[Cena bez DPH]]*1.2</f>
        <v>420</v>
      </c>
      <c r="Y1334" s="4">
        <f t="shared" ref="Y1334" si="1491">INDEX(InternalRates,MATCH($S1334,InternalRates01,FALSE),2)</f>
        <v>278.98333333333335</v>
      </c>
      <c r="Z1334" s="3" t="str">
        <f t="shared" si="1489"/>
        <v>Nie</v>
      </c>
      <c r="AA1334" s="3" t="str">
        <f t="shared" si="1490"/>
        <v>ZoD</v>
      </c>
      <c r="AB1334" s="4">
        <v>110</v>
      </c>
      <c r="AC1334" s="4">
        <f>SrcDB[[#This Row],[Množstvo práce]]*12/16</f>
        <v>82.5</v>
      </c>
      <c r="AD1334" s="3" t="s">
        <v>49</v>
      </c>
      <c r="AE1334" s="6">
        <v>45682</v>
      </c>
      <c r="AF1334" s="3" t="s">
        <v>59</v>
      </c>
      <c r="AG1334" s="3" t="s">
        <v>49</v>
      </c>
      <c r="AH1334" s="3">
        <f>YEAR(SrcDB[[#This Row],[Datum_zverejnenia]])</f>
        <v>2024</v>
      </c>
      <c r="AI1334" s="3" cm="1">
        <f t="array" ref="AI1334">COUNT(_xlfn.UNIQUE(_xlfn._xlws.FILTER(SrcDB[ID],SrcDB[Objednavatel_ICO]=$H1334)))</f>
        <v>5</v>
      </c>
      <c r="AJ1334" s="3" cm="1">
        <f t="array" ref="AJ1334">COUNT(_xlfn.UNIQUE(_xlfn._xlws.FILTER(SrcDB[ID],SrcDB[Dodavatel_ICO]=$K1334)))</f>
        <v>7</v>
      </c>
      <c r="AK1334" s="3">
        <f t="shared" si="1429"/>
        <v>0</v>
      </c>
      <c r="AL1334" s="3">
        <f t="shared" si="1430"/>
        <v>0</v>
      </c>
      <c r="AM1334" s="17" t="str">
        <f>IF(SrcDB[[#This Row],[Pocet zmluv objednavatela]]&gt;3,SrcDB[[#This Row],[Objednavatel]],"Ostatné")</f>
        <v>Národné centrum zdravotníckych informácií, Bratislava</v>
      </c>
      <c r="AN1334" s="17" t="str">
        <f>IF(SrcDB[[#This Row],[Pocet zmluv dodavatela]]&gt;3,SrcDB[[#This Row],[Dodavatel]],"Ostatné")</f>
        <v>JUMP soft a.s.</v>
      </c>
    </row>
    <row r="1335" spans="1:40" x14ac:dyDescent="0.3">
      <c r="A1335" s="2" t="s">
        <v>1666</v>
      </c>
      <c r="B1335" s="2">
        <v>9796778</v>
      </c>
      <c r="C1335" s="3" t="str">
        <f t="shared" si="1423"/>
        <v>Áno</v>
      </c>
      <c r="D1335" s="3" t="str">
        <f t="shared" si="1424"/>
        <v>Nie</v>
      </c>
      <c r="E1335" s="3" t="s">
        <v>49</v>
      </c>
      <c r="F1335" s="3" t="s">
        <v>48</v>
      </c>
      <c r="G1335" s="2" t="str">
        <f t="shared" si="1425"/>
        <v>Stredné zmluvy</v>
      </c>
      <c r="H1335" s="5" t="s">
        <v>417</v>
      </c>
      <c r="I1335" s="2" t="s">
        <v>418</v>
      </c>
      <c r="J1335" s="2" t="s">
        <v>419</v>
      </c>
      <c r="K1335" s="5">
        <v>46117491</v>
      </c>
      <c r="L1335" s="2" t="s">
        <v>707</v>
      </c>
      <c r="M1335" s="2" t="s">
        <v>708</v>
      </c>
      <c r="N1335" s="6">
        <v>45558</v>
      </c>
      <c r="O1335" s="4">
        <v>1676220</v>
      </c>
      <c r="P1335" s="2">
        <v>114571</v>
      </c>
      <c r="Q1335" s="2" t="s">
        <v>1669</v>
      </c>
      <c r="R1335" s="2" t="s">
        <v>1670</v>
      </c>
      <c r="S1335" s="2" t="s">
        <v>73</v>
      </c>
      <c r="T1335" s="2" t="s">
        <v>1671</v>
      </c>
      <c r="W1335" s="4">
        <v>380</v>
      </c>
      <c r="X1335" s="4">
        <f>SrcDB[[#This Row],[Cena bez DPH]]*1.2</f>
        <v>456</v>
      </c>
      <c r="Y1335" s="4">
        <f t="shared" ref="Y1335" si="1492">INDEX(InternalRates,MATCH($S1335,InternalRates01,FALSE),2)</f>
        <v>278.98333333333335</v>
      </c>
      <c r="Z1335" s="3" t="str">
        <f t="shared" si="1489"/>
        <v>Nie</v>
      </c>
      <c r="AA1335" s="3" t="str">
        <f t="shared" si="1490"/>
        <v>ZoD</v>
      </c>
      <c r="AB1335" s="4">
        <v>750</v>
      </c>
      <c r="AC1335" s="4">
        <f>SrcDB[[#This Row],[Množstvo práce]]*12/16</f>
        <v>562.5</v>
      </c>
      <c r="AD1335" s="3" t="s">
        <v>49</v>
      </c>
      <c r="AE1335" s="6">
        <v>45682</v>
      </c>
      <c r="AF1335" s="3" t="s">
        <v>59</v>
      </c>
      <c r="AG1335" s="3" t="s">
        <v>49</v>
      </c>
      <c r="AH1335" s="3">
        <f>YEAR(SrcDB[[#This Row],[Datum_zverejnenia]])</f>
        <v>2024</v>
      </c>
      <c r="AI1335" s="3" cm="1">
        <f t="array" ref="AI1335">COUNT(_xlfn.UNIQUE(_xlfn._xlws.FILTER(SrcDB[ID],SrcDB[Objednavatel_ICO]=$H1335)))</f>
        <v>5</v>
      </c>
      <c r="AJ1335" s="3" cm="1">
        <f t="array" ref="AJ1335">COUNT(_xlfn.UNIQUE(_xlfn._xlws.FILTER(SrcDB[ID],SrcDB[Dodavatel_ICO]=$K1335)))</f>
        <v>7</v>
      </c>
      <c r="AK1335" s="3">
        <f t="shared" si="1429"/>
        <v>0</v>
      </c>
      <c r="AL1335" s="3">
        <f t="shared" si="1430"/>
        <v>0</v>
      </c>
      <c r="AM1335" s="17" t="str">
        <f>IF(SrcDB[[#This Row],[Pocet zmluv objednavatela]]&gt;3,SrcDB[[#This Row],[Objednavatel]],"Ostatné")</f>
        <v>Národné centrum zdravotníckych informácií, Bratislava</v>
      </c>
      <c r="AN1335" s="17" t="str">
        <f>IF(SrcDB[[#This Row],[Pocet zmluv dodavatela]]&gt;3,SrcDB[[#This Row],[Dodavatel]],"Ostatné")</f>
        <v>JUMP soft a.s.</v>
      </c>
    </row>
    <row r="1336" spans="1:40" x14ac:dyDescent="0.3">
      <c r="A1336" s="2" t="s">
        <v>1666</v>
      </c>
      <c r="B1336" s="2">
        <v>9796778</v>
      </c>
      <c r="C1336" s="3" t="str">
        <f t="shared" si="1423"/>
        <v>Áno</v>
      </c>
      <c r="D1336" s="3" t="str">
        <f t="shared" si="1424"/>
        <v>Nie</v>
      </c>
      <c r="E1336" s="3" t="s">
        <v>49</v>
      </c>
      <c r="F1336" s="3" t="s">
        <v>48</v>
      </c>
      <c r="G1336" s="2" t="str">
        <f t="shared" si="1425"/>
        <v>Stredné zmluvy</v>
      </c>
      <c r="H1336" s="5" t="s">
        <v>417</v>
      </c>
      <c r="I1336" s="2" t="s">
        <v>418</v>
      </c>
      <c r="J1336" s="2" t="s">
        <v>419</v>
      </c>
      <c r="K1336" s="5">
        <v>46117491</v>
      </c>
      <c r="L1336" s="2" t="s">
        <v>707</v>
      </c>
      <c r="M1336" s="2" t="s">
        <v>708</v>
      </c>
      <c r="N1336" s="6">
        <v>45558</v>
      </c>
      <c r="O1336" s="4">
        <v>1676220</v>
      </c>
      <c r="P1336" s="2">
        <v>114571</v>
      </c>
      <c r="Q1336" s="2" t="s">
        <v>1669</v>
      </c>
      <c r="R1336" s="2" t="s">
        <v>1670</v>
      </c>
      <c r="S1336" s="2" t="s">
        <v>56</v>
      </c>
      <c r="T1336" s="2" t="s">
        <v>1651</v>
      </c>
      <c r="U1336" s="2" t="s">
        <v>449</v>
      </c>
      <c r="W1336" s="4">
        <v>380</v>
      </c>
      <c r="X1336" s="4">
        <f>SrcDB[[#This Row],[Cena bez DPH]]*1.2</f>
        <v>456</v>
      </c>
      <c r="Y1336" s="4">
        <f t="shared" ref="Y1336" si="1493">INDEX(InternalRates,MATCH($S1336,InternalRates01,FALSE),2)</f>
        <v>278.98333333333335</v>
      </c>
      <c r="Z1336" s="3" t="str">
        <f t="shared" si="1489"/>
        <v>Nie</v>
      </c>
      <c r="AA1336" s="3" t="str">
        <f t="shared" si="1490"/>
        <v>ZoD</v>
      </c>
      <c r="AB1336" s="4">
        <v>80</v>
      </c>
      <c r="AC1336" s="4">
        <f>SrcDB[[#This Row],[Množstvo práce]]*12/16</f>
        <v>60</v>
      </c>
      <c r="AD1336" s="3" t="s">
        <v>49</v>
      </c>
      <c r="AE1336" s="6">
        <v>45682</v>
      </c>
      <c r="AF1336" s="3" t="s">
        <v>59</v>
      </c>
      <c r="AG1336" s="3" t="s">
        <v>49</v>
      </c>
      <c r="AH1336" s="3">
        <f>YEAR(SrcDB[[#This Row],[Datum_zverejnenia]])</f>
        <v>2024</v>
      </c>
      <c r="AI1336" s="3" cm="1">
        <f t="array" ref="AI1336">COUNT(_xlfn.UNIQUE(_xlfn._xlws.FILTER(SrcDB[ID],SrcDB[Objednavatel_ICO]=$H1336)))</f>
        <v>5</v>
      </c>
      <c r="AJ1336" s="3" cm="1">
        <f t="array" ref="AJ1336">COUNT(_xlfn.UNIQUE(_xlfn._xlws.FILTER(SrcDB[ID],SrcDB[Dodavatel_ICO]=$K1336)))</f>
        <v>7</v>
      </c>
      <c r="AK1336" s="3">
        <f t="shared" si="1429"/>
        <v>0</v>
      </c>
      <c r="AL1336" s="3">
        <f t="shared" si="1430"/>
        <v>0</v>
      </c>
      <c r="AM1336" s="17" t="str">
        <f>IF(SrcDB[[#This Row],[Pocet zmluv objednavatela]]&gt;3,SrcDB[[#This Row],[Objednavatel]],"Ostatné")</f>
        <v>Národné centrum zdravotníckych informácií, Bratislava</v>
      </c>
      <c r="AN1336" s="17" t="str">
        <f>IF(SrcDB[[#This Row],[Pocet zmluv dodavatela]]&gt;3,SrcDB[[#This Row],[Dodavatel]],"Ostatné")</f>
        <v>JUMP soft a.s.</v>
      </c>
    </row>
    <row r="1337" spans="1:40" x14ac:dyDescent="0.3">
      <c r="A1337" s="2" t="s">
        <v>1666</v>
      </c>
      <c r="B1337" s="2">
        <v>9796778</v>
      </c>
      <c r="C1337" s="3" t="str">
        <f t="shared" si="1423"/>
        <v>Áno</v>
      </c>
      <c r="D1337" s="3" t="str">
        <f t="shared" si="1424"/>
        <v>Nie</v>
      </c>
      <c r="E1337" s="3" t="s">
        <v>49</v>
      </c>
      <c r="F1337" s="3" t="s">
        <v>48</v>
      </c>
      <c r="G1337" s="2" t="str">
        <f t="shared" si="1425"/>
        <v>Stredné zmluvy</v>
      </c>
      <c r="H1337" s="5" t="s">
        <v>417</v>
      </c>
      <c r="I1337" s="2" t="s">
        <v>418</v>
      </c>
      <c r="J1337" s="2" t="s">
        <v>419</v>
      </c>
      <c r="K1337" s="5">
        <v>46117491</v>
      </c>
      <c r="L1337" s="2" t="s">
        <v>707</v>
      </c>
      <c r="M1337" s="2" t="s">
        <v>708</v>
      </c>
      <c r="N1337" s="6">
        <v>45558</v>
      </c>
      <c r="O1337" s="4">
        <v>1676220</v>
      </c>
      <c r="P1337" s="2">
        <v>114571</v>
      </c>
      <c r="Q1337" s="2" t="s">
        <v>1669</v>
      </c>
      <c r="R1337" s="2" t="s">
        <v>1670</v>
      </c>
      <c r="S1337" s="2" t="s">
        <v>56</v>
      </c>
      <c r="T1337" s="2" t="s">
        <v>94</v>
      </c>
      <c r="U1337" s="2" t="s">
        <v>95</v>
      </c>
      <c r="W1337" s="4">
        <v>500</v>
      </c>
      <c r="X1337" s="4">
        <f>SrcDB[[#This Row],[Cena bez DPH]]*1.2</f>
        <v>600</v>
      </c>
      <c r="Y1337" s="4">
        <f t="shared" ref="Y1337" si="1494">INDEX(InternalRates,MATCH($S1337,InternalRates01,FALSE),2)</f>
        <v>278.98333333333335</v>
      </c>
      <c r="Z1337" s="3" t="str">
        <f t="shared" si="1489"/>
        <v>Nie</v>
      </c>
      <c r="AA1337" s="3" t="str">
        <f t="shared" si="1490"/>
        <v>ZoD</v>
      </c>
      <c r="AB1337" s="4">
        <v>70</v>
      </c>
      <c r="AC1337" s="4">
        <f>SrcDB[[#This Row],[Množstvo práce]]*12/16</f>
        <v>52.5</v>
      </c>
      <c r="AD1337" s="3" t="s">
        <v>49</v>
      </c>
      <c r="AE1337" s="6">
        <v>45682</v>
      </c>
      <c r="AF1337" s="3" t="s">
        <v>59</v>
      </c>
      <c r="AG1337" s="3" t="s">
        <v>49</v>
      </c>
      <c r="AH1337" s="3">
        <f>YEAR(SrcDB[[#This Row],[Datum_zverejnenia]])</f>
        <v>2024</v>
      </c>
      <c r="AI1337" s="3" cm="1">
        <f t="array" ref="AI1337">COUNT(_xlfn.UNIQUE(_xlfn._xlws.FILTER(SrcDB[ID],SrcDB[Objednavatel_ICO]=$H1337)))</f>
        <v>5</v>
      </c>
      <c r="AJ1337" s="3" cm="1">
        <f t="array" ref="AJ1337">COUNT(_xlfn.UNIQUE(_xlfn._xlws.FILTER(SrcDB[ID],SrcDB[Dodavatel_ICO]=$K1337)))</f>
        <v>7</v>
      </c>
      <c r="AK1337" s="3">
        <f t="shared" si="1429"/>
        <v>0</v>
      </c>
      <c r="AL1337" s="3">
        <f t="shared" si="1430"/>
        <v>0</v>
      </c>
      <c r="AM1337" s="17" t="str">
        <f>IF(SrcDB[[#This Row],[Pocet zmluv objednavatela]]&gt;3,SrcDB[[#This Row],[Objednavatel]],"Ostatné")</f>
        <v>Národné centrum zdravotníckych informácií, Bratislava</v>
      </c>
      <c r="AN1337" s="17" t="str">
        <f>IF(SrcDB[[#This Row],[Pocet zmluv dodavatela]]&gt;3,SrcDB[[#This Row],[Dodavatel]],"Ostatné")</f>
        <v>JUMP soft a.s.</v>
      </c>
    </row>
    <row r="1338" spans="1:40" x14ac:dyDescent="0.3">
      <c r="A1338" s="2" t="s">
        <v>1666</v>
      </c>
      <c r="B1338" s="2">
        <v>9796778</v>
      </c>
      <c r="C1338" s="3" t="str">
        <f t="shared" si="1423"/>
        <v>Áno</v>
      </c>
      <c r="D1338" s="3" t="str">
        <f t="shared" si="1424"/>
        <v>Nie</v>
      </c>
      <c r="E1338" s="3" t="s">
        <v>49</v>
      </c>
      <c r="F1338" s="3" t="s">
        <v>48</v>
      </c>
      <c r="G1338" s="2" t="str">
        <f t="shared" si="1425"/>
        <v>Stredné zmluvy</v>
      </c>
      <c r="H1338" s="5" t="s">
        <v>417</v>
      </c>
      <c r="I1338" s="2" t="s">
        <v>418</v>
      </c>
      <c r="J1338" s="2" t="s">
        <v>419</v>
      </c>
      <c r="K1338" s="5">
        <v>46117491</v>
      </c>
      <c r="L1338" s="2" t="s">
        <v>707</v>
      </c>
      <c r="M1338" s="2" t="s">
        <v>708</v>
      </c>
      <c r="N1338" s="6">
        <v>45558</v>
      </c>
      <c r="O1338" s="4">
        <v>1676220</v>
      </c>
      <c r="P1338" s="2">
        <v>114571</v>
      </c>
      <c r="Q1338" s="2" t="s">
        <v>1669</v>
      </c>
      <c r="R1338" s="2" t="s">
        <v>1670</v>
      </c>
      <c r="S1338" s="2" t="s">
        <v>56</v>
      </c>
      <c r="T1338" s="2" t="s">
        <v>1652</v>
      </c>
      <c r="U1338" s="2" t="s">
        <v>97</v>
      </c>
      <c r="W1338" s="4">
        <v>350</v>
      </c>
      <c r="X1338" s="4">
        <f>SrcDB[[#This Row],[Cena bez DPH]]*1.2</f>
        <v>420</v>
      </c>
      <c r="Y1338" s="4">
        <f t="shared" ref="Y1338" si="1495">INDEX(InternalRates,MATCH($S1338,InternalRates01,FALSE),2)</f>
        <v>278.98333333333335</v>
      </c>
      <c r="Z1338" s="3" t="str">
        <f t="shared" si="1489"/>
        <v>Nie</v>
      </c>
      <c r="AA1338" s="3" t="str">
        <f t="shared" si="1490"/>
        <v>ZoD</v>
      </c>
      <c r="AB1338" s="4">
        <v>120</v>
      </c>
      <c r="AC1338" s="4">
        <f>SrcDB[[#This Row],[Množstvo práce]]*12/16</f>
        <v>90</v>
      </c>
      <c r="AD1338" s="3" t="s">
        <v>49</v>
      </c>
      <c r="AE1338" s="6">
        <v>45682</v>
      </c>
      <c r="AF1338" s="3" t="s">
        <v>59</v>
      </c>
      <c r="AG1338" s="3" t="s">
        <v>49</v>
      </c>
      <c r="AH1338" s="3">
        <f>YEAR(SrcDB[[#This Row],[Datum_zverejnenia]])</f>
        <v>2024</v>
      </c>
      <c r="AI1338" s="3" cm="1">
        <f t="array" ref="AI1338">COUNT(_xlfn.UNIQUE(_xlfn._xlws.FILTER(SrcDB[ID],SrcDB[Objednavatel_ICO]=$H1338)))</f>
        <v>5</v>
      </c>
      <c r="AJ1338" s="3" cm="1">
        <f t="array" ref="AJ1338">COUNT(_xlfn.UNIQUE(_xlfn._xlws.FILTER(SrcDB[ID],SrcDB[Dodavatel_ICO]=$K1338)))</f>
        <v>7</v>
      </c>
      <c r="AK1338" s="3">
        <f t="shared" si="1429"/>
        <v>0</v>
      </c>
      <c r="AL1338" s="3">
        <f t="shared" si="1430"/>
        <v>0</v>
      </c>
      <c r="AM1338" s="17" t="str">
        <f>IF(SrcDB[[#This Row],[Pocet zmluv objednavatela]]&gt;3,SrcDB[[#This Row],[Objednavatel]],"Ostatné")</f>
        <v>Národné centrum zdravotníckych informácií, Bratislava</v>
      </c>
      <c r="AN1338" s="17" t="str">
        <f>IF(SrcDB[[#This Row],[Pocet zmluv dodavatela]]&gt;3,SrcDB[[#This Row],[Dodavatel]],"Ostatné")</f>
        <v>JUMP soft a.s.</v>
      </c>
    </row>
    <row r="1339" spans="1:40" x14ac:dyDescent="0.3">
      <c r="A1339" s="2" t="s">
        <v>1666</v>
      </c>
      <c r="B1339" s="2">
        <v>9796778</v>
      </c>
      <c r="C1339" s="3" t="str">
        <f t="shared" si="1423"/>
        <v>Áno</v>
      </c>
      <c r="D1339" s="3" t="str">
        <f t="shared" si="1424"/>
        <v>Nie</v>
      </c>
      <c r="E1339" s="3" t="s">
        <v>49</v>
      </c>
      <c r="F1339" s="3" t="s">
        <v>48</v>
      </c>
      <c r="G1339" s="2" t="str">
        <f t="shared" si="1425"/>
        <v>Stredné zmluvy</v>
      </c>
      <c r="H1339" s="5" t="s">
        <v>417</v>
      </c>
      <c r="I1339" s="2" t="s">
        <v>418</v>
      </c>
      <c r="J1339" s="2" t="s">
        <v>419</v>
      </c>
      <c r="K1339" s="5">
        <v>46117491</v>
      </c>
      <c r="L1339" s="2" t="s">
        <v>707</v>
      </c>
      <c r="M1339" s="2" t="s">
        <v>708</v>
      </c>
      <c r="N1339" s="6">
        <v>45558</v>
      </c>
      <c r="O1339" s="4">
        <v>1676220</v>
      </c>
      <c r="P1339" s="2">
        <v>114571</v>
      </c>
      <c r="Q1339" s="2" t="s">
        <v>1669</v>
      </c>
      <c r="R1339" s="2" t="s">
        <v>1670</v>
      </c>
      <c r="S1339" s="2" t="s">
        <v>56</v>
      </c>
      <c r="T1339" s="2" t="s">
        <v>286</v>
      </c>
      <c r="U1339" s="2" t="s">
        <v>129</v>
      </c>
      <c r="W1339" s="4">
        <v>400</v>
      </c>
      <c r="X1339" s="4">
        <f>SrcDB[[#This Row],[Cena bez DPH]]*1.2</f>
        <v>480</v>
      </c>
      <c r="Y1339" s="4">
        <f t="shared" ref="Y1339" si="1496">INDEX(InternalRates,MATCH($S1339,InternalRates01,FALSE),2)</f>
        <v>278.98333333333335</v>
      </c>
      <c r="Z1339" s="3" t="str">
        <f t="shared" si="1489"/>
        <v>Nie</v>
      </c>
      <c r="AA1339" s="3" t="str">
        <f t="shared" si="1490"/>
        <v>ZoD</v>
      </c>
      <c r="AB1339" s="4">
        <v>60</v>
      </c>
      <c r="AC1339" s="4">
        <f>SrcDB[[#This Row],[Množstvo práce]]*12/16</f>
        <v>45</v>
      </c>
      <c r="AD1339" s="3" t="s">
        <v>49</v>
      </c>
      <c r="AE1339" s="6">
        <v>45682</v>
      </c>
      <c r="AF1339" s="3" t="s">
        <v>59</v>
      </c>
      <c r="AG1339" s="3" t="s">
        <v>49</v>
      </c>
      <c r="AH1339" s="3">
        <f>YEAR(SrcDB[[#This Row],[Datum_zverejnenia]])</f>
        <v>2024</v>
      </c>
      <c r="AI1339" s="3" cm="1">
        <f t="array" ref="AI1339">COUNT(_xlfn.UNIQUE(_xlfn._xlws.FILTER(SrcDB[ID],SrcDB[Objednavatel_ICO]=$H1339)))</f>
        <v>5</v>
      </c>
      <c r="AJ1339" s="3" cm="1">
        <f t="array" ref="AJ1339">COUNT(_xlfn.UNIQUE(_xlfn._xlws.FILTER(SrcDB[ID],SrcDB[Dodavatel_ICO]=$K1339)))</f>
        <v>7</v>
      </c>
      <c r="AK1339" s="3" t="e">
        <f>IF(#REF!&lt;&gt;$H1339,1,IF(#REF!&lt;&gt;$B1339,1,0))</f>
        <v>#REF!</v>
      </c>
      <c r="AL1339" s="3" t="e">
        <f>IF(#REF!&lt;&gt;$K1339,1,IF(#REF!&lt;&gt;$B1339,1,0))</f>
        <v>#REF!</v>
      </c>
      <c r="AM1339" s="17" t="str">
        <f>IF(SrcDB[[#This Row],[Pocet zmluv objednavatela]]&gt;3,SrcDB[[#This Row],[Objednavatel]],"Ostatné")</f>
        <v>Národné centrum zdravotníckych informácií, Bratislava</v>
      </c>
      <c r="AN1339" s="17" t="str">
        <f>IF(SrcDB[[#This Row],[Pocet zmluv dodavatela]]&gt;3,SrcDB[[#This Row],[Dodavatel]],"Ostatné")</f>
        <v>JUMP soft a.s.</v>
      </c>
    </row>
    <row r="1340" spans="1:40" x14ac:dyDescent="0.3">
      <c r="A1340" s="2" t="s">
        <v>1672</v>
      </c>
      <c r="B1340" s="2">
        <v>9446793</v>
      </c>
      <c r="C1340" s="3" t="str">
        <f t="shared" ref="C1340:C1394" si="1497">IF(OR(NOT(ISERROR(FIND("O DIEL",UPPER($A1340)))),NOT(ISERROR(FIND("O IMPLEM",UPPER($A1340)))))=TRUE,"Áno",IF(OR(NOT(ISERROR(FIND("PODPOR",UPPER($A1340)))),NOT(ISERROR(FIND("SLA",UPPER($A1340)))),NOT(ISERROR(FIND("SERVIS",UPPER($A1340)))))=TRUE,"Nie","Nejasné"))</f>
        <v>Nie</v>
      </c>
      <c r="D1340" s="3" t="str">
        <f t="shared" ref="D1340:D1394" si="1498">IF(OR(NOT(ISERROR(FIND("PODPOR",UPPER($A1340)))),NOT(ISERROR(FIND("SLA",UPPER($A1340)))),NOT(ISERROR(FIND("SERVIS",UPPER($A1340)))))=TRUE,"Áno",IF(OR(NOT(ISERROR(FIND("O DIEL",UPPER($A1340)))),NOT(ISERROR(FIND("O IMPLEM",UPPER($A1340)))))=TRUE,"Nie","Nejasné"))</f>
        <v>Áno</v>
      </c>
      <c r="E1340" s="3" t="s">
        <v>48</v>
      </c>
      <c r="F1340" s="3" t="s">
        <v>49</v>
      </c>
      <c r="G1340" s="2" t="str">
        <f t="shared" ref="G1340:G1394" si="1499">IF($O1340&gt;=8000000,"Veľké zmluvy",IF($O1340&gt;=1000000,"Stredné zmluvy","Malé zmluvy"))</f>
        <v>Stredné zmluvy</v>
      </c>
      <c r="H1340" s="5">
        <v>42499500</v>
      </c>
      <c r="I1340" s="2" t="s">
        <v>464</v>
      </c>
      <c r="J1340" s="2" t="s">
        <v>465</v>
      </c>
      <c r="K1340" s="5">
        <v>31385401</v>
      </c>
      <c r="L1340" s="2" t="s">
        <v>142</v>
      </c>
      <c r="M1340" s="2" t="s">
        <v>1673</v>
      </c>
      <c r="N1340" s="6">
        <v>45470</v>
      </c>
      <c r="O1340" s="4">
        <v>3877982.4</v>
      </c>
      <c r="P1340" s="2">
        <v>114725</v>
      </c>
      <c r="Q1340" s="2" t="s">
        <v>1674</v>
      </c>
      <c r="R1340" s="2" t="s">
        <v>1675</v>
      </c>
      <c r="S1340" s="2" t="s">
        <v>100</v>
      </c>
      <c r="T1340" s="2" t="s">
        <v>1235</v>
      </c>
      <c r="W1340" s="4">
        <v>517</v>
      </c>
      <c r="X1340" s="4">
        <f>SrcDB[[#This Row],[Cena bez DPH]]*1.2</f>
        <v>620.4</v>
      </c>
      <c r="Y1340" s="4">
        <f t="shared" ref="Y1340" si="1500">INDEX(InternalRates,MATCH($S1340,InternalRates01,FALSE),2)</f>
        <v>278.98333333333335</v>
      </c>
      <c r="Z1340" s="3" t="str">
        <f>IF(W1340&gt;0,IF(Y1340&gt;W1340,"Áno","Nie"),"Nie")</f>
        <v>Nie</v>
      </c>
      <c r="AA1340" s="3" t="str">
        <f>IF(E1340="Nie","SLA",IF(F1340="Nie","ZoD","SLA+ZoD"))</f>
        <v>SLA</v>
      </c>
      <c r="AD1340" s="3" t="s">
        <v>48</v>
      </c>
      <c r="AE1340" s="6">
        <v>45682</v>
      </c>
      <c r="AF1340" s="3" t="s">
        <v>59</v>
      </c>
      <c r="AG1340" s="3" t="s">
        <v>60</v>
      </c>
      <c r="AH1340" s="3">
        <f>YEAR(SrcDB[[#This Row],[Datum_zverejnenia]])</f>
        <v>2024</v>
      </c>
      <c r="AI1340" s="3" cm="1">
        <f t="array" ref="AI1340">COUNT(_xlfn.UNIQUE(_xlfn._xlws.FILTER(SrcDB[ID],SrcDB[Objednavatel_ICO]=$H1340)))</f>
        <v>25</v>
      </c>
      <c r="AJ1340" s="3" cm="1">
        <f t="array" ref="AJ1340">COUNT(_xlfn.UNIQUE(_xlfn._xlws.FILTER(SrcDB[ID],SrcDB[Dodavatel_ICO]=$K1340)))</f>
        <v>14</v>
      </c>
      <c r="AK1340" s="3">
        <f t="shared" si="1429"/>
        <v>1</v>
      </c>
      <c r="AL1340" s="3">
        <f t="shared" si="1430"/>
        <v>1</v>
      </c>
      <c r="AM1340" s="17" t="str">
        <f>IF(SrcDB[[#This Row],[Pocet zmluv objednavatela]]&gt;3,SrcDB[[#This Row],[Objednavatel]],"Ostatné")</f>
        <v>Finančné riaditeľstvo SR</v>
      </c>
      <c r="AN1340" s="17" t="str">
        <f>IF(SrcDB[[#This Row],[Pocet zmluv dodavatela]]&gt;3,SrcDB[[#This Row],[Dodavatel]],"Ostatné")</f>
        <v>DITEC, a.s.</v>
      </c>
    </row>
    <row r="1341" spans="1:40" x14ac:dyDescent="0.3">
      <c r="A1341" s="2" t="s">
        <v>1672</v>
      </c>
      <c r="B1341" s="2">
        <v>9446793</v>
      </c>
      <c r="C1341" s="3" t="str">
        <f t="shared" si="1497"/>
        <v>Nie</v>
      </c>
      <c r="D1341" s="3" t="str">
        <f t="shared" si="1498"/>
        <v>Áno</v>
      </c>
      <c r="E1341" s="3" t="s">
        <v>48</v>
      </c>
      <c r="F1341" s="3" t="s">
        <v>49</v>
      </c>
      <c r="G1341" s="2" t="str">
        <f t="shared" si="1499"/>
        <v>Stredné zmluvy</v>
      </c>
      <c r="H1341" s="5">
        <v>42499500</v>
      </c>
      <c r="I1341" s="2" t="s">
        <v>464</v>
      </c>
      <c r="J1341" s="2" t="s">
        <v>465</v>
      </c>
      <c r="K1341" s="5">
        <v>31385401</v>
      </c>
      <c r="L1341" s="2" t="s">
        <v>142</v>
      </c>
      <c r="M1341" s="2" t="s">
        <v>1673</v>
      </c>
      <c r="N1341" s="6">
        <v>45470</v>
      </c>
      <c r="O1341" s="4">
        <v>3877982.4</v>
      </c>
      <c r="P1341" s="2">
        <v>114725</v>
      </c>
      <c r="Q1341" s="2" t="s">
        <v>1674</v>
      </c>
      <c r="R1341" s="2" t="s">
        <v>1675</v>
      </c>
      <c r="S1341" s="2" t="s">
        <v>160</v>
      </c>
      <c r="T1341" s="2" t="s">
        <v>1236</v>
      </c>
      <c r="W1341" s="4">
        <v>583</v>
      </c>
      <c r="X1341" s="4">
        <f>SrcDB[[#This Row],[Cena bez DPH]]*1.2</f>
        <v>699.6</v>
      </c>
      <c r="Y1341" s="4">
        <f t="shared" ref="Y1341" si="1501">INDEX(InternalRates,MATCH($S1341,InternalRates01,FALSE),2)</f>
        <v>231.85833333333335</v>
      </c>
      <c r="Z1341" s="3" t="str">
        <f t="shared" ref="Z1341:Z1375" si="1502">IF(W1341&gt;0,IF(Y1341&gt;W1341,"Áno","Nie"),"Nie")</f>
        <v>Nie</v>
      </c>
      <c r="AA1341" s="3" t="str">
        <f t="shared" ref="AA1341:AA1375" si="1503">IF(E1341="Nie","SLA",IF(F1341="Nie","ZoD","SLA+ZoD"))</f>
        <v>SLA</v>
      </c>
      <c r="AD1341" s="3" t="s">
        <v>48</v>
      </c>
      <c r="AE1341" s="6">
        <v>45682</v>
      </c>
      <c r="AF1341" s="3" t="s">
        <v>59</v>
      </c>
      <c r="AG1341" s="3" t="s">
        <v>60</v>
      </c>
      <c r="AH1341" s="3">
        <f>YEAR(SrcDB[[#This Row],[Datum_zverejnenia]])</f>
        <v>2024</v>
      </c>
      <c r="AI1341" s="3" cm="1">
        <f t="array" ref="AI1341">COUNT(_xlfn.UNIQUE(_xlfn._xlws.FILTER(SrcDB[ID],SrcDB[Objednavatel_ICO]=$H1341)))</f>
        <v>25</v>
      </c>
      <c r="AJ1341" s="3" cm="1">
        <f t="array" ref="AJ1341">COUNT(_xlfn.UNIQUE(_xlfn._xlws.FILTER(SrcDB[ID],SrcDB[Dodavatel_ICO]=$K1341)))</f>
        <v>14</v>
      </c>
      <c r="AK1341" s="3">
        <f t="shared" si="1429"/>
        <v>0</v>
      </c>
      <c r="AL1341" s="3">
        <f t="shared" si="1430"/>
        <v>0</v>
      </c>
      <c r="AM1341" s="17" t="str">
        <f>IF(SrcDB[[#This Row],[Pocet zmluv objednavatela]]&gt;3,SrcDB[[#This Row],[Objednavatel]],"Ostatné")</f>
        <v>Finančné riaditeľstvo SR</v>
      </c>
      <c r="AN1341" s="17" t="str">
        <f>IF(SrcDB[[#This Row],[Pocet zmluv dodavatela]]&gt;3,SrcDB[[#This Row],[Dodavatel]],"Ostatné")</f>
        <v>DITEC, a.s.</v>
      </c>
    </row>
    <row r="1342" spans="1:40" x14ac:dyDescent="0.3">
      <c r="A1342" s="2" t="s">
        <v>1672</v>
      </c>
      <c r="B1342" s="2">
        <v>9446793</v>
      </c>
      <c r="C1342" s="3" t="str">
        <f t="shared" si="1497"/>
        <v>Nie</v>
      </c>
      <c r="D1342" s="3" t="str">
        <f t="shared" si="1498"/>
        <v>Áno</v>
      </c>
      <c r="E1342" s="3" t="s">
        <v>48</v>
      </c>
      <c r="F1342" s="3" t="s">
        <v>49</v>
      </c>
      <c r="G1342" s="2" t="str">
        <f t="shared" si="1499"/>
        <v>Stredné zmluvy</v>
      </c>
      <c r="H1342" s="5">
        <v>42499500</v>
      </c>
      <c r="I1342" s="2" t="s">
        <v>464</v>
      </c>
      <c r="J1342" s="2" t="s">
        <v>465</v>
      </c>
      <c r="K1342" s="5">
        <v>31385401</v>
      </c>
      <c r="L1342" s="2" t="s">
        <v>142</v>
      </c>
      <c r="M1342" s="2" t="s">
        <v>1673</v>
      </c>
      <c r="N1342" s="6">
        <v>45470</v>
      </c>
      <c r="O1342" s="4">
        <v>3877982.4</v>
      </c>
      <c r="P1342" s="2">
        <v>114725</v>
      </c>
      <c r="Q1342" s="2" t="s">
        <v>1674</v>
      </c>
      <c r="R1342" s="2" t="s">
        <v>1675</v>
      </c>
      <c r="S1342" s="2" t="s">
        <v>56</v>
      </c>
      <c r="T1342" s="2" t="s">
        <v>1676</v>
      </c>
      <c r="U1342" s="2" t="s">
        <v>129</v>
      </c>
      <c r="W1342" s="4">
        <v>688</v>
      </c>
      <c r="X1342" s="4">
        <f>SrcDB[[#This Row],[Cena bez DPH]]*1.2</f>
        <v>825.6</v>
      </c>
      <c r="Y1342" s="4">
        <f t="shared" ref="Y1342" si="1504">INDEX(InternalRates,MATCH($S1342,InternalRates01,FALSE),2)</f>
        <v>278.98333333333335</v>
      </c>
      <c r="Z1342" s="3" t="str">
        <f t="shared" si="1502"/>
        <v>Nie</v>
      </c>
      <c r="AA1342" s="3" t="str">
        <f t="shared" si="1503"/>
        <v>SLA</v>
      </c>
      <c r="AD1342" s="3" t="s">
        <v>48</v>
      </c>
      <c r="AE1342" s="6">
        <v>45682</v>
      </c>
      <c r="AF1342" s="3" t="s">
        <v>639</v>
      </c>
      <c r="AG1342" s="3" t="s">
        <v>60</v>
      </c>
      <c r="AH1342" s="3">
        <f>YEAR(SrcDB[[#This Row],[Datum_zverejnenia]])</f>
        <v>2024</v>
      </c>
      <c r="AI1342" s="3" cm="1">
        <f t="array" ref="AI1342">COUNT(_xlfn.UNIQUE(_xlfn._xlws.FILTER(SrcDB[ID],SrcDB[Objednavatel_ICO]=$H1342)))</f>
        <v>25</v>
      </c>
      <c r="AJ1342" s="3" cm="1">
        <f t="array" ref="AJ1342">COUNT(_xlfn.UNIQUE(_xlfn._xlws.FILTER(SrcDB[ID],SrcDB[Dodavatel_ICO]=$K1342)))</f>
        <v>14</v>
      </c>
      <c r="AK1342" s="3">
        <f t="shared" ref="AK1342:AK1394" si="1505">IF($H1341&lt;&gt;$H1342,1,IF($B1341&lt;&gt;$B1342,1,0))</f>
        <v>0</v>
      </c>
      <c r="AL1342" s="3">
        <f t="shared" ref="AL1342:AL1394" si="1506">IF($K1341&lt;&gt;$K1342,1,IF($B1341&lt;&gt;$B1342,1,0))</f>
        <v>0</v>
      </c>
      <c r="AM1342" s="17" t="str">
        <f>IF(SrcDB[[#This Row],[Pocet zmluv objednavatela]]&gt;3,SrcDB[[#This Row],[Objednavatel]],"Ostatné")</f>
        <v>Finančné riaditeľstvo SR</v>
      </c>
      <c r="AN1342" s="17" t="str">
        <f>IF(SrcDB[[#This Row],[Pocet zmluv dodavatela]]&gt;3,SrcDB[[#This Row],[Dodavatel]],"Ostatné")</f>
        <v>DITEC, a.s.</v>
      </c>
    </row>
    <row r="1343" spans="1:40" x14ac:dyDescent="0.3">
      <c r="A1343" s="2" t="s">
        <v>1672</v>
      </c>
      <c r="B1343" s="2">
        <v>9446793</v>
      </c>
      <c r="C1343" s="3" t="str">
        <f t="shared" si="1497"/>
        <v>Nie</v>
      </c>
      <c r="D1343" s="3" t="str">
        <f t="shared" si="1498"/>
        <v>Áno</v>
      </c>
      <c r="E1343" s="3" t="s">
        <v>48</v>
      </c>
      <c r="F1343" s="3" t="s">
        <v>49</v>
      </c>
      <c r="G1343" s="2" t="str">
        <f t="shared" si="1499"/>
        <v>Stredné zmluvy</v>
      </c>
      <c r="H1343" s="5">
        <v>42499500</v>
      </c>
      <c r="I1343" s="2" t="s">
        <v>464</v>
      </c>
      <c r="J1343" s="2" t="s">
        <v>465</v>
      </c>
      <c r="K1343" s="5">
        <v>31385401</v>
      </c>
      <c r="L1343" s="2" t="s">
        <v>142</v>
      </c>
      <c r="M1343" s="2" t="s">
        <v>1673</v>
      </c>
      <c r="N1343" s="6">
        <v>45470</v>
      </c>
      <c r="O1343" s="4">
        <v>3877982.4</v>
      </c>
      <c r="P1343" s="2">
        <v>114725</v>
      </c>
      <c r="Q1343" s="2" t="s">
        <v>1674</v>
      </c>
      <c r="R1343" s="2" t="s">
        <v>1675</v>
      </c>
      <c r="S1343" s="2" t="s">
        <v>56</v>
      </c>
      <c r="T1343" s="2" t="s">
        <v>458</v>
      </c>
      <c r="U1343" s="2" t="s">
        <v>129</v>
      </c>
      <c r="W1343" s="4">
        <v>764</v>
      </c>
      <c r="X1343" s="4">
        <f>SrcDB[[#This Row],[Cena bez DPH]]*1.2</f>
        <v>916.8</v>
      </c>
      <c r="Y1343" s="4">
        <f t="shared" ref="Y1343" si="1507">INDEX(InternalRates,MATCH($S1343,InternalRates01,FALSE),2)</f>
        <v>278.98333333333335</v>
      </c>
      <c r="Z1343" s="3" t="str">
        <f t="shared" si="1502"/>
        <v>Nie</v>
      </c>
      <c r="AA1343" s="3" t="str">
        <f t="shared" si="1503"/>
        <v>SLA</v>
      </c>
      <c r="AD1343" s="3" t="s">
        <v>48</v>
      </c>
      <c r="AE1343" s="6">
        <v>45682</v>
      </c>
      <c r="AF1343" s="3" t="s">
        <v>1677</v>
      </c>
      <c r="AG1343" s="3" t="s">
        <v>60</v>
      </c>
      <c r="AH1343" s="3">
        <f>YEAR(SrcDB[[#This Row],[Datum_zverejnenia]])</f>
        <v>2024</v>
      </c>
      <c r="AI1343" s="3" cm="1">
        <f t="array" ref="AI1343">COUNT(_xlfn.UNIQUE(_xlfn._xlws.FILTER(SrcDB[ID],SrcDB[Objednavatel_ICO]=$H1343)))</f>
        <v>25</v>
      </c>
      <c r="AJ1343" s="3" cm="1">
        <f t="array" ref="AJ1343">COUNT(_xlfn.UNIQUE(_xlfn._xlws.FILTER(SrcDB[ID],SrcDB[Dodavatel_ICO]=$K1343)))</f>
        <v>14</v>
      </c>
      <c r="AK1343" s="3">
        <f t="shared" si="1505"/>
        <v>0</v>
      </c>
      <c r="AL1343" s="3">
        <f t="shared" si="1506"/>
        <v>0</v>
      </c>
      <c r="AM1343" s="17" t="str">
        <f>IF(SrcDB[[#This Row],[Pocet zmluv objednavatela]]&gt;3,SrcDB[[#This Row],[Objednavatel]],"Ostatné")</f>
        <v>Finančné riaditeľstvo SR</v>
      </c>
      <c r="AN1343" s="17" t="str">
        <f>IF(SrcDB[[#This Row],[Pocet zmluv dodavatela]]&gt;3,SrcDB[[#This Row],[Dodavatel]],"Ostatné")</f>
        <v>DITEC, a.s.</v>
      </c>
    </row>
    <row r="1344" spans="1:40" x14ac:dyDescent="0.3">
      <c r="A1344" s="2" t="s">
        <v>1672</v>
      </c>
      <c r="B1344" s="2">
        <v>9446793</v>
      </c>
      <c r="C1344" s="3" t="str">
        <f t="shared" si="1497"/>
        <v>Nie</v>
      </c>
      <c r="D1344" s="3" t="str">
        <f t="shared" si="1498"/>
        <v>Áno</v>
      </c>
      <c r="E1344" s="3" t="s">
        <v>48</v>
      </c>
      <c r="F1344" s="3" t="s">
        <v>49</v>
      </c>
      <c r="G1344" s="2" t="str">
        <f t="shared" si="1499"/>
        <v>Stredné zmluvy</v>
      </c>
      <c r="H1344" s="5">
        <v>42499500</v>
      </c>
      <c r="I1344" s="2" t="s">
        <v>464</v>
      </c>
      <c r="J1344" s="2" t="s">
        <v>465</v>
      </c>
      <c r="K1344" s="5">
        <v>31385401</v>
      </c>
      <c r="L1344" s="2" t="s">
        <v>142</v>
      </c>
      <c r="M1344" s="2" t="s">
        <v>1673</v>
      </c>
      <c r="N1344" s="6">
        <v>45470</v>
      </c>
      <c r="O1344" s="4">
        <v>3877982.4</v>
      </c>
      <c r="P1344" s="2">
        <v>114725</v>
      </c>
      <c r="Q1344" s="2" t="s">
        <v>1674</v>
      </c>
      <c r="R1344" s="2" t="s">
        <v>1675</v>
      </c>
      <c r="S1344" s="2" t="s">
        <v>56</v>
      </c>
      <c r="T1344" s="2" t="s">
        <v>1678</v>
      </c>
      <c r="U1344" s="2" t="s">
        <v>129</v>
      </c>
      <c r="W1344" s="4">
        <v>793</v>
      </c>
      <c r="X1344" s="4">
        <f>SrcDB[[#This Row],[Cena bez DPH]]*1.2</f>
        <v>951.59999999999991</v>
      </c>
      <c r="Y1344" s="4">
        <f t="shared" ref="Y1344" si="1508">INDEX(InternalRates,MATCH($S1344,InternalRates01,FALSE),2)</f>
        <v>278.98333333333335</v>
      </c>
      <c r="Z1344" s="3" t="str">
        <f t="shared" si="1502"/>
        <v>Nie</v>
      </c>
      <c r="AA1344" s="3" t="str">
        <f t="shared" si="1503"/>
        <v>SLA</v>
      </c>
      <c r="AD1344" s="3" t="s">
        <v>48</v>
      </c>
      <c r="AE1344" s="6">
        <v>45682</v>
      </c>
      <c r="AF1344" s="3" t="s">
        <v>638</v>
      </c>
      <c r="AG1344" s="3" t="s">
        <v>60</v>
      </c>
      <c r="AH1344" s="3">
        <f>YEAR(SrcDB[[#This Row],[Datum_zverejnenia]])</f>
        <v>2024</v>
      </c>
      <c r="AI1344" s="3" cm="1">
        <f t="array" ref="AI1344">COUNT(_xlfn.UNIQUE(_xlfn._xlws.FILTER(SrcDB[ID],SrcDB[Objednavatel_ICO]=$H1344)))</f>
        <v>25</v>
      </c>
      <c r="AJ1344" s="3" cm="1">
        <f t="array" ref="AJ1344">COUNT(_xlfn.UNIQUE(_xlfn._xlws.FILTER(SrcDB[ID],SrcDB[Dodavatel_ICO]=$K1344)))</f>
        <v>14</v>
      </c>
      <c r="AK1344" s="3">
        <f t="shared" si="1505"/>
        <v>0</v>
      </c>
      <c r="AL1344" s="3">
        <f t="shared" si="1506"/>
        <v>0</v>
      </c>
      <c r="AM1344" s="17" t="str">
        <f>IF(SrcDB[[#This Row],[Pocet zmluv objednavatela]]&gt;3,SrcDB[[#This Row],[Objednavatel]],"Ostatné")</f>
        <v>Finančné riaditeľstvo SR</v>
      </c>
      <c r="AN1344" s="17" t="str">
        <f>IF(SrcDB[[#This Row],[Pocet zmluv dodavatela]]&gt;3,SrcDB[[#This Row],[Dodavatel]],"Ostatné")</f>
        <v>DITEC, a.s.</v>
      </c>
    </row>
    <row r="1345" spans="1:40" x14ac:dyDescent="0.3">
      <c r="A1345" s="2" t="s">
        <v>1672</v>
      </c>
      <c r="B1345" s="2">
        <v>9446793</v>
      </c>
      <c r="C1345" s="3" t="str">
        <f t="shared" si="1497"/>
        <v>Nie</v>
      </c>
      <c r="D1345" s="3" t="str">
        <f t="shared" si="1498"/>
        <v>Áno</v>
      </c>
      <c r="E1345" s="3" t="s">
        <v>48</v>
      </c>
      <c r="F1345" s="3" t="s">
        <v>49</v>
      </c>
      <c r="G1345" s="2" t="str">
        <f t="shared" si="1499"/>
        <v>Stredné zmluvy</v>
      </c>
      <c r="H1345" s="5">
        <v>42499500</v>
      </c>
      <c r="I1345" s="2" t="s">
        <v>464</v>
      </c>
      <c r="J1345" s="2" t="s">
        <v>465</v>
      </c>
      <c r="K1345" s="5">
        <v>31385401</v>
      </c>
      <c r="L1345" s="2" t="s">
        <v>142</v>
      </c>
      <c r="M1345" s="2" t="s">
        <v>1673</v>
      </c>
      <c r="N1345" s="6">
        <v>45470</v>
      </c>
      <c r="O1345" s="4">
        <v>3877982.4</v>
      </c>
      <c r="P1345" s="2">
        <v>114725</v>
      </c>
      <c r="Q1345" s="2" t="s">
        <v>1674</v>
      </c>
      <c r="R1345" s="2" t="s">
        <v>1675</v>
      </c>
      <c r="S1345" s="2" t="s">
        <v>77</v>
      </c>
      <c r="T1345" s="2" t="s">
        <v>77</v>
      </c>
      <c r="W1345" s="4">
        <v>669</v>
      </c>
      <c r="X1345" s="4">
        <f>SrcDB[[#This Row],[Cena bez DPH]]*1.2</f>
        <v>802.8</v>
      </c>
      <c r="Y1345" s="4">
        <f t="shared" ref="Y1345" si="1509">INDEX(InternalRates,MATCH($S1345,InternalRates01,FALSE),2)</f>
        <v>278.98333333333335</v>
      </c>
      <c r="Z1345" s="3" t="str">
        <f t="shared" si="1502"/>
        <v>Nie</v>
      </c>
      <c r="AA1345" s="3" t="str">
        <f t="shared" si="1503"/>
        <v>SLA</v>
      </c>
      <c r="AD1345" s="3" t="s">
        <v>48</v>
      </c>
      <c r="AE1345" s="6">
        <v>45682</v>
      </c>
      <c r="AF1345" s="3" t="s">
        <v>59</v>
      </c>
      <c r="AG1345" s="3" t="s">
        <v>60</v>
      </c>
      <c r="AH1345" s="3">
        <f>YEAR(SrcDB[[#This Row],[Datum_zverejnenia]])</f>
        <v>2024</v>
      </c>
      <c r="AI1345" s="3" cm="1">
        <f t="array" ref="AI1345">COUNT(_xlfn.UNIQUE(_xlfn._xlws.FILTER(SrcDB[ID],SrcDB[Objednavatel_ICO]=$H1345)))</f>
        <v>25</v>
      </c>
      <c r="AJ1345" s="3" cm="1">
        <f t="array" ref="AJ1345">COUNT(_xlfn.UNIQUE(_xlfn._xlws.FILTER(SrcDB[ID],SrcDB[Dodavatel_ICO]=$K1345)))</f>
        <v>14</v>
      </c>
      <c r="AK1345" s="3">
        <f t="shared" si="1505"/>
        <v>0</v>
      </c>
      <c r="AL1345" s="3">
        <f t="shared" si="1506"/>
        <v>0</v>
      </c>
      <c r="AM1345" s="17" t="str">
        <f>IF(SrcDB[[#This Row],[Pocet zmluv objednavatela]]&gt;3,SrcDB[[#This Row],[Objednavatel]],"Ostatné")</f>
        <v>Finančné riaditeľstvo SR</v>
      </c>
      <c r="AN1345" s="17" t="str">
        <f>IF(SrcDB[[#This Row],[Pocet zmluv dodavatela]]&gt;3,SrcDB[[#This Row],[Dodavatel]],"Ostatné")</f>
        <v>DITEC, a.s.</v>
      </c>
    </row>
    <row r="1346" spans="1:40" x14ac:dyDescent="0.3">
      <c r="A1346" s="2" t="s">
        <v>1672</v>
      </c>
      <c r="B1346" s="2">
        <v>9446793</v>
      </c>
      <c r="C1346" s="3" t="str">
        <f t="shared" si="1497"/>
        <v>Nie</v>
      </c>
      <c r="D1346" s="3" t="str">
        <f t="shared" si="1498"/>
        <v>Áno</v>
      </c>
      <c r="E1346" s="3" t="s">
        <v>48</v>
      </c>
      <c r="F1346" s="3" t="s">
        <v>49</v>
      </c>
      <c r="G1346" s="2" t="str">
        <f t="shared" si="1499"/>
        <v>Stredné zmluvy</v>
      </c>
      <c r="H1346" s="5">
        <v>42499500</v>
      </c>
      <c r="I1346" s="2" t="s">
        <v>464</v>
      </c>
      <c r="J1346" s="2" t="s">
        <v>465</v>
      </c>
      <c r="K1346" s="5">
        <v>31385401</v>
      </c>
      <c r="L1346" s="2" t="s">
        <v>142</v>
      </c>
      <c r="M1346" s="2" t="s">
        <v>1673</v>
      </c>
      <c r="N1346" s="6">
        <v>45470</v>
      </c>
      <c r="O1346" s="4">
        <v>3877982.4</v>
      </c>
      <c r="P1346" s="2">
        <v>114725</v>
      </c>
      <c r="Q1346" s="2" t="s">
        <v>1674</v>
      </c>
      <c r="R1346" s="2" t="s">
        <v>1675</v>
      </c>
      <c r="S1346" s="2" t="s">
        <v>100</v>
      </c>
      <c r="T1346" s="2" t="s">
        <v>333</v>
      </c>
      <c r="W1346" s="4">
        <v>630</v>
      </c>
      <c r="X1346" s="4">
        <f>SrcDB[[#This Row],[Cena bez DPH]]*1.2</f>
        <v>756</v>
      </c>
      <c r="Y1346" s="4">
        <f t="shared" ref="Y1346" si="1510">INDEX(InternalRates,MATCH($S1346,InternalRates01,FALSE),2)</f>
        <v>278.98333333333335</v>
      </c>
      <c r="Z1346" s="3" t="str">
        <f t="shared" si="1502"/>
        <v>Nie</v>
      </c>
      <c r="AA1346" s="3" t="str">
        <f t="shared" si="1503"/>
        <v>SLA</v>
      </c>
      <c r="AD1346" s="3" t="s">
        <v>48</v>
      </c>
      <c r="AE1346" s="6">
        <v>45682</v>
      </c>
      <c r="AF1346" s="3" t="s">
        <v>59</v>
      </c>
      <c r="AG1346" s="3" t="s">
        <v>60</v>
      </c>
      <c r="AH1346" s="3">
        <f>YEAR(SrcDB[[#This Row],[Datum_zverejnenia]])</f>
        <v>2024</v>
      </c>
      <c r="AI1346" s="3" cm="1">
        <f t="array" ref="AI1346">COUNT(_xlfn.UNIQUE(_xlfn._xlws.FILTER(SrcDB[ID],SrcDB[Objednavatel_ICO]=$H1346)))</f>
        <v>25</v>
      </c>
      <c r="AJ1346" s="3" cm="1">
        <f t="array" ref="AJ1346">COUNT(_xlfn.UNIQUE(_xlfn._xlws.FILTER(SrcDB[ID],SrcDB[Dodavatel_ICO]=$K1346)))</f>
        <v>14</v>
      </c>
      <c r="AK1346" s="3">
        <f t="shared" si="1505"/>
        <v>0</v>
      </c>
      <c r="AL1346" s="3">
        <f t="shared" si="1506"/>
        <v>0</v>
      </c>
      <c r="AM1346" s="17" t="str">
        <f>IF(SrcDB[[#This Row],[Pocet zmluv objednavatela]]&gt;3,SrcDB[[#This Row],[Objednavatel]],"Ostatné")</f>
        <v>Finančné riaditeľstvo SR</v>
      </c>
      <c r="AN1346" s="17" t="str">
        <f>IF(SrcDB[[#This Row],[Pocet zmluv dodavatela]]&gt;3,SrcDB[[#This Row],[Dodavatel]],"Ostatné")</f>
        <v>DITEC, a.s.</v>
      </c>
    </row>
    <row r="1347" spans="1:40" x14ac:dyDescent="0.3">
      <c r="A1347" s="2" t="s">
        <v>1672</v>
      </c>
      <c r="B1347" s="2">
        <v>9446793</v>
      </c>
      <c r="C1347" s="3" t="str">
        <f t="shared" si="1497"/>
        <v>Nie</v>
      </c>
      <c r="D1347" s="3" t="str">
        <f t="shared" si="1498"/>
        <v>Áno</v>
      </c>
      <c r="E1347" s="3" t="s">
        <v>48</v>
      </c>
      <c r="F1347" s="3" t="s">
        <v>49</v>
      </c>
      <c r="G1347" s="2" t="str">
        <f t="shared" si="1499"/>
        <v>Stredné zmluvy</v>
      </c>
      <c r="H1347" s="5">
        <v>42499500</v>
      </c>
      <c r="I1347" s="2" t="s">
        <v>464</v>
      </c>
      <c r="J1347" s="2" t="s">
        <v>465</v>
      </c>
      <c r="K1347" s="5">
        <v>31385401</v>
      </c>
      <c r="L1347" s="2" t="s">
        <v>142</v>
      </c>
      <c r="M1347" s="2" t="s">
        <v>1673</v>
      </c>
      <c r="N1347" s="6">
        <v>45470</v>
      </c>
      <c r="O1347" s="4">
        <v>3877982.4</v>
      </c>
      <c r="P1347" s="2">
        <v>114725</v>
      </c>
      <c r="Q1347" s="2" t="s">
        <v>1674</v>
      </c>
      <c r="R1347" s="2" t="s">
        <v>1675</v>
      </c>
      <c r="S1347" s="2" t="s">
        <v>69</v>
      </c>
      <c r="T1347" s="2" t="s">
        <v>70</v>
      </c>
      <c r="W1347" s="4">
        <v>828</v>
      </c>
      <c r="X1347" s="4">
        <f>SrcDB[[#This Row],[Cena bez DPH]]*1.2</f>
        <v>993.59999999999991</v>
      </c>
      <c r="Y1347" s="4">
        <f t="shared" ref="Y1347" si="1511">INDEX(InternalRates,MATCH($S1347,InternalRates01,FALSE),2)</f>
        <v>278.98333333333335</v>
      </c>
      <c r="Z1347" s="3" t="str">
        <f t="shared" si="1502"/>
        <v>Nie</v>
      </c>
      <c r="AA1347" s="3" t="str">
        <f t="shared" si="1503"/>
        <v>SLA</v>
      </c>
      <c r="AD1347" s="3" t="s">
        <v>48</v>
      </c>
      <c r="AE1347" s="6">
        <v>45682</v>
      </c>
      <c r="AF1347" s="3" t="s">
        <v>59</v>
      </c>
      <c r="AG1347" s="3" t="s">
        <v>60</v>
      </c>
      <c r="AH1347" s="3">
        <f>YEAR(SrcDB[[#This Row],[Datum_zverejnenia]])</f>
        <v>2024</v>
      </c>
      <c r="AI1347" s="3" cm="1">
        <f t="array" ref="AI1347">COUNT(_xlfn.UNIQUE(_xlfn._xlws.FILTER(SrcDB[ID],SrcDB[Objednavatel_ICO]=$H1347)))</f>
        <v>25</v>
      </c>
      <c r="AJ1347" s="3" cm="1">
        <f t="array" ref="AJ1347">COUNT(_xlfn.UNIQUE(_xlfn._xlws.FILTER(SrcDB[ID],SrcDB[Dodavatel_ICO]=$K1347)))</f>
        <v>14</v>
      </c>
      <c r="AK1347" s="3">
        <f t="shared" si="1505"/>
        <v>0</v>
      </c>
      <c r="AL1347" s="3">
        <f t="shared" si="1506"/>
        <v>0</v>
      </c>
      <c r="AM1347" s="17" t="str">
        <f>IF(SrcDB[[#This Row],[Pocet zmluv objednavatela]]&gt;3,SrcDB[[#This Row],[Objednavatel]],"Ostatné")</f>
        <v>Finančné riaditeľstvo SR</v>
      </c>
      <c r="AN1347" s="17" t="str">
        <f>IF(SrcDB[[#This Row],[Pocet zmluv dodavatela]]&gt;3,SrcDB[[#This Row],[Dodavatel]],"Ostatné")</f>
        <v>DITEC, a.s.</v>
      </c>
    </row>
    <row r="1348" spans="1:40" x14ac:dyDescent="0.3">
      <c r="A1348" s="2" t="s">
        <v>1679</v>
      </c>
      <c r="B1348" s="2">
        <v>8853629</v>
      </c>
      <c r="C1348" s="3" t="str">
        <f t="shared" si="1497"/>
        <v>Nie</v>
      </c>
      <c r="D1348" s="3" t="str">
        <f t="shared" si="1498"/>
        <v>Áno</v>
      </c>
      <c r="E1348" s="3" t="s">
        <v>48</v>
      </c>
      <c r="F1348" s="3" t="s">
        <v>49</v>
      </c>
      <c r="G1348" s="2" t="str">
        <f t="shared" si="1499"/>
        <v>Stredné zmluvy</v>
      </c>
      <c r="H1348" s="5" t="s">
        <v>632</v>
      </c>
      <c r="I1348" s="2" t="s">
        <v>633</v>
      </c>
      <c r="J1348" s="2" t="s">
        <v>1452</v>
      </c>
      <c r="K1348" s="5" t="s">
        <v>1680</v>
      </c>
      <c r="L1348" s="2" t="s">
        <v>1681</v>
      </c>
      <c r="M1348" s="2" t="s">
        <v>1682</v>
      </c>
      <c r="N1348" s="6">
        <v>45315</v>
      </c>
      <c r="O1348" s="4">
        <v>6254073.5999999996</v>
      </c>
      <c r="P1348" s="2">
        <v>114725</v>
      </c>
      <c r="Q1348" s="2" t="s">
        <v>1683</v>
      </c>
      <c r="R1348" s="2" t="s">
        <v>1684</v>
      </c>
      <c r="S1348" s="2" t="s">
        <v>56</v>
      </c>
      <c r="T1348" s="2" t="s">
        <v>1317</v>
      </c>
      <c r="U1348" s="2" t="s">
        <v>129</v>
      </c>
      <c r="W1348" s="4">
        <v>582.69000000000005</v>
      </c>
      <c r="X1348" s="4">
        <f>SrcDB[[#This Row],[Cena bez DPH]]*1.2</f>
        <v>699.22800000000007</v>
      </c>
      <c r="Y1348" s="4">
        <f t="shared" ref="Y1348" si="1512">INDEX(InternalRates,MATCH($S1348,InternalRates01,FALSE),2)</f>
        <v>278.98333333333335</v>
      </c>
      <c r="Z1348" s="3" t="str">
        <f t="shared" si="1502"/>
        <v>Nie</v>
      </c>
      <c r="AA1348" s="3" t="str">
        <f t="shared" si="1503"/>
        <v>SLA</v>
      </c>
      <c r="AB1348" s="4">
        <v>6910</v>
      </c>
      <c r="AC1348" s="4">
        <f>SrcDB[[#This Row],[Množstvo práce]]/4</f>
        <v>1727.5</v>
      </c>
      <c r="AD1348" s="3" t="s">
        <v>48</v>
      </c>
      <c r="AE1348" s="6">
        <v>45682</v>
      </c>
      <c r="AF1348" s="3" t="s">
        <v>638</v>
      </c>
      <c r="AG1348" s="3" t="s">
        <v>49</v>
      </c>
      <c r="AH1348" s="3">
        <f>YEAR(SrcDB[[#This Row],[Datum_zverejnenia]])</f>
        <v>2024</v>
      </c>
      <c r="AI1348" s="3" cm="1">
        <f t="array" ref="AI1348">COUNT(_xlfn.UNIQUE(_xlfn._xlws.FILTER(SrcDB[ID],SrcDB[Objednavatel_ICO]=$H1348)))</f>
        <v>6</v>
      </c>
      <c r="AJ1348" s="3" cm="1">
        <f t="array" ref="AJ1348">COUNT(_xlfn.UNIQUE(_xlfn._xlws.FILTER(SrcDB[ID],SrcDB[Dodavatel_ICO]=$K1348)))</f>
        <v>2</v>
      </c>
      <c r="AK1348" s="3">
        <f t="shared" si="1505"/>
        <v>1</v>
      </c>
      <c r="AL1348" s="3">
        <f t="shared" si="1506"/>
        <v>1</v>
      </c>
      <c r="AM1348" s="17" t="str">
        <f>IF(SrcDB[[#This Row],[Pocet zmluv objednavatela]]&gt;3,SrcDB[[#This Row],[Objednavatel]],"Ostatné")</f>
        <v>Ministerstvo financií SR</v>
      </c>
      <c r="AN1348" s="17" t="str">
        <f>IF(SrcDB[[#This Row],[Pocet zmluv dodavatela]]&gt;3,SrcDB[[#This Row],[Dodavatel]],"Ostatné")</f>
        <v>Ostatné</v>
      </c>
    </row>
    <row r="1349" spans="1:40" x14ac:dyDescent="0.3">
      <c r="A1349" s="2" t="s">
        <v>1679</v>
      </c>
      <c r="B1349" s="2">
        <v>8853629</v>
      </c>
      <c r="C1349" s="3" t="str">
        <f t="shared" si="1497"/>
        <v>Nie</v>
      </c>
      <c r="D1349" s="3" t="str">
        <f t="shared" si="1498"/>
        <v>Áno</v>
      </c>
      <c r="E1349" s="3" t="s">
        <v>48</v>
      </c>
      <c r="F1349" s="3" t="s">
        <v>49</v>
      </c>
      <c r="G1349" s="2" t="str">
        <f t="shared" si="1499"/>
        <v>Stredné zmluvy</v>
      </c>
      <c r="H1349" s="5" t="s">
        <v>632</v>
      </c>
      <c r="I1349" s="2" t="s">
        <v>633</v>
      </c>
      <c r="J1349" s="2" t="s">
        <v>1452</v>
      </c>
      <c r="K1349" s="5" t="s">
        <v>1680</v>
      </c>
      <c r="L1349" s="2" t="s">
        <v>1681</v>
      </c>
      <c r="M1349" s="2" t="s">
        <v>1682</v>
      </c>
      <c r="N1349" s="6">
        <v>45315</v>
      </c>
      <c r="O1349" s="4">
        <v>6254073.5999999996</v>
      </c>
      <c r="P1349" s="2">
        <v>114725</v>
      </c>
      <c r="Q1349" s="2" t="s">
        <v>1683</v>
      </c>
      <c r="R1349" s="2" t="s">
        <v>1684</v>
      </c>
      <c r="S1349" s="2" t="s">
        <v>56</v>
      </c>
      <c r="T1349" s="2" t="s">
        <v>1318</v>
      </c>
      <c r="U1349" s="2" t="s">
        <v>129</v>
      </c>
      <c r="W1349" s="4">
        <v>313.63</v>
      </c>
      <c r="X1349" s="4">
        <f>SrcDB[[#This Row],[Cena bez DPH]]*1.2</f>
        <v>376.35599999999999</v>
      </c>
      <c r="Y1349" s="4">
        <f t="shared" ref="Y1349" si="1513">INDEX(InternalRates,MATCH($S1349,InternalRates01,FALSE),2)</f>
        <v>278.98333333333335</v>
      </c>
      <c r="Z1349" s="3" t="str">
        <f t="shared" si="1502"/>
        <v>Nie</v>
      </c>
      <c r="AA1349" s="3" t="str">
        <f t="shared" si="1503"/>
        <v>SLA</v>
      </c>
      <c r="AB1349" s="4">
        <v>2246.25</v>
      </c>
      <c r="AC1349" s="4">
        <f>SrcDB[[#This Row],[Množstvo práce]]/4</f>
        <v>561.5625</v>
      </c>
      <c r="AD1349" s="3" t="s">
        <v>48</v>
      </c>
      <c r="AE1349" s="6">
        <v>45682</v>
      </c>
      <c r="AF1349" s="3" t="s">
        <v>639</v>
      </c>
      <c r="AG1349" s="3" t="s">
        <v>49</v>
      </c>
      <c r="AH1349" s="3">
        <f>YEAR(SrcDB[[#This Row],[Datum_zverejnenia]])</f>
        <v>2024</v>
      </c>
      <c r="AI1349" s="3" cm="1">
        <f t="array" ref="AI1349">COUNT(_xlfn.UNIQUE(_xlfn._xlws.FILTER(SrcDB[ID],SrcDB[Objednavatel_ICO]=$H1349)))</f>
        <v>6</v>
      </c>
      <c r="AJ1349" s="3" cm="1">
        <f t="array" ref="AJ1349">COUNT(_xlfn.UNIQUE(_xlfn._xlws.FILTER(SrcDB[ID],SrcDB[Dodavatel_ICO]=$K1349)))</f>
        <v>2</v>
      </c>
      <c r="AK1349" s="3">
        <f t="shared" si="1505"/>
        <v>0</v>
      </c>
      <c r="AL1349" s="3">
        <f t="shared" si="1506"/>
        <v>0</v>
      </c>
      <c r="AM1349" s="17" t="str">
        <f>IF(SrcDB[[#This Row],[Pocet zmluv objednavatela]]&gt;3,SrcDB[[#This Row],[Objednavatel]],"Ostatné")</f>
        <v>Ministerstvo financií SR</v>
      </c>
      <c r="AN1349" s="17" t="str">
        <f>IF(SrcDB[[#This Row],[Pocet zmluv dodavatela]]&gt;3,SrcDB[[#This Row],[Dodavatel]],"Ostatné")</f>
        <v>Ostatné</v>
      </c>
    </row>
    <row r="1350" spans="1:40" x14ac:dyDescent="0.3">
      <c r="A1350" s="2" t="s">
        <v>1679</v>
      </c>
      <c r="B1350" s="2">
        <v>8853629</v>
      </c>
      <c r="C1350" s="3" t="str">
        <f t="shared" si="1497"/>
        <v>Nie</v>
      </c>
      <c r="D1350" s="3" t="str">
        <f t="shared" si="1498"/>
        <v>Áno</v>
      </c>
      <c r="E1350" s="3" t="s">
        <v>48</v>
      </c>
      <c r="F1350" s="3" t="s">
        <v>49</v>
      </c>
      <c r="G1350" s="2" t="str">
        <f t="shared" si="1499"/>
        <v>Stredné zmluvy</v>
      </c>
      <c r="H1350" s="5" t="s">
        <v>632</v>
      </c>
      <c r="I1350" s="2" t="s">
        <v>633</v>
      </c>
      <c r="J1350" s="2" t="s">
        <v>1452</v>
      </c>
      <c r="K1350" s="5" t="s">
        <v>1680</v>
      </c>
      <c r="L1350" s="2" t="s">
        <v>1681</v>
      </c>
      <c r="M1350" s="2" t="s">
        <v>1682</v>
      </c>
      <c r="N1350" s="6">
        <v>45315</v>
      </c>
      <c r="O1350" s="4">
        <v>6254073.5999999996</v>
      </c>
      <c r="P1350" s="2">
        <v>114725</v>
      </c>
      <c r="Q1350" s="2" t="s">
        <v>1683</v>
      </c>
      <c r="R1350" s="2" t="s">
        <v>1684</v>
      </c>
      <c r="S1350" s="2" t="s">
        <v>69</v>
      </c>
      <c r="T1350" s="2" t="s">
        <v>70</v>
      </c>
      <c r="W1350" s="4">
        <v>560</v>
      </c>
      <c r="X1350" s="4">
        <f>SrcDB[[#This Row],[Cena bez DPH]]*1.2</f>
        <v>672</v>
      </c>
      <c r="Y1350" s="4">
        <f t="shared" ref="Y1350" si="1514">INDEX(InternalRates,MATCH($S1350,InternalRates01,FALSE),2)</f>
        <v>278.98333333333335</v>
      </c>
      <c r="Z1350" s="3" t="str">
        <f t="shared" si="1502"/>
        <v>Nie</v>
      </c>
      <c r="AA1350" s="3" t="str">
        <f t="shared" si="1503"/>
        <v>SLA</v>
      </c>
      <c r="AB1350" s="4">
        <v>872</v>
      </c>
      <c r="AC1350" s="4">
        <f>SrcDB[[#This Row],[Množstvo práce]]/4</f>
        <v>218</v>
      </c>
      <c r="AD1350" s="3" t="s">
        <v>48</v>
      </c>
      <c r="AE1350" s="6">
        <v>45682</v>
      </c>
      <c r="AF1350" s="3" t="s">
        <v>59</v>
      </c>
      <c r="AG1350" s="3" t="s">
        <v>49</v>
      </c>
      <c r="AH1350" s="3">
        <f>YEAR(SrcDB[[#This Row],[Datum_zverejnenia]])</f>
        <v>2024</v>
      </c>
      <c r="AI1350" s="3" cm="1">
        <f t="array" ref="AI1350">COUNT(_xlfn.UNIQUE(_xlfn._xlws.FILTER(SrcDB[ID],SrcDB[Objednavatel_ICO]=$H1350)))</f>
        <v>6</v>
      </c>
      <c r="AJ1350" s="3" cm="1">
        <f t="array" ref="AJ1350">COUNT(_xlfn.UNIQUE(_xlfn._xlws.FILTER(SrcDB[ID],SrcDB[Dodavatel_ICO]=$K1350)))</f>
        <v>2</v>
      </c>
      <c r="AK1350" s="3">
        <f t="shared" si="1505"/>
        <v>0</v>
      </c>
      <c r="AL1350" s="3">
        <f t="shared" si="1506"/>
        <v>0</v>
      </c>
      <c r="AM1350" s="17" t="str">
        <f>IF(SrcDB[[#This Row],[Pocet zmluv objednavatela]]&gt;3,SrcDB[[#This Row],[Objednavatel]],"Ostatné")</f>
        <v>Ministerstvo financií SR</v>
      </c>
      <c r="AN1350" s="17" t="str">
        <f>IF(SrcDB[[#This Row],[Pocet zmluv dodavatela]]&gt;3,SrcDB[[#This Row],[Dodavatel]],"Ostatné")</f>
        <v>Ostatné</v>
      </c>
    </row>
    <row r="1351" spans="1:40" x14ac:dyDescent="0.3">
      <c r="A1351" s="2" t="s">
        <v>1679</v>
      </c>
      <c r="B1351" s="2">
        <v>8853629</v>
      </c>
      <c r="C1351" s="3" t="str">
        <f t="shared" si="1497"/>
        <v>Nie</v>
      </c>
      <c r="D1351" s="3" t="str">
        <f t="shared" si="1498"/>
        <v>Áno</v>
      </c>
      <c r="E1351" s="3" t="s">
        <v>48</v>
      </c>
      <c r="F1351" s="3" t="s">
        <v>49</v>
      </c>
      <c r="G1351" s="2" t="str">
        <f t="shared" si="1499"/>
        <v>Stredné zmluvy</v>
      </c>
      <c r="H1351" s="5" t="s">
        <v>632</v>
      </c>
      <c r="I1351" s="2" t="s">
        <v>633</v>
      </c>
      <c r="J1351" s="2" t="s">
        <v>1452</v>
      </c>
      <c r="K1351" s="5" t="s">
        <v>1680</v>
      </c>
      <c r="L1351" s="2" t="s">
        <v>1681</v>
      </c>
      <c r="M1351" s="2" t="s">
        <v>1682</v>
      </c>
      <c r="N1351" s="6">
        <v>45315</v>
      </c>
      <c r="O1351" s="4">
        <v>6254073.5999999996</v>
      </c>
      <c r="P1351" s="2">
        <v>114725</v>
      </c>
      <c r="Q1351" s="2" t="s">
        <v>1683</v>
      </c>
      <c r="R1351" s="2" t="s">
        <v>1684</v>
      </c>
      <c r="S1351" s="2" t="s">
        <v>162</v>
      </c>
      <c r="T1351" s="2" t="s">
        <v>162</v>
      </c>
      <c r="W1351" s="4">
        <v>392</v>
      </c>
      <c r="X1351" s="4">
        <f>SrcDB[[#This Row],[Cena bez DPH]]*1.2</f>
        <v>470.4</v>
      </c>
      <c r="Y1351" s="4">
        <f t="shared" ref="Y1351" si="1515">INDEX(InternalRates,MATCH($S1351,InternalRates01,FALSE),2)</f>
        <v>231.85833333333335</v>
      </c>
      <c r="Z1351" s="3" t="str">
        <f t="shared" si="1502"/>
        <v>Nie</v>
      </c>
      <c r="AA1351" s="3" t="str">
        <f t="shared" si="1503"/>
        <v>SLA</v>
      </c>
      <c r="AB1351" s="4">
        <v>192</v>
      </c>
      <c r="AC1351" s="4">
        <f>SrcDB[[#This Row],[Množstvo práce]]/4</f>
        <v>48</v>
      </c>
      <c r="AD1351" s="3" t="s">
        <v>48</v>
      </c>
      <c r="AE1351" s="6">
        <v>45682</v>
      </c>
      <c r="AF1351" s="3" t="s">
        <v>59</v>
      </c>
      <c r="AG1351" s="3" t="s">
        <v>49</v>
      </c>
      <c r="AH1351" s="3">
        <f>YEAR(SrcDB[[#This Row],[Datum_zverejnenia]])</f>
        <v>2024</v>
      </c>
      <c r="AI1351" s="3" cm="1">
        <f t="array" ref="AI1351">COUNT(_xlfn.UNIQUE(_xlfn._xlws.FILTER(SrcDB[ID],SrcDB[Objednavatel_ICO]=$H1351)))</f>
        <v>6</v>
      </c>
      <c r="AJ1351" s="3" cm="1">
        <f t="array" ref="AJ1351">COUNT(_xlfn.UNIQUE(_xlfn._xlws.FILTER(SrcDB[ID],SrcDB[Dodavatel_ICO]=$K1351)))</f>
        <v>2</v>
      </c>
      <c r="AK1351" s="3">
        <f t="shared" si="1505"/>
        <v>0</v>
      </c>
      <c r="AL1351" s="3">
        <f t="shared" si="1506"/>
        <v>0</v>
      </c>
      <c r="AM1351" s="17" t="str">
        <f>IF(SrcDB[[#This Row],[Pocet zmluv objednavatela]]&gt;3,SrcDB[[#This Row],[Objednavatel]],"Ostatné")</f>
        <v>Ministerstvo financií SR</v>
      </c>
      <c r="AN1351" s="17" t="str">
        <f>IF(SrcDB[[#This Row],[Pocet zmluv dodavatela]]&gt;3,SrcDB[[#This Row],[Dodavatel]],"Ostatné")</f>
        <v>Ostatné</v>
      </c>
    </row>
    <row r="1352" spans="1:40" x14ac:dyDescent="0.3">
      <c r="A1352" s="2" t="s">
        <v>1685</v>
      </c>
      <c r="B1352" s="2">
        <v>9448317</v>
      </c>
      <c r="C1352" s="3" t="str">
        <f t="shared" si="1497"/>
        <v>Nie</v>
      </c>
      <c r="D1352" s="3" t="str">
        <f t="shared" si="1498"/>
        <v>Áno</v>
      </c>
      <c r="E1352" s="3" t="s">
        <v>48</v>
      </c>
      <c r="F1352" s="3" t="s">
        <v>49</v>
      </c>
      <c r="G1352" s="2" t="str">
        <f t="shared" si="1499"/>
        <v>Malé zmluvy</v>
      </c>
      <c r="H1352" s="5">
        <v>30807484</v>
      </c>
      <c r="I1352" s="2" t="s">
        <v>50</v>
      </c>
      <c r="J1352" s="2" t="s">
        <v>51</v>
      </c>
      <c r="K1352" s="5">
        <v>45650276</v>
      </c>
      <c r="L1352" s="2" t="s">
        <v>234</v>
      </c>
      <c r="M1352" s="2" t="s">
        <v>235</v>
      </c>
      <c r="N1352" s="6">
        <v>45470</v>
      </c>
      <c r="O1352" s="4">
        <v>811870.2</v>
      </c>
      <c r="P1352" s="2">
        <v>114493</v>
      </c>
      <c r="Q1352" s="2" t="s">
        <v>1686</v>
      </c>
      <c r="R1352" s="2" t="s">
        <v>1687</v>
      </c>
      <c r="S1352" s="2" t="s">
        <v>183</v>
      </c>
      <c r="T1352" s="2" t="s">
        <v>1688</v>
      </c>
      <c r="W1352" s="4">
        <v>500</v>
      </c>
      <c r="X1352" s="4">
        <f>SrcDB[[#This Row],[Cena bez DPH]]*1.2</f>
        <v>600</v>
      </c>
      <c r="Y1352" s="4">
        <f t="shared" ref="Y1352" si="1516">INDEX(InternalRates,MATCH($S1352,InternalRates01,FALSE),2)</f>
        <v>278.98333333333335</v>
      </c>
      <c r="Z1352" s="3" t="str">
        <f t="shared" si="1502"/>
        <v>Nie</v>
      </c>
      <c r="AA1352" s="3" t="str">
        <f t="shared" si="1503"/>
        <v>SLA</v>
      </c>
      <c r="AB1352" s="4">
        <v>550</v>
      </c>
      <c r="AC1352" s="4">
        <f>SrcDB[[#This Row],[Množstvo práce]]/3</f>
        <v>183.33333333333334</v>
      </c>
      <c r="AD1352" s="3" t="s">
        <v>48</v>
      </c>
      <c r="AE1352" s="6">
        <v>45682</v>
      </c>
      <c r="AF1352" s="3" t="s">
        <v>59</v>
      </c>
      <c r="AG1352" s="3" t="s">
        <v>48</v>
      </c>
      <c r="AH1352" s="3">
        <f>YEAR(SrcDB[[#This Row],[Datum_zverejnenia]])</f>
        <v>2024</v>
      </c>
      <c r="AI1352" s="3" cm="1">
        <f t="array" ref="AI1352">COUNT(_xlfn.UNIQUE(_xlfn._xlws.FILTER(SrcDB[ID],SrcDB[Objednavatel_ICO]=$H1352)))</f>
        <v>14</v>
      </c>
      <c r="AJ1352" s="3" cm="1">
        <f t="array" ref="AJ1352">COUNT(_xlfn.UNIQUE(_xlfn._xlws.FILTER(SrcDB[ID],SrcDB[Dodavatel_ICO]=$K1352)))</f>
        <v>12</v>
      </c>
      <c r="AK1352" s="3">
        <f t="shared" si="1505"/>
        <v>1</v>
      </c>
      <c r="AL1352" s="3">
        <f t="shared" si="1506"/>
        <v>1</v>
      </c>
      <c r="AM1352" s="17" t="str">
        <f>IF(SrcDB[[#This Row],[Pocet zmluv objednavatela]]&gt;3,SrcDB[[#This Row],[Objednavatel]],"Ostatné")</f>
        <v>Sociálna poisťovňa, ústredie</v>
      </c>
      <c r="AN1352" s="17" t="str">
        <f>IF(SrcDB[[#This Row],[Pocet zmluv dodavatela]]&gt;3,SrcDB[[#This Row],[Dodavatel]],"Ostatné")</f>
        <v>Atos IT Solutions and Services s.r.o. / Eviden Slovakia, s.r.o.</v>
      </c>
    </row>
    <row r="1353" spans="1:40" x14ac:dyDescent="0.3">
      <c r="A1353" s="2" t="s">
        <v>564</v>
      </c>
      <c r="B1353" s="2">
        <v>9179268</v>
      </c>
      <c r="C1353" s="3" t="str">
        <f t="shared" si="1497"/>
        <v>Nejasné</v>
      </c>
      <c r="D1353" s="3" t="str">
        <f t="shared" si="1498"/>
        <v>Nejasné</v>
      </c>
      <c r="E1353" s="3" t="s">
        <v>48</v>
      </c>
      <c r="F1353" s="3" t="s">
        <v>49</v>
      </c>
      <c r="G1353" s="2" t="str">
        <f t="shared" si="1499"/>
        <v>Malé zmluvy</v>
      </c>
      <c r="H1353" s="5">
        <v>31364501</v>
      </c>
      <c r="I1353" s="2" t="s">
        <v>220</v>
      </c>
      <c r="J1353" s="2" t="s">
        <v>726</v>
      </c>
      <c r="K1353" s="5" t="s">
        <v>1689</v>
      </c>
      <c r="L1353" s="2" t="s">
        <v>1690</v>
      </c>
      <c r="M1353" s="2" t="s">
        <v>1691</v>
      </c>
      <c r="N1353" s="6">
        <v>45399</v>
      </c>
      <c r="O1353" s="4">
        <v>334995.40999999997</v>
      </c>
      <c r="P1353" s="2">
        <v>114573</v>
      </c>
      <c r="Q1353" s="2" t="s">
        <v>1692</v>
      </c>
      <c r="R1353" s="2" t="s">
        <v>1693</v>
      </c>
      <c r="S1353" s="2" t="s">
        <v>183</v>
      </c>
      <c r="T1353" s="2" t="s">
        <v>1694</v>
      </c>
      <c r="W1353" s="4">
        <f>25200/620*8</f>
        <v>325.16129032258067</v>
      </c>
      <c r="X1353" s="4">
        <f>SrcDB[[#This Row],[Cena bez DPH]]*1.2</f>
        <v>390.19354838709677</v>
      </c>
      <c r="Y1353" s="4">
        <f t="shared" ref="Y1353" si="1517">INDEX(InternalRates,MATCH($S1353,InternalRates01,FALSE),2)</f>
        <v>278.98333333333335</v>
      </c>
      <c r="Z1353" s="3" t="str">
        <f t="shared" si="1502"/>
        <v>Nie</v>
      </c>
      <c r="AA1353" s="3" t="str">
        <f t="shared" si="1503"/>
        <v>SLA</v>
      </c>
      <c r="AB1353" s="4">
        <v>620</v>
      </c>
      <c r="AC1353" s="4">
        <f>SrcDB[[#This Row],[Množstvo práce]]/2</f>
        <v>310</v>
      </c>
      <c r="AD1353" s="3" t="s">
        <v>48</v>
      </c>
      <c r="AE1353" s="6">
        <v>45682</v>
      </c>
      <c r="AF1353" s="3" t="s">
        <v>59</v>
      </c>
      <c r="AG1353" s="3" t="s">
        <v>49</v>
      </c>
      <c r="AH1353" s="3">
        <f>YEAR(SrcDB[[#This Row],[Datum_zverejnenia]])</f>
        <v>2024</v>
      </c>
      <c r="AI1353" s="3" cm="1">
        <f t="array" ref="AI1353">COUNT(_xlfn.UNIQUE(_xlfn._xlws.FILTER(SrcDB[ID],SrcDB[Objednavatel_ICO]=$H1353)))</f>
        <v>24</v>
      </c>
      <c r="AJ1353" s="3" cm="1">
        <f t="array" ref="AJ1353">COUNT(_xlfn.UNIQUE(_xlfn._xlws.FILTER(SrcDB[ID],SrcDB[Dodavatel_ICO]=$K1353)))</f>
        <v>1</v>
      </c>
      <c r="AK1353" s="3">
        <f t="shared" si="1505"/>
        <v>1</v>
      </c>
      <c r="AL1353" s="3">
        <f t="shared" si="1506"/>
        <v>1</v>
      </c>
      <c r="AM1353" s="17" t="str">
        <f>IF(SrcDB[[#This Row],[Pocet zmluv objednavatela]]&gt;3,SrcDB[[#This Row],[Objednavatel]],"Ostatné")</f>
        <v>Železnice Slovenskej republiky</v>
      </c>
      <c r="AN1353" s="17" t="str">
        <f>IF(SrcDB[[#This Row],[Pocet zmluv dodavatela]]&gt;3,SrcDB[[#This Row],[Dodavatel]],"Ostatné")</f>
        <v>Ostatné</v>
      </c>
    </row>
    <row r="1354" spans="1:40" x14ac:dyDescent="0.3">
      <c r="A1354" s="2" t="s">
        <v>564</v>
      </c>
      <c r="B1354" s="2">
        <v>9544077</v>
      </c>
      <c r="C1354" s="3" t="str">
        <f t="shared" si="1497"/>
        <v>Nejasné</v>
      </c>
      <c r="D1354" s="3" t="str">
        <f t="shared" si="1498"/>
        <v>Nejasné</v>
      </c>
      <c r="E1354" s="3" t="s">
        <v>48</v>
      </c>
      <c r="F1354" s="3" t="s">
        <v>49</v>
      </c>
      <c r="G1354" s="2" t="str">
        <f t="shared" si="1499"/>
        <v>Malé zmluvy</v>
      </c>
      <c r="H1354" s="5">
        <v>31364501</v>
      </c>
      <c r="I1354" s="2" t="s">
        <v>220</v>
      </c>
      <c r="J1354" s="2" t="s">
        <v>726</v>
      </c>
      <c r="K1354" s="5">
        <v>31385401</v>
      </c>
      <c r="L1354" s="2" t="s">
        <v>142</v>
      </c>
      <c r="M1354" s="2" t="s">
        <v>1695</v>
      </c>
      <c r="N1354" s="6">
        <v>45497</v>
      </c>
      <c r="O1354" s="4">
        <v>251157.6</v>
      </c>
      <c r="P1354" s="2">
        <v>114573</v>
      </c>
      <c r="Q1354" s="2" t="s">
        <v>1696</v>
      </c>
      <c r="R1354" s="2" t="s">
        <v>1697</v>
      </c>
      <c r="S1354" s="2" t="s">
        <v>183</v>
      </c>
      <c r="T1354" s="2" t="s">
        <v>1698</v>
      </c>
      <c r="W1354" s="4">
        <v>566</v>
      </c>
      <c r="X1354" s="4">
        <f>SrcDB[[#This Row],[Cena bez DPH]]*1.2</f>
        <v>679.19999999999993</v>
      </c>
      <c r="Y1354" s="4">
        <f t="shared" ref="Y1354" si="1518">INDEX(InternalRates,MATCH($S1354,InternalRates01,FALSE),2)</f>
        <v>278.98333333333335</v>
      </c>
      <c r="Z1354" s="3" t="str">
        <f t="shared" si="1502"/>
        <v>Nie</v>
      </c>
      <c r="AA1354" s="3" t="str">
        <f t="shared" si="1503"/>
        <v>SLA</v>
      </c>
      <c r="AB1354" s="4">
        <v>36</v>
      </c>
      <c r="AC1354" s="4">
        <v>36</v>
      </c>
      <c r="AD1354" s="3" t="s">
        <v>48</v>
      </c>
      <c r="AE1354" s="6">
        <v>45682</v>
      </c>
      <c r="AF1354" s="3" t="s">
        <v>59</v>
      </c>
      <c r="AG1354" s="3" t="s">
        <v>48</v>
      </c>
      <c r="AH1354" s="3">
        <f>YEAR(SrcDB[[#This Row],[Datum_zverejnenia]])</f>
        <v>2024</v>
      </c>
      <c r="AI1354" s="3" cm="1">
        <f t="array" ref="AI1354">COUNT(_xlfn.UNIQUE(_xlfn._xlws.FILTER(SrcDB[ID],SrcDB[Objednavatel_ICO]=$H1354)))</f>
        <v>24</v>
      </c>
      <c r="AJ1354" s="3" cm="1">
        <f t="array" ref="AJ1354">COUNT(_xlfn.UNIQUE(_xlfn._xlws.FILTER(SrcDB[ID],SrcDB[Dodavatel_ICO]=$K1354)))</f>
        <v>14</v>
      </c>
      <c r="AK1354" s="3">
        <f t="shared" si="1505"/>
        <v>1</v>
      </c>
      <c r="AL1354" s="3">
        <f t="shared" si="1506"/>
        <v>1</v>
      </c>
      <c r="AM1354" s="17" t="str">
        <f>IF(SrcDB[[#This Row],[Pocet zmluv objednavatela]]&gt;3,SrcDB[[#This Row],[Objednavatel]],"Ostatné")</f>
        <v>Železnice Slovenskej republiky</v>
      </c>
      <c r="AN1354" s="17" t="str">
        <f>IF(SrcDB[[#This Row],[Pocet zmluv dodavatela]]&gt;3,SrcDB[[#This Row],[Dodavatel]],"Ostatné")</f>
        <v>DITEC, a.s.</v>
      </c>
    </row>
    <row r="1355" spans="1:40" x14ac:dyDescent="0.3">
      <c r="A1355" s="2" t="s">
        <v>1699</v>
      </c>
      <c r="B1355" s="2">
        <v>9146938</v>
      </c>
      <c r="C1355" s="3" t="str">
        <f t="shared" si="1497"/>
        <v>Nie</v>
      </c>
      <c r="D1355" s="3" t="str">
        <f t="shared" si="1498"/>
        <v>Áno</v>
      </c>
      <c r="E1355" s="3" t="s">
        <v>48</v>
      </c>
      <c r="F1355" s="3" t="s">
        <v>49</v>
      </c>
      <c r="G1355" s="2" t="str">
        <f t="shared" si="1499"/>
        <v>Stredné zmluvy</v>
      </c>
      <c r="H1355" s="5" t="s">
        <v>62</v>
      </c>
      <c r="I1355" s="2" t="s">
        <v>63</v>
      </c>
      <c r="J1355" s="2" t="s">
        <v>1700</v>
      </c>
      <c r="K1355" s="5">
        <v>46117491</v>
      </c>
      <c r="L1355" s="2" t="s">
        <v>707</v>
      </c>
      <c r="M1355" s="2" t="s">
        <v>1701</v>
      </c>
      <c r="N1355" s="6">
        <v>45391</v>
      </c>
      <c r="O1355" s="4">
        <v>3325322.5</v>
      </c>
      <c r="P1355" s="2">
        <v>114565</v>
      </c>
      <c r="Q1355" s="2" t="s">
        <v>1702</v>
      </c>
      <c r="R1355" s="2" t="s">
        <v>1703</v>
      </c>
      <c r="S1355" s="2" t="s">
        <v>56</v>
      </c>
      <c r="T1355" s="2" t="s">
        <v>1651</v>
      </c>
      <c r="U1355" s="2" t="s">
        <v>449</v>
      </c>
      <c r="W1355" s="4">
        <v>300</v>
      </c>
      <c r="X1355" s="4">
        <f>SrcDB[[#This Row],[Cena bez DPH]]*1.2</f>
        <v>360</v>
      </c>
      <c r="Y1355" s="4">
        <f t="shared" ref="Y1355" si="1519">INDEX(InternalRates,MATCH($S1355,InternalRates01,FALSE),2)</f>
        <v>278.98333333333335</v>
      </c>
      <c r="Z1355" s="3" t="str">
        <f t="shared" si="1502"/>
        <v>Nie</v>
      </c>
      <c r="AA1355" s="3" t="str">
        <f t="shared" si="1503"/>
        <v>SLA</v>
      </c>
      <c r="AB1355" s="4">
        <v>302</v>
      </c>
      <c r="AC1355" s="4">
        <f>SrcDB[[#This Row],[Množstvo práce]]/4</f>
        <v>75.5</v>
      </c>
      <c r="AD1355" s="3" t="s">
        <v>48</v>
      </c>
      <c r="AE1355" s="6">
        <v>45682</v>
      </c>
      <c r="AF1355" s="3" t="s">
        <v>59</v>
      </c>
      <c r="AG1355" s="3" t="s">
        <v>49</v>
      </c>
      <c r="AH1355" s="3">
        <f>YEAR(SrcDB[[#This Row],[Datum_zverejnenia]])</f>
        <v>2024</v>
      </c>
      <c r="AI1355" s="3" cm="1">
        <f t="array" ref="AI1355">COUNT(_xlfn.UNIQUE(_xlfn._xlws.FILTER(SrcDB[ID],SrcDB[Objednavatel_ICO]=$H1355)))</f>
        <v>6</v>
      </c>
      <c r="AJ1355" s="3" cm="1">
        <f t="array" ref="AJ1355">COUNT(_xlfn.UNIQUE(_xlfn._xlws.FILTER(SrcDB[ID],SrcDB[Dodavatel_ICO]=$K1355)))</f>
        <v>7</v>
      </c>
      <c r="AK1355" s="3" t="e">
        <f>IF(#REF!&lt;&gt;$H1355,1,IF(#REF!&lt;&gt;$B1355,1,0))</f>
        <v>#REF!</v>
      </c>
      <c r="AL1355" s="3" t="e">
        <f>IF(#REF!&lt;&gt;$K1355,1,IF(#REF!&lt;&gt;$B1355,1,0))</f>
        <v>#REF!</v>
      </c>
      <c r="AM1355" s="17" t="str">
        <f>IF(SrcDB[[#This Row],[Pocet zmluv objednavatela]]&gt;3,SrcDB[[#This Row],[Objednavatel]],"Ostatné")</f>
        <v>Ministerstvo spravodlivosti SR</v>
      </c>
      <c r="AN1355" s="17" t="str">
        <f>IF(SrcDB[[#This Row],[Pocet zmluv dodavatela]]&gt;3,SrcDB[[#This Row],[Dodavatel]],"Ostatné")</f>
        <v>JUMP soft a.s.</v>
      </c>
    </row>
    <row r="1356" spans="1:40" x14ac:dyDescent="0.3">
      <c r="A1356" s="2" t="s">
        <v>1699</v>
      </c>
      <c r="B1356" s="2">
        <v>9146938</v>
      </c>
      <c r="C1356" s="3" t="str">
        <f t="shared" si="1497"/>
        <v>Nie</v>
      </c>
      <c r="D1356" s="3" t="str">
        <f t="shared" si="1498"/>
        <v>Áno</v>
      </c>
      <c r="E1356" s="3" t="s">
        <v>48</v>
      </c>
      <c r="F1356" s="3" t="s">
        <v>49</v>
      </c>
      <c r="G1356" s="2" t="str">
        <f t="shared" si="1499"/>
        <v>Stredné zmluvy</v>
      </c>
      <c r="H1356" s="5" t="s">
        <v>62</v>
      </c>
      <c r="I1356" s="2" t="s">
        <v>63</v>
      </c>
      <c r="J1356" s="2" t="s">
        <v>1700</v>
      </c>
      <c r="K1356" s="5">
        <v>46117491</v>
      </c>
      <c r="L1356" s="2" t="s">
        <v>707</v>
      </c>
      <c r="M1356" s="2" t="s">
        <v>1701</v>
      </c>
      <c r="N1356" s="6">
        <v>45391</v>
      </c>
      <c r="O1356" s="4">
        <v>3325322.5</v>
      </c>
      <c r="P1356" s="2">
        <v>114565</v>
      </c>
      <c r="Q1356" s="2" t="s">
        <v>1702</v>
      </c>
      <c r="R1356" s="2" t="s">
        <v>1703</v>
      </c>
      <c r="S1356" s="2" t="s">
        <v>56</v>
      </c>
      <c r="T1356" s="2" t="s">
        <v>94</v>
      </c>
      <c r="U1356" s="2" t="s">
        <v>95</v>
      </c>
      <c r="W1356" s="4">
        <v>300</v>
      </c>
      <c r="X1356" s="4">
        <f>SrcDB[[#This Row],[Cena bez DPH]]*1.2</f>
        <v>360</v>
      </c>
      <c r="Y1356" s="4">
        <f t="shared" ref="Y1356" si="1520">INDEX(InternalRates,MATCH($S1356,InternalRates01,FALSE),2)</f>
        <v>278.98333333333335</v>
      </c>
      <c r="Z1356" s="3" t="str">
        <f t="shared" si="1502"/>
        <v>Nie</v>
      </c>
      <c r="AA1356" s="3" t="str">
        <f t="shared" si="1503"/>
        <v>SLA</v>
      </c>
      <c r="AB1356" s="4">
        <v>358</v>
      </c>
      <c r="AC1356" s="4">
        <f>SrcDB[[#This Row],[Množstvo práce]]/4</f>
        <v>89.5</v>
      </c>
      <c r="AD1356" s="3" t="s">
        <v>48</v>
      </c>
      <c r="AE1356" s="6">
        <v>45682</v>
      </c>
      <c r="AF1356" s="3" t="s">
        <v>59</v>
      </c>
      <c r="AG1356" s="3" t="s">
        <v>49</v>
      </c>
      <c r="AH1356" s="3">
        <f>YEAR(SrcDB[[#This Row],[Datum_zverejnenia]])</f>
        <v>2024</v>
      </c>
      <c r="AI1356" s="3" cm="1">
        <f t="array" ref="AI1356">COUNT(_xlfn.UNIQUE(_xlfn._xlws.FILTER(SrcDB[ID],SrcDB[Objednavatel_ICO]=$H1356)))</f>
        <v>6</v>
      </c>
      <c r="AJ1356" s="3" cm="1">
        <f t="array" ref="AJ1356">COUNT(_xlfn.UNIQUE(_xlfn._xlws.FILTER(SrcDB[ID],SrcDB[Dodavatel_ICO]=$K1356)))</f>
        <v>7</v>
      </c>
      <c r="AK1356" s="3" t="e">
        <f>IF(#REF!&lt;&gt;$H1356,1,IF(#REF!&lt;&gt;$B1356,1,0))</f>
        <v>#REF!</v>
      </c>
      <c r="AL1356" s="3" t="e">
        <f>IF(#REF!&lt;&gt;$K1356,1,IF(#REF!&lt;&gt;$B1356,1,0))</f>
        <v>#REF!</v>
      </c>
      <c r="AM1356" s="17" t="str">
        <f>IF(SrcDB[[#This Row],[Pocet zmluv objednavatela]]&gt;3,SrcDB[[#This Row],[Objednavatel]],"Ostatné")</f>
        <v>Ministerstvo spravodlivosti SR</v>
      </c>
      <c r="AN1356" s="17" t="str">
        <f>IF(SrcDB[[#This Row],[Pocet zmluv dodavatela]]&gt;3,SrcDB[[#This Row],[Dodavatel]],"Ostatné")</f>
        <v>JUMP soft a.s.</v>
      </c>
    </row>
    <row r="1357" spans="1:40" x14ac:dyDescent="0.3">
      <c r="A1357" s="2" t="s">
        <v>1704</v>
      </c>
      <c r="B1357" s="2">
        <v>10239226</v>
      </c>
      <c r="C1357" s="3" t="str">
        <f t="shared" si="1497"/>
        <v>Nie</v>
      </c>
      <c r="D1357" s="3" t="str">
        <f t="shared" si="1498"/>
        <v>Áno</v>
      </c>
      <c r="E1357" s="3" t="s">
        <v>48</v>
      </c>
      <c r="F1357" s="3" t="s">
        <v>49</v>
      </c>
      <c r="G1357" s="2" t="str">
        <f t="shared" si="1499"/>
        <v>Stredné zmluvy</v>
      </c>
      <c r="H1357" s="5">
        <v>30807484</v>
      </c>
      <c r="I1357" s="2" t="s">
        <v>50</v>
      </c>
      <c r="J1357" s="2" t="s">
        <v>51</v>
      </c>
      <c r="K1357" s="5">
        <v>45650276</v>
      </c>
      <c r="L1357" s="2" t="s">
        <v>234</v>
      </c>
      <c r="M1357" s="2" t="s">
        <v>235</v>
      </c>
      <c r="N1357" s="6">
        <v>45656</v>
      </c>
      <c r="O1357" s="4">
        <v>4470730.5199999996</v>
      </c>
      <c r="P1357" s="2">
        <v>114493</v>
      </c>
      <c r="Q1357" s="2" t="s">
        <v>1705</v>
      </c>
      <c r="R1357" s="2" t="s">
        <v>1706</v>
      </c>
      <c r="S1357" s="2" t="s">
        <v>160</v>
      </c>
      <c r="T1357" s="2" t="s">
        <v>1707</v>
      </c>
      <c r="W1357" s="4">
        <v>1181.77</v>
      </c>
      <c r="X1357" s="4">
        <f>SrcDB[[#This Row],[Cena bez DPH]]*1.2</f>
        <v>1418.124</v>
      </c>
      <c r="Y1357" s="4">
        <f t="shared" ref="Y1357" si="1521">INDEX(InternalRates,MATCH($S1357,InternalRates01,FALSE),2)</f>
        <v>231.85833333333335</v>
      </c>
      <c r="Z1357" s="3" t="str">
        <f t="shared" si="1502"/>
        <v>Nie</v>
      </c>
      <c r="AA1357" s="3" t="str">
        <f t="shared" si="1503"/>
        <v>SLA</v>
      </c>
      <c r="AB1357" s="4">
        <f>SrcDB[[#This Row],[Množstvo práce ročné]]*4</f>
        <v>1104</v>
      </c>
      <c r="AC1357" s="4">
        <f>69*4</f>
        <v>276</v>
      </c>
      <c r="AD1357" s="3" t="s">
        <v>48</v>
      </c>
      <c r="AE1357" s="6">
        <v>45682</v>
      </c>
      <c r="AF1357" s="3" t="s">
        <v>59</v>
      </c>
      <c r="AG1357" s="3" t="s">
        <v>49</v>
      </c>
      <c r="AH1357" s="3">
        <f>YEAR(SrcDB[[#This Row],[Datum_zverejnenia]])</f>
        <v>2024</v>
      </c>
      <c r="AI1357" s="3" cm="1">
        <f t="array" ref="AI1357">COUNT(_xlfn.UNIQUE(_xlfn._xlws.FILTER(SrcDB[ID],SrcDB[Objednavatel_ICO]=$H1357)))</f>
        <v>14</v>
      </c>
      <c r="AJ1357" s="3" cm="1">
        <f t="array" ref="AJ1357">COUNT(_xlfn.UNIQUE(_xlfn._xlws.FILTER(SrcDB[ID],SrcDB[Dodavatel_ICO]=$K1357)))</f>
        <v>12</v>
      </c>
      <c r="AK1357" s="3" t="e">
        <f>IF(#REF!&lt;&gt;$H1357,1,IF(#REF!&lt;&gt;$B1357,1,0))</f>
        <v>#REF!</v>
      </c>
      <c r="AL1357" s="3" t="e">
        <f>IF(#REF!&lt;&gt;$K1357,1,IF(#REF!&lt;&gt;$B1357,1,0))</f>
        <v>#REF!</v>
      </c>
      <c r="AM1357" s="17" t="str">
        <f>IF(SrcDB[[#This Row],[Pocet zmluv objednavatela]]&gt;3,SrcDB[[#This Row],[Objednavatel]],"Ostatné")</f>
        <v>Sociálna poisťovňa, ústredie</v>
      </c>
      <c r="AN1357" s="17" t="str">
        <f>IF(SrcDB[[#This Row],[Pocet zmluv dodavatela]]&gt;3,SrcDB[[#This Row],[Dodavatel]],"Ostatné")</f>
        <v>Atos IT Solutions and Services s.r.o. / Eviden Slovakia, s.r.o.</v>
      </c>
    </row>
    <row r="1358" spans="1:40" x14ac:dyDescent="0.3">
      <c r="A1358" s="2" t="s">
        <v>1704</v>
      </c>
      <c r="B1358" s="2">
        <v>10239226</v>
      </c>
      <c r="C1358" s="3" t="str">
        <f t="shared" si="1497"/>
        <v>Nie</v>
      </c>
      <c r="D1358" s="3" t="str">
        <f t="shared" si="1498"/>
        <v>Áno</v>
      </c>
      <c r="E1358" s="3" t="s">
        <v>48</v>
      </c>
      <c r="F1358" s="3" t="s">
        <v>49</v>
      </c>
      <c r="G1358" s="2" t="str">
        <f t="shared" si="1499"/>
        <v>Stredné zmluvy</v>
      </c>
      <c r="H1358" s="5">
        <v>30807484</v>
      </c>
      <c r="I1358" s="2" t="s">
        <v>50</v>
      </c>
      <c r="J1358" s="2" t="s">
        <v>51</v>
      </c>
      <c r="K1358" s="5">
        <v>45650276</v>
      </c>
      <c r="L1358" s="2" t="s">
        <v>234</v>
      </c>
      <c r="M1358" s="2" t="s">
        <v>235</v>
      </c>
      <c r="N1358" s="6">
        <v>45656</v>
      </c>
      <c r="O1358" s="4">
        <v>4470730.5199999996</v>
      </c>
      <c r="P1358" s="2">
        <v>114493</v>
      </c>
      <c r="Q1358" s="2" t="s">
        <v>1705</v>
      </c>
      <c r="R1358" s="2" t="s">
        <v>1706</v>
      </c>
      <c r="S1358" s="2" t="s">
        <v>56</v>
      </c>
      <c r="T1358" s="2" t="s">
        <v>1708</v>
      </c>
      <c r="U1358" s="2" t="s">
        <v>449</v>
      </c>
      <c r="W1358" s="4">
        <v>1226.0999999999999</v>
      </c>
      <c r="X1358" s="4">
        <f>SrcDB[[#This Row],[Cena bez DPH]]*1.2</f>
        <v>1471.32</v>
      </c>
      <c r="Y1358" s="4">
        <f t="shared" ref="Y1358" si="1522">INDEX(InternalRates,MATCH($S1358,InternalRates01,FALSE),2)</f>
        <v>278.98333333333335</v>
      </c>
      <c r="Z1358" s="3" t="str">
        <f t="shared" si="1502"/>
        <v>Nie</v>
      </c>
      <c r="AA1358" s="3" t="str">
        <f t="shared" si="1503"/>
        <v>SLA</v>
      </c>
      <c r="AB1358" s="4">
        <f>SrcDB[[#This Row],[Množstvo práce ročné]]*4</f>
        <v>240</v>
      </c>
      <c r="AC1358" s="4">
        <f>15*4</f>
        <v>60</v>
      </c>
      <c r="AD1358" s="3" t="s">
        <v>48</v>
      </c>
      <c r="AE1358" s="6">
        <v>45682</v>
      </c>
      <c r="AF1358" s="3" t="s">
        <v>59</v>
      </c>
      <c r="AG1358" s="3" t="s">
        <v>49</v>
      </c>
      <c r="AH1358" s="3">
        <f>YEAR(SrcDB[[#This Row],[Datum_zverejnenia]])</f>
        <v>2024</v>
      </c>
      <c r="AI1358" s="3" cm="1">
        <f t="array" ref="AI1358">COUNT(_xlfn.UNIQUE(_xlfn._xlws.FILTER(SrcDB[ID],SrcDB[Objednavatel_ICO]=$H1358)))</f>
        <v>14</v>
      </c>
      <c r="AJ1358" s="3" cm="1">
        <f t="array" ref="AJ1358">COUNT(_xlfn.UNIQUE(_xlfn._xlws.FILTER(SrcDB[ID],SrcDB[Dodavatel_ICO]=$K1358)))</f>
        <v>12</v>
      </c>
      <c r="AK1358" s="3">
        <f t="shared" si="1505"/>
        <v>0</v>
      </c>
      <c r="AL1358" s="3">
        <f t="shared" si="1506"/>
        <v>0</v>
      </c>
      <c r="AM1358" s="17" t="str">
        <f>IF(SrcDB[[#This Row],[Pocet zmluv objednavatela]]&gt;3,SrcDB[[#This Row],[Objednavatel]],"Ostatné")</f>
        <v>Sociálna poisťovňa, ústredie</v>
      </c>
      <c r="AN1358" s="17" t="str">
        <f>IF(SrcDB[[#This Row],[Pocet zmluv dodavatela]]&gt;3,SrcDB[[#This Row],[Dodavatel]],"Ostatné")</f>
        <v>Atos IT Solutions and Services s.r.o. / Eviden Slovakia, s.r.o.</v>
      </c>
    </row>
    <row r="1359" spans="1:40" x14ac:dyDescent="0.3">
      <c r="A1359" s="2" t="s">
        <v>1704</v>
      </c>
      <c r="B1359" s="2">
        <v>10239226</v>
      </c>
      <c r="C1359" s="3" t="str">
        <f t="shared" si="1497"/>
        <v>Nie</v>
      </c>
      <c r="D1359" s="3" t="str">
        <f t="shared" si="1498"/>
        <v>Áno</v>
      </c>
      <c r="E1359" s="3" t="s">
        <v>48</v>
      </c>
      <c r="F1359" s="3" t="s">
        <v>49</v>
      </c>
      <c r="G1359" s="2" t="str">
        <f t="shared" si="1499"/>
        <v>Stredné zmluvy</v>
      </c>
      <c r="H1359" s="5">
        <v>30807484</v>
      </c>
      <c r="I1359" s="2" t="s">
        <v>50</v>
      </c>
      <c r="J1359" s="2" t="s">
        <v>51</v>
      </c>
      <c r="K1359" s="5">
        <v>45650276</v>
      </c>
      <c r="L1359" s="2" t="s">
        <v>234</v>
      </c>
      <c r="M1359" s="2" t="s">
        <v>235</v>
      </c>
      <c r="N1359" s="6">
        <v>45656</v>
      </c>
      <c r="O1359" s="4">
        <v>4470730.5199999996</v>
      </c>
      <c r="P1359" s="2">
        <v>114493</v>
      </c>
      <c r="Q1359" s="2" t="s">
        <v>1705</v>
      </c>
      <c r="R1359" s="2" t="s">
        <v>1706</v>
      </c>
      <c r="S1359" s="2" t="s">
        <v>162</v>
      </c>
      <c r="T1359" s="2" t="s">
        <v>1709</v>
      </c>
      <c r="W1359" s="4">
        <v>860</v>
      </c>
      <c r="X1359" s="4">
        <f>SrcDB[[#This Row],[Cena bez DPH]]*1.2</f>
        <v>1032</v>
      </c>
      <c r="Y1359" s="4">
        <f t="shared" ref="Y1359" si="1523">INDEX(InternalRates,MATCH($S1359,InternalRates01,FALSE),2)</f>
        <v>231.85833333333335</v>
      </c>
      <c r="Z1359" s="3" t="str">
        <f t="shared" si="1502"/>
        <v>Nie</v>
      </c>
      <c r="AA1359" s="3" t="str">
        <f t="shared" si="1503"/>
        <v>SLA</v>
      </c>
      <c r="AB1359" s="4">
        <f>SrcDB[[#This Row],[Množstvo práce ročné]]*4</f>
        <v>960</v>
      </c>
      <c r="AC1359" s="4">
        <f>60*4</f>
        <v>240</v>
      </c>
      <c r="AD1359" s="3" t="s">
        <v>48</v>
      </c>
      <c r="AE1359" s="6">
        <v>45682</v>
      </c>
      <c r="AF1359" s="3" t="s">
        <v>59</v>
      </c>
      <c r="AG1359" s="3" t="s">
        <v>49</v>
      </c>
      <c r="AH1359" s="3">
        <f>YEAR(SrcDB[[#This Row],[Datum_zverejnenia]])</f>
        <v>2024</v>
      </c>
      <c r="AI1359" s="3" cm="1">
        <f t="array" ref="AI1359">COUNT(_xlfn.UNIQUE(_xlfn._xlws.FILTER(SrcDB[ID],SrcDB[Objednavatel_ICO]=$H1359)))</f>
        <v>14</v>
      </c>
      <c r="AJ1359" s="3" cm="1">
        <f t="array" ref="AJ1359">COUNT(_xlfn.UNIQUE(_xlfn._xlws.FILTER(SrcDB[ID],SrcDB[Dodavatel_ICO]=$K1359)))</f>
        <v>12</v>
      </c>
      <c r="AK1359" s="3">
        <f t="shared" si="1505"/>
        <v>0</v>
      </c>
      <c r="AL1359" s="3">
        <f t="shared" si="1506"/>
        <v>0</v>
      </c>
      <c r="AM1359" s="17" t="str">
        <f>IF(SrcDB[[#This Row],[Pocet zmluv objednavatela]]&gt;3,SrcDB[[#This Row],[Objednavatel]],"Ostatné")</f>
        <v>Sociálna poisťovňa, ústredie</v>
      </c>
      <c r="AN1359" s="17" t="str">
        <f>IF(SrcDB[[#This Row],[Pocet zmluv dodavatela]]&gt;3,SrcDB[[#This Row],[Dodavatel]],"Ostatné")</f>
        <v>Atos IT Solutions and Services s.r.o. / Eviden Slovakia, s.r.o.</v>
      </c>
    </row>
    <row r="1360" spans="1:40" x14ac:dyDescent="0.3">
      <c r="A1360" s="2" t="s">
        <v>1704</v>
      </c>
      <c r="B1360" s="2">
        <v>10239226</v>
      </c>
      <c r="C1360" s="3" t="str">
        <f t="shared" si="1497"/>
        <v>Nie</v>
      </c>
      <c r="D1360" s="3" t="str">
        <f t="shared" si="1498"/>
        <v>Áno</v>
      </c>
      <c r="E1360" s="3" t="s">
        <v>48</v>
      </c>
      <c r="F1360" s="3" t="s">
        <v>49</v>
      </c>
      <c r="G1360" s="2" t="str">
        <f t="shared" si="1499"/>
        <v>Stredné zmluvy</v>
      </c>
      <c r="H1360" s="5">
        <v>30807484</v>
      </c>
      <c r="I1360" s="2" t="s">
        <v>50</v>
      </c>
      <c r="J1360" s="2" t="s">
        <v>51</v>
      </c>
      <c r="K1360" s="5">
        <v>45650276</v>
      </c>
      <c r="L1360" s="2" t="s">
        <v>234</v>
      </c>
      <c r="M1360" s="2" t="s">
        <v>235</v>
      </c>
      <c r="N1360" s="6">
        <v>45656</v>
      </c>
      <c r="O1360" s="4">
        <v>4470730.5199999996</v>
      </c>
      <c r="P1360" s="2">
        <v>114493</v>
      </c>
      <c r="Q1360" s="2" t="s">
        <v>1705</v>
      </c>
      <c r="R1360" s="2" t="s">
        <v>1706</v>
      </c>
      <c r="S1360" s="2" t="s">
        <v>56</v>
      </c>
      <c r="T1360" s="2" t="s">
        <v>1710</v>
      </c>
      <c r="U1360" s="2" t="s">
        <v>113</v>
      </c>
      <c r="W1360" s="4">
        <v>1310</v>
      </c>
      <c r="X1360" s="4">
        <f>SrcDB[[#This Row],[Cena bez DPH]]*1.2</f>
        <v>1572</v>
      </c>
      <c r="Y1360" s="4">
        <f t="shared" ref="Y1360" si="1524">INDEX(InternalRates,MATCH($S1360,InternalRates01,FALSE),2)</f>
        <v>278.98333333333335</v>
      </c>
      <c r="Z1360" s="3" t="str">
        <f t="shared" si="1502"/>
        <v>Nie</v>
      </c>
      <c r="AA1360" s="3" t="str">
        <f t="shared" si="1503"/>
        <v>SLA</v>
      </c>
      <c r="AB1360" s="4">
        <f>SrcDB[[#This Row],[Množstvo práce ročné]]*4</f>
        <v>80</v>
      </c>
      <c r="AC1360" s="4">
        <f>5*4</f>
        <v>20</v>
      </c>
      <c r="AD1360" s="3" t="s">
        <v>48</v>
      </c>
      <c r="AE1360" s="6">
        <v>45682</v>
      </c>
      <c r="AF1360" s="3" t="s">
        <v>59</v>
      </c>
      <c r="AG1360" s="3" t="s">
        <v>49</v>
      </c>
      <c r="AH1360" s="3">
        <f>YEAR(SrcDB[[#This Row],[Datum_zverejnenia]])</f>
        <v>2024</v>
      </c>
      <c r="AI1360" s="3" cm="1">
        <f t="array" ref="AI1360">COUNT(_xlfn.UNIQUE(_xlfn._xlws.FILTER(SrcDB[ID],SrcDB[Objednavatel_ICO]=$H1360)))</f>
        <v>14</v>
      </c>
      <c r="AJ1360" s="3" cm="1">
        <f t="array" ref="AJ1360">COUNT(_xlfn.UNIQUE(_xlfn._xlws.FILTER(SrcDB[ID],SrcDB[Dodavatel_ICO]=$K1360)))</f>
        <v>12</v>
      </c>
      <c r="AK1360" s="3">
        <f t="shared" si="1505"/>
        <v>0</v>
      </c>
      <c r="AL1360" s="3">
        <f t="shared" si="1506"/>
        <v>0</v>
      </c>
      <c r="AM1360" s="17" t="str">
        <f>IF(SrcDB[[#This Row],[Pocet zmluv objednavatela]]&gt;3,SrcDB[[#This Row],[Objednavatel]],"Ostatné")</f>
        <v>Sociálna poisťovňa, ústredie</v>
      </c>
      <c r="AN1360" s="17" t="str">
        <f>IF(SrcDB[[#This Row],[Pocet zmluv dodavatela]]&gt;3,SrcDB[[#This Row],[Dodavatel]],"Ostatné")</f>
        <v>Atos IT Solutions and Services s.r.o. / Eviden Slovakia, s.r.o.</v>
      </c>
    </row>
    <row r="1361" spans="1:40" x14ac:dyDescent="0.3">
      <c r="A1361" s="2" t="s">
        <v>1711</v>
      </c>
      <c r="B1361" s="2">
        <v>10219296</v>
      </c>
      <c r="C1361" s="3" t="str">
        <f t="shared" si="1497"/>
        <v>Nie</v>
      </c>
      <c r="D1361" s="3" t="str">
        <f t="shared" si="1498"/>
        <v>Áno</v>
      </c>
      <c r="E1361" s="3" t="s">
        <v>48</v>
      </c>
      <c r="F1361" s="3" t="s">
        <v>49</v>
      </c>
      <c r="G1361" s="2" t="str">
        <f t="shared" si="1499"/>
        <v>Veľké zmluvy</v>
      </c>
      <c r="H1361" s="5" t="s">
        <v>62</v>
      </c>
      <c r="I1361" s="2" t="s">
        <v>63</v>
      </c>
      <c r="J1361" s="2" t="s">
        <v>1700</v>
      </c>
      <c r="K1361" s="5">
        <v>36328057</v>
      </c>
      <c r="L1361" s="2" t="s">
        <v>1219</v>
      </c>
      <c r="M1361" s="2" t="s">
        <v>1712</v>
      </c>
      <c r="N1361" s="6">
        <v>45646</v>
      </c>
      <c r="O1361" s="4">
        <v>11853767</v>
      </c>
      <c r="P1361" s="2">
        <v>114565</v>
      </c>
      <c r="Q1361" s="2" t="s">
        <v>1713</v>
      </c>
      <c r="R1361" s="2" t="s">
        <v>1714</v>
      </c>
      <c r="S1361" s="2" t="s">
        <v>73</v>
      </c>
      <c r="T1361" s="2" t="s">
        <v>1715</v>
      </c>
      <c r="W1361" s="4">
        <v>657</v>
      </c>
      <c r="X1361" s="4">
        <f>SrcDB[[#This Row],[Cena bez DPH]]*1.2</f>
        <v>788.4</v>
      </c>
      <c r="Y1361" s="4">
        <f t="shared" ref="Y1361" si="1525">INDEX(InternalRates,MATCH($S1361,InternalRates01,FALSE),2)</f>
        <v>278.98333333333335</v>
      </c>
      <c r="Z1361" s="3" t="str">
        <f t="shared" si="1502"/>
        <v>Nie</v>
      </c>
      <c r="AA1361" s="3" t="str">
        <f t="shared" si="1503"/>
        <v>SLA</v>
      </c>
      <c r="AD1361" s="3" t="s">
        <v>48</v>
      </c>
      <c r="AE1361" s="6">
        <v>45682</v>
      </c>
      <c r="AF1361" s="3" t="s">
        <v>59</v>
      </c>
      <c r="AG1361" s="3" t="s">
        <v>60</v>
      </c>
      <c r="AH1361" s="3">
        <f>YEAR(SrcDB[[#This Row],[Datum_zverejnenia]])</f>
        <v>2024</v>
      </c>
      <c r="AI1361" s="3" cm="1">
        <f t="array" ref="AI1361">COUNT(_xlfn.UNIQUE(_xlfn._xlws.FILTER(SrcDB[ID],SrcDB[Objednavatel_ICO]=$H1361)))</f>
        <v>6</v>
      </c>
      <c r="AJ1361" s="3" cm="1">
        <f t="array" ref="AJ1361">COUNT(_xlfn.UNIQUE(_xlfn._xlws.FILTER(SrcDB[ID],SrcDB[Dodavatel_ICO]=$K1361)))</f>
        <v>4</v>
      </c>
      <c r="AK1361" s="3">
        <f t="shared" si="1505"/>
        <v>1</v>
      </c>
      <c r="AL1361" s="3">
        <f t="shared" si="1506"/>
        <v>1</v>
      </c>
      <c r="AM1361" s="17" t="str">
        <f>IF(SrcDB[[#This Row],[Pocet zmluv objednavatela]]&gt;3,SrcDB[[#This Row],[Objednavatel]],"Ostatné")</f>
        <v>Ministerstvo spravodlivosti SR</v>
      </c>
      <c r="AN1361" s="17" t="str">
        <f>IF(SrcDB[[#This Row],[Pocet zmluv dodavatela]]&gt;3,SrcDB[[#This Row],[Dodavatel]],"Ostatné")</f>
        <v>ICZ Slovakia a.s.</v>
      </c>
    </row>
    <row r="1362" spans="1:40" x14ac:dyDescent="0.3">
      <c r="A1362" s="2" t="s">
        <v>1711</v>
      </c>
      <c r="B1362" s="2">
        <v>10219296</v>
      </c>
      <c r="C1362" s="3" t="str">
        <f t="shared" si="1497"/>
        <v>Nie</v>
      </c>
      <c r="D1362" s="3" t="str">
        <f t="shared" si="1498"/>
        <v>Áno</v>
      </c>
      <c r="E1362" s="3" t="s">
        <v>48</v>
      </c>
      <c r="F1362" s="3" t="s">
        <v>49</v>
      </c>
      <c r="G1362" s="2" t="str">
        <f t="shared" si="1499"/>
        <v>Veľké zmluvy</v>
      </c>
      <c r="H1362" s="5" t="s">
        <v>62</v>
      </c>
      <c r="I1362" s="2" t="s">
        <v>63</v>
      </c>
      <c r="J1362" s="2" t="s">
        <v>1700</v>
      </c>
      <c r="K1362" s="5">
        <v>36328057</v>
      </c>
      <c r="L1362" s="2" t="s">
        <v>1219</v>
      </c>
      <c r="M1362" s="2" t="s">
        <v>1712</v>
      </c>
      <c r="N1362" s="6">
        <v>45646</v>
      </c>
      <c r="O1362" s="4">
        <v>11853767</v>
      </c>
      <c r="P1362" s="2">
        <v>114565</v>
      </c>
      <c r="Q1362" s="2" t="s">
        <v>1713</v>
      </c>
      <c r="R1362" s="2" t="s">
        <v>1714</v>
      </c>
      <c r="S1362" s="2" t="s">
        <v>160</v>
      </c>
      <c r="T1362" s="2" t="s">
        <v>1716</v>
      </c>
      <c r="W1362" s="4">
        <v>500</v>
      </c>
      <c r="X1362" s="4">
        <f>SrcDB[[#This Row],[Cena bez DPH]]*1.2</f>
        <v>600</v>
      </c>
      <c r="Y1362" s="4">
        <f t="shared" ref="Y1362" si="1526">INDEX(InternalRates,MATCH($S1362,InternalRates01,FALSE),2)</f>
        <v>231.85833333333335</v>
      </c>
      <c r="Z1362" s="3" t="str">
        <f t="shared" si="1502"/>
        <v>Nie</v>
      </c>
      <c r="AA1362" s="3" t="str">
        <f t="shared" si="1503"/>
        <v>SLA</v>
      </c>
      <c r="AD1362" s="3" t="s">
        <v>48</v>
      </c>
      <c r="AE1362" s="6">
        <v>45682</v>
      </c>
      <c r="AF1362" s="3" t="s">
        <v>59</v>
      </c>
      <c r="AG1362" s="3" t="s">
        <v>60</v>
      </c>
      <c r="AH1362" s="3">
        <f>YEAR(SrcDB[[#This Row],[Datum_zverejnenia]])</f>
        <v>2024</v>
      </c>
      <c r="AI1362" s="3" cm="1">
        <f t="array" ref="AI1362">COUNT(_xlfn.UNIQUE(_xlfn._xlws.FILTER(SrcDB[ID],SrcDB[Objednavatel_ICO]=$H1362)))</f>
        <v>6</v>
      </c>
      <c r="AJ1362" s="3" cm="1">
        <f t="array" ref="AJ1362">COUNT(_xlfn.UNIQUE(_xlfn._xlws.FILTER(SrcDB[ID],SrcDB[Dodavatel_ICO]=$K1362)))</f>
        <v>4</v>
      </c>
      <c r="AK1362" s="3">
        <f t="shared" si="1505"/>
        <v>0</v>
      </c>
      <c r="AL1362" s="3">
        <f t="shared" si="1506"/>
        <v>0</v>
      </c>
      <c r="AM1362" s="17" t="str">
        <f>IF(SrcDB[[#This Row],[Pocet zmluv objednavatela]]&gt;3,SrcDB[[#This Row],[Objednavatel]],"Ostatné")</f>
        <v>Ministerstvo spravodlivosti SR</v>
      </c>
      <c r="AN1362" s="17" t="str">
        <f>IF(SrcDB[[#This Row],[Pocet zmluv dodavatela]]&gt;3,SrcDB[[#This Row],[Dodavatel]],"Ostatné")</f>
        <v>ICZ Slovakia a.s.</v>
      </c>
    </row>
    <row r="1363" spans="1:40" x14ac:dyDescent="0.3">
      <c r="A1363" s="2" t="s">
        <v>1711</v>
      </c>
      <c r="B1363" s="2">
        <v>10219296</v>
      </c>
      <c r="C1363" s="3" t="str">
        <f t="shared" si="1497"/>
        <v>Nie</v>
      </c>
      <c r="D1363" s="3" t="str">
        <f t="shared" si="1498"/>
        <v>Áno</v>
      </c>
      <c r="E1363" s="3" t="s">
        <v>48</v>
      </c>
      <c r="F1363" s="3" t="s">
        <v>49</v>
      </c>
      <c r="G1363" s="2" t="str">
        <f t="shared" si="1499"/>
        <v>Veľké zmluvy</v>
      </c>
      <c r="H1363" s="5" t="s">
        <v>62</v>
      </c>
      <c r="I1363" s="2" t="s">
        <v>63</v>
      </c>
      <c r="J1363" s="2" t="s">
        <v>1700</v>
      </c>
      <c r="K1363" s="5">
        <v>36328057</v>
      </c>
      <c r="L1363" s="2" t="s">
        <v>1219</v>
      </c>
      <c r="M1363" s="2" t="s">
        <v>1712</v>
      </c>
      <c r="N1363" s="6">
        <v>45646</v>
      </c>
      <c r="O1363" s="4">
        <v>11853767</v>
      </c>
      <c r="P1363" s="2">
        <v>114565</v>
      </c>
      <c r="Q1363" s="2" t="s">
        <v>1713</v>
      </c>
      <c r="R1363" s="2" t="s">
        <v>1714</v>
      </c>
      <c r="S1363" s="2" t="s">
        <v>77</v>
      </c>
      <c r="T1363" s="2" t="s">
        <v>77</v>
      </c>
      <c r="W1363" s="4">
        <v>657</v>
      </c>
      <c r="X1363" s="4">
        <f>SrcDB[[#This Row],[Cena bez DPH]]*1.2</f>
        <v>788.4</v>
      </c>
      <c r="Y1363" s="4">
        <f t="shared" ref="Y1363" si="1527">INDEX(InternalRates,MATCH($S1363,InternalRates01,FALSE),2)</f>
        <v>278.98333333333335</v>
      </c>
      <c r="Z1363" s="3" t="str">
        <f t="shared" si="1502"/>
        <v>Nie</v>
      </c>
      <c r="AA1363" s="3" t="str">
        <f t="shared" si="1503"/>
        <v>SLA</v>
      </c>
      <c r="AD1363" s="3" t="s">
        <v>48</v>
      </c>
      <c r="AE1363" s="6">
        <v>45682</v>
      </c>
      <c r="AF1363" s="3" t="s">
        <v>59</v>
      </c>
      <c r="AG1363" s="3" t="s">
        <v>60</v>
      </c>
      <c r="AH1363" s="3">
        <f>YEAR(SrcDB[[#This Row],[Datum_zverejnenia]])</f>
        <v>2024</v>
      </c>
      <c r="AI1363" s="3" cm="1">
        <f t="array" ref="AI1363">COUNT(_xlfn.UNIQUE(_xlfn._xlws.FILTER(SrcDB[ID],SrcDB[Objednavatel_ICO]=$H1363)))</f>
        <v>6</v>
      </c>
      <c r="AJ1363" s="3" cm="1">
        <f t="array" ref="AJ1363">COUNT(_xlfn.UNIQUE(_xlfn._xlws.FILTER(SrcDB[ID],SrcDB[Dodavatel_ICO]=$K1363)))</f>
        <v>4</v>
      </c>
      <c r="AK1363" s="3">
        <f t="shared" si="1505"/>
        <v>0</v>
      </c>
      <c r="AL1363" s="3">
        <f t="shared" si="1506"/>
        <v>0</v>
      </c>
      <c r="AM1363" s="17" t="str">
        <f>IF(SrcDB[[#This Row],[Pocet zmluv objednavatela]]&gt;3,SrcDB[[#This Row],[Objednavatel]],"Ostatné")</f>
        <v>Ministerstvo spravodlivosti SR</v>
      </c>
      <c r="AN1363" s="17" t="str">
        <f>IF(SrcDB[[#This Row],[Pocet zmluv dodavatela]]&gt;3,SrcDB[[#This Row],[Dodavatel]],"Ostatné")</f>
        <v>ICZ Slovakia a.s.</v>
      </c>
    </row>
    <row r="1364" spans="1:40" x14ac:dyDescent="0.3">
      <c r="A1364" s="2" t="s">
        <v>1711</v>
      </c>
      <c r="B1364" s="2">
        <v>10219296</v>
      </c>
      <c r="C1364" s="3" t="str">
        <f t="shared" si="1497"/>
        <v>Nie</v>
      </c>
      <c r="D1364" s="3" t="str">
        <f t="shared" si="1498"/>
        <v>Áno</v>
      </c>
      <c r="E1364" s="3" t="s">
        <v>48</v>
      </c>
      <c r="F1364" s="3" t="s">
        <v>49</v>
      </c>
      <c r="G1364" s="2" t="str">
        <f t="shared" si="1499"/>
        <v>Veľké zmluvy</v>
      </c>
      <c r="H1364" s="5" t="s">
        <v>62</v>
      </c>
      <c r="I1364" s="2" t="s">
        <v>63</v>
      </c>
      <c r="J1364" s="2" t="s">
        <v>1700</v>
      </c>
      <c r="K1364" s="5">
        <v>36328057</v>
      </c>
      <c r="L1364" s="2" t="s">
        <v>1219</v>
      </c>
      <c r="M1364" s="2" t="s">
        <v>1712</v>
      </c>
      <c r="N1364" s="6">
        <v>45646</v>
      </c>
      <c r="O1364" s="4">
        <v>11853767</v>
      </c>
      <c r="P1364" s="2">
        <v>114565</v>
      </c>
      <c r="Q1364" s="2" t="s">
        <v>1713</v>
      </c>
      <c r="R1364" s="2" t="s">
        <v>1714</v>
      </c>
      <c r="S1364" s="2" t="s">
        <v>56</v>
      </c>
      <c r="T1364" s="2" t="s">
        <v>1717</v>
      </c>
      <c r="U1364" s="2" t="s">
        <v>58</v>
      </c>
      <c r="W1364" s="4">
        <v>702</v>
      </c>
      <c r="X1364" s="4">
        <f>SrcDB[[#This Row],[Cena bez DPH]]*1.2</f>
        <v>842.4</v>
      </c>
      <c r="Y1364" s="4">
        <f t="shared" ref="Y1364" si="1528">INDEX(InternalRates,MATCH($S1364,InternalRates01,FALSE),2)</f>
        <v>278.98333333333335</v>
      </c>
      <c r="Z1364" s="3" t="str">
        <f t="shared" si="1502"/>
        <v>Nie</v>
      </c>
      <c r="AA1364" s="3" t="str">
        <f t="shared" si="1503"/>
        <v>SLA</v>
      </c>
      <c r="AD1364" s="3" t="s">
        <v>48</v>
      </c>
      <c r="AE1364" s="6">
        <v>45682</v>
      </c>
      <c r="AF1364" s="3" t="s">
        <v>59</v>
      </c>
      <c r="AG1364" s="3" t="s">
        <v>60</v>
      </c>
      <c r="AH1364" s="3">
        <f>YEAR(SrcDB[[#This Row],[Datum_zverejnenia]])</f>
        <v>2024</v>
      </c>
      <c r="AI1364" s="3" cm="1">
        <f t="array" ref="AI1364">COUNT(_xlfn.UNIQUE(_xlfn._xlws.FILTER(SrcDB[ID],SrcDB[Objednavatel_ICO]=$H1364)))</f>
        <v>6</v>
      </c>
      <c r="AJ1364" s="3" cm="1">
        <f t="array" ref="AJ1364">COUNT(_xlfn.UNIQUE(_xlfn._xlws.FILTER(SrcDB[ID],SrcDB[Dodavatel_ICO]=$K1364)))</f>
        <v>4</v>
      </c>
      <c r="AK1364" s="3">
        <f t="shared" si="1505"/>
        <v>0</v>
      </c>
      <c r="AL1364" s="3">
        <f t="shared" si="1506"/>
        <v>0</v>
      </c>
      <c r="AM1364" s="17" t="str">
        <f>IF(SrcDB[[#This Row],[Pocet zmluv objednavatela]]&gt;3,SrcDB[[#This Row],[Objednavatel]],"Ostatné")</f>
        <v>Ministerstvo spravodlivosti SR</v>
      </c>
      <c r="AN1364" s="17" t="str">
        <f>IF(SrcDB[[#This Row],[Pocet zmluv dodavatela]]&gt;3,SrcDB[[#This Row],[Dodavatel]],"Ostatné")</f>
        <v>ICZ Slovakia a.s.</v>
      </c>
    </row>
    <row r="1365" spans="1:40" x14ac:dyDescent="0.3">
      <c r="A1365" s="2" t="s">
        <v>1718</v>
      </c>
      <c r="B1365" s="2">
        <v>10066685</v>
      </c>
      <c r="C1365" s="3" t="str">
        <f t="shared" si="1497"/>
        <v>Nie</v>
      </c>
      <c r="D1365" s="3" t="str">
        <f t="shared" si="1498"/>
        <v>Áno</v>
      </c>
      <c r="E1365" s="3" t="s">
        <v>48</v>
      </c>
      <c r="F1365" s="3" t="s">
        <v>49</v>
      </c>
      <c r="G1365" s="2" t="str">
        <f t="shared" si="1499"/>
        <v>Malé zmluvy</v>
      </c>
      <c r="H1365" s="5">
        <v>30844185</v>
      </c>
      <c r="I1365" s="2" t="s">
        <v>881</v>
      </c>
      <c r="J1365" s="2" t="s">
        <v>1719</v>
      </c>
      <c r="K1365" s="5" t="s">
        <v>1720</v>
      </c>
      <c r="L1365" s="2" t="s">
        <v>1721</v>
      </c>
      <c r="M1365" s="2" t="s">
        <v>1722</v>
      </c>
      <c r="N1365" s="6">
        <v>45618</v>
      </c>
      <c r="O1365" s="4">
        <v>726336</v>
      </c>
      <c r="P1365" s="2">
        <v>114501</v>
      </c>
      <c r="Q1365" s="2" t="s">
        <v>1723</v>
      </c>
      <c r="R1365" s="2" t="s">
        <v>1724</v>
      </c>
      <c r="S1365" s="2" t="s">
        <v>183</v>
      </c>
      <c r="T1365" s="2" t="s">
        <v>1189</v>
      </c>
      <c r="W1365" s="4">
        <f>65*8</f>
        <v>520</v>
      </c>
      <c r="X1365" s="4">
        <f>SrcDB[[#This Row],[Cena bez DPH]]*1.2</f>
        <v>624</v>
      </c>
      <c r="Y1365" s="4">
        <f t="shared" ref="Y1365" si="1529">INDEX(InternalRates,MATCH($S1365,InternalRates01,FALSE),2)</f>
        <v>278.98333333333335</v>
      </c>
      <c r="Z1365" s="3" t="str">
        <f t="shared" si="1502"/>
        <v>Nie</v>
      </c>
      <c r="AA1365" s="3" t="str">
        <f t="shared" si="1503"/>
        <v>SLA</v>
      </c>
      <c r="AD1365" s="3" t="s">
        <v>48</v>
      </c>
      <c r="AE1365" s="6">
        <v>45682</v>
      </c>
      <c r="AF1365" s="3" t="s">
        <v>59</v>
      </c>
      <c r="AG1365" s="3" t="s">
        <v>49</v>
      </c>
      <c r="AH1365" s="3">
        <f>YEAR(SrcDB[[#This Row],[Datum_zverejnenia]])</f>
        <v>2024</v>
      </c>
      <c r="AI1365" s="3" cm="1">
        <f t="array" ref="AI1365">COUNT(_xlfn.UNIQUE(_xlfn._xlws.FILTER(SrcDB[ID],SrcDB[Objednavatel_ICO]=$H1365)))</f>
        <v>2</v>
      </c>
      <c r="AJ1365" s="3" cm="1">
        <f t="array" ref="AJ1365">COUNT(_xlfn.UNIQUE(_xlfn._xlws.FILTER(SrcDB[ID],SrcDB[Dodavatel_ICO]=$K1365)))</f>
        <v>1</v>
      </c>
      <c r="AK1365" s="3">
        <f t="shared" si="1505"/>
        <v>1</v>
      </c>
      <c r="AL1365" s="3">
        <f t="shared" si="1506"/>
        <v>1</v>
      </c>
      <c r="AM1365" s="17" t="str">
        <f>IF(SrcDB[[#This Row],[Pocet zmluv objednavatela]]&gt;3,SrcDB[[#This Row],[Objednavatel]],"Ostatné")</f>
        <v>Ostatné</v>
      </c>
      <c r="AN1365" s="17" t="str">
        <f>IF(SrcDB[[#This Row],[Pocet zmluv dodavatela]]&gt;3,SrcDB[[#This Row],[Dodavatel]],"Ostatné")</f>
        <v>Ostatné</v>
      </c>
    </row>
    <row r="1366" spans="1:40" x14ac:dyDescent="0.3">
      <c r="A1366" s="2" t="s">
        <v>1725</v>
      </c>
      <c r="B1366" s="2">
        <v>8963394</v>
      </c>
      <c r="C1366" s="3" t="str">
        <f t="shared" si="1497"/>
        <v>Nejasné</v>
      </c>
      <c r="D1366" s="3" t="str">
        <f t="shared" si="1498"/>
        <v>Nejasné</v>
      </c>
      <c r="E1366" s="3" t="s">
        <v>48</v>
      </c>
      <c r="F1366" s="3" t="s">
        <v>49</v>
      </c>
      <c r="G1366" s="2" t="str">
        <f t="shared" si="1499"/>
        <v>Malé zmluvy</v>
      </c>
      <c r="H1366" s="5" t="s">
        <v>1726</v>
      </c>
      <c r="I1366" s="2" t="s">
        <v>1727</v>
      </c>
      <c r="J1366" s="2" t="s">
        <v>1728</v>
      </c>
      <c r="K1366" s="5">
        <v>35760419</v>
      </c>
      <c r="L1366" s="2" t="s">
        <v>85</v>
      </c>
      <c r="M1366" s="2" t="s">
        <v>1413</v>
      </c>
      <c r="N1366" s="6">
        <v>45344</v>
      </c>
      <c r="O1366" s="4">
        <v>963609.59999999998</v>
      </c>
      <c r="P1366" s="2">
        <v>6215909</v>
      </c>
      <c r="Q1366" s="2" t="s">
        <v>1729</v>
      </c>
      <c r="R1366" s="2" t="s">
        <v>1730</v>
      </c>
      <c r="S1366" s="2" t="s">
        <v>183</v>
      </c>
      <c r="T1366" s="2" t="s">
        <v>1189</v>
      </c>
      <c r="W1366" s="4">
        <v>370</v>
      </c>
      <c r="X1366" s="4">
        <f>SrcDB[[#This Row],[Cena bez DPH]]*1.2</f>
        <v>444</v>
      </c>
      <c r="Y1366" s="4">
        <f t="shared" ref="Y1366" si="1530">INDEX(InternalRates,MATCH($S1366,InternalRates01,FALSE),2)</f>
        <v>278.98333333333335</v>
      </c>
      <c r="Z1366" s="3" t="str">
        <f t="shared" si="1502"/>
        <v>Nie</v>
      </c>
      <c r="AA1366" s="3" t="str">
        <f t="shared" si="1503"/>
        <v>SLA</v>
      </c>
      <c r="AB1366" s="4">
        <v>1000</v>
      </c>
      <c r="AC1366" s="4">
        <f>SrcDB[[#This Row],[Množstvo práce]]/3</f>
        <v>333.33333333333331</v>
      </c>
      <c r="AD1366" s="3" t="s">
        <v>48</v>
      </c>
      <c r="AE1366" s="6">
        <v>45682</v>
      </c>
      <c r="AF1366" s="3" t="s">
        <v>59</v>
      </c>
      <c r="AG1366" s="3" t="s">
        <v>48</v>
      </c>
      <c r="AH1366" s="3">
        <f>YEAR(SrcDB[[#This Row],[Datum_zverejnenia]])</f>
        <v>2024</v>
      </c>
      <c r="AI1366" s="3" cm="1">
        <f t="array" ref="AI1366">COUNT(_xlfn.UNIQUE(_xlfn._xlws.FILTER(SrcDB[ID],SrcDB[Objednavatel_ICO]=$H1366)))</f>
        <v>1</v>
      </c>
      <c r="AJ1366" s="3" cm="1">
        <f t="array" ref="AJ1366">COUNT(_xlfn.UNIQUE(_xlfn._xlws.FILTER(SrcDB[ID],SrcDB[Dodavatel_ICO]=$K1366)))</f>
        <v>34</v>
      </c>
      <c r="AK1366" s="3">
        <f t="shared" si="1505"/>
        <v>1</v>
      </c>
      <c r="AL1366" s="3">
        <f t="shared" si="1506"/>
        <v>1</v>
      </c>
      <c r="AM1366" s="17" t="str">
        <f>IF(SrcDB[[#This Row],[Pocet zmluv objednavatela]]&gt;3,SrcDB[[#This Row],[Objednavatel]],"Ostatné")</f>
        <v>Ostatné</v>
      </c>
      <c r="AN1366" s="17" t="str">
        <f>IF(SrcDB[[#This Row],[Pocet zmluv dodavatela]]&gt;3,SrcDB[[#This Row],[Dodavatel]],"Ostatné")</f>
        <v>Asseco Central Europe, a.s.</v>
      </c>
    </row>
    <row r="1367" spans="1:40" x14ac:dyDescent="0.3">
      <c r="A1367" s="2" t="s">
        <v>1731</v>
      </c>
      <c r="B1367" s="2">
        <v>9457954</v>
      </c>
      <c r="C1367" s="3" t="str">
        <f t="shared" si="1497"/>
        <v>Nie</v>
      </c>
      <c r="D1367" s="3" t="str">
        <f t="shared" si="1498"/>
        <v>Áno</v>
      </c>
      <c r="E1367" s="3" t="s">
        <v>48</v>
      </c>
      <c r="F1367" s="3" t="s">
        <v>49</v>
      </c>
      <c r="G1367" s="2" t="str">
        <f t="shared" si="1499"/>
        <v>Stredné zmluvy</v>
      </c>
      <c r="H1367" s="5" t="s">
        <v>514</v>
      </c>
      <c r="I1367" s="2" t="s">
        <v>515</v>
      </c>
      <c r="J1367" s="2" t="s">
        <v>516</v>
      </c>
      <c r="K1367" s="5">
        <v>31410952</v>
      </c>
      <c r="L1367" s="2" t="s">
        <v>361</v>
      </c>
      <c r="M1367" s="2" t="s">
        <v>362</v>
      </c>
      <c r="N1367" s="6">
        <v>45473</v>
      </c>
      <c r="O1367" s="4">
        <v>7088012</v>
      </c>
      <c r="P1367" s="2">
        <v>114654</v>
      </c>
      <c r="Q1367" s="2" t="s">
        <v>1732</v>
      </c>
      <c r="R1367" s="2" t="s">
        <v>1733</v>
      </c>
      <c r="S1367" s="2" t="s">
        <v>73</v>
      </c>
      <c r="T1367" s="2" t="s">
        <v>1734</v>
      </c>
      <c r="W1367" s="4">
        <v>620</v>
      </c>
      <c r="X1367" s="4">
        <f>SrcDB[[#This Row],[Cena bez DPH]]*1.2</f>
        <v>744</v>
      </c>
      <c r="Y1367" s="4">
        <f t="shared" ref="Y1367" si="1531">INDEX(InternalRates,MATCH($S1367,InternalRates01,FALSE),2)</f>
        <v>278.98333333333335</v>
      </c>
      <c r="Z1367" s="3" t="str">
        <f t="shared" si="1502"/>
        <v>Nie</v>
      </c>
      <c r="AA1367" s="3" t="str">
        <f t="shared" si="1503"/>
        <v>SLA</v>
      </c>
      <c r="AD1367" s="3" t="s">
        <v>48</v>
      </c>
      <c r="AE1367" s="6">
        <v>45682</v>
      </c>
      <c r="AF1367" s="3" t="s">
        <v>59</v>
      </c>
      <c r="AG1367" s="3" t="s">
        <v>49</v>
      </c>
      <c r="AH1367" s="3">
        <f>YEAR(SrcDB[[#This Row],[Datum_zverejnenia]])</f>
        <v>2024</v>
      </c>
      <c r="AI1367" s="3" cm="1">
        <f t="array" ref="AI1367">COUNT(_xlfn.UNIQUE(_xlfn._xlws.FILTER(SrcDB[ID],SrcDB[Objednavatel_ICO]=$H1367)))</f>
        <v>3</v>
      </c>
      <c r="AJ1367" s="3" cm="1">
        <f t="array" ref="AJ1367">COUNT(_xlfn.UNIQUE(_xlfn._xlws.FILTER(SrcDB[ID],SrcDB[Dodavatel_ICO]=$K1367)))</f>
        <v>5</v>
      </c>
      <c r="AK1367" s="3">
        <f t="shared" si="1505"/>
        <v>1</v>
      </c>
      <c r="AL1367" s="3">
        <f t="shared" si="1506"/>
        <v>1</v>
      </c>
      <c r="AM1367" s="17" t="str">
        <f>IF(SrcDB[[#This Row],[Pocet zmluv objednavatela]]&gt;3,SrcDB[[#This Row],[Objednavatel]],"Ostatné")</f>
        <v>Ostatné</v>
      </c>
      <c r="AN1367" s="17" t="str">
        <f>IF(SrcDB[[#This Row],[Pocet zmluv dodavatela]]&gt;3,SrcDB[[#This Row],[Dodavatel]],"Ostatné")</f>
        <v>MICROCOMP – Computersystém s.r.o.</v>
      </c>
    </row>
    <row r="1368" spans="1:40" x14ac:dyDescent="0.3">
      <c r="A1368" s="2" t="s">
        <v>1731</v>
      </c>
      <c r="B1368" s="2">
        <v>9457954</v>
      </c>
      <c r="C1368" s="3" t="str">
        <f t="shared" si="1497"/>
        <v>Nie</v>
      </c>
      <c r="D1368" s="3" t="str">
        <f t="shared" si="1498"/>
        <v>Áno</v>
      </c>
      <c r="E1368" s="3" t="s">
        <v>48</v>
      </c>
      <c r="F1368" s="3" t="s">
        <v>49</v>
      </c>
      <c r="G1368" s="2" t="str">
        <f t="shared" si="1499"/>
        <v>Stredné zmluvy</v>
      </c>
      <c r="H1368" s="5" t="s">
        <v>514</v>
      </c>
      <c r="I1368" s="2" t="s">
        <v>515</v>
      </c>
      <c r="J1368" s="2" t="s">
        <v>516</v>
      </c>
      <c r="K1368" s="5">
        <v>31410952</v>
      </c>
      <c r="L1368" s="2" t="s">
        <v>361</v>
      </c>
      <c r="M1368" s="2" t="s">
        <v>362</v>
      </c>
      <c r="N1368" s="6">
        <v>45473</v>
      </c>
      <c r="O1368" s="4">
        <v>7088012</v>
      </c>
      <c r="P1368" s="2">
        <v>114654</v>
      </c>
      <c r="Q1368" s="2" t="s">
        <v>1732</v>
      </c>
      <c r="R1368" s="2" t="s">
        <v>1733</v>
      </c>
      <c r="S1368" s="2" t="s">
        <v>71</v>
      </c>
      <c r="T1368" s="2" t="s">
        <v>196</v>
      </c>
      <c r="W1368" s="4">
        <v>620</v>
      </c>
      <c r="X1368" s="4">
        <f>SrcDB[[#This Row],[Cena bez DPH]]*1.2</f>
        <v>744</v>
      </c>
      <c r="Y1368" s="4">
        <f t="shared" ref="Y1368" si="1532">INDEX(InternalRates,MATCH($S1368,InternalRates01,FALSE),2)</f>
        <v>354.0333333333333</v>
      </c>
      <c r="Z1368" s="3" t="str">
        <f t="shared" si="1502"/>
        <v>Nie</v>
      </c>
      <c r="AA1368" s="3" t="str">
        <f t="shared" si="1503"/>
        <v>SLA</v>
      </c>
      <c r="AD1368" s="3" t="s">
        <v>48</v>
      </c>
      <c r="AE1368" s="6">
        <v>45682</v>
      </c>
      <c r="AF1368" s="3" t="s">
        <v>59</v>
      </c>
      <c r="AG1368" s="3" t="s">
        <v>49</v>
      </c>
      <c r="AH1368" s="3">
        <f>YEAR(SrcDB[[#This Row],[Datum_zverejnenia]])</f>
        <v>2024</v>
      </c>
      <c r="AI1368" s="3" cm="1">
        <f t="array" ref="AI1368">COUNT(_xlfn.UNIQUE(_xlfn._xlws.FILTER(SrcDB[ID],SrcDB[Objednavatel_ICO]=$H1368)))</f>
        <v>3</v>
      </c>
      <c r="AJ1368" s="3" cm="1">
        <f t="array" ref="AJ1368">COUNT(_xlfn.UNIQUE(_xlfn._xlws.FILTER(SrcDB[ID],SrcDB[Dodavatel_ICO]=$K1368)))</f>
        <v>5</v>
      </c>
      <c r="AK1368" s="3">
        <f t="shared" si="1505"/>
        <v>0</v>
      </c>
      <c r="AL1368" s="3">
        <f t="shared" si="1506"/>
        <v>0</v>
      </c>
      <c r="AM1368" s="17" t="str">
        <f>IF(SrcDB[[#This Row],[Pocet zmluv objednavatela]]&gt;3,SrcDB[[#This Row],[Objednavatel]],"Ostatné")</f>
        <v>Ostatné</v>
      </c>
      <c r="AN1368" s="17" t="str">
        <f>IF(SrcDB[[#This Row],[Pocet zmluv dodavatela]]&gt;3,SrcDB[[#This Row],[Dodavatel]],"Ostatné")</f>
        <v>MICROCOMP – Computersystém s.r.o.</v>
      </c>
    </row>
    <row r="1369" spans="1:40" x14ac:dyDescent="0.3">
      <c r="A1369" s="2" t="s">
        <v>1731</v>
      </c>
      <c r="B1369" s="2">
        <v>9457954</v>
      </c>
      <c r="C1369" s="3" t="str">
        <f t="shared" si="1497"/>
        <v>Nie</v>
      </c>
      <c r="D1369" s="3" t="str">
        <f t="shared" si="1498"/>
        <v>Áno</v>
      </c>
      <c r="E1369" s="3" t="s">
        <v>48</v>
      </c>
      <c r="F1369" s="3" t="s">
        <v>49</v>
      </c>
      <c r="G1369" s="2" t="str">
        <f t="shared" si="1499"/>
        <v>Stredné zmluvy</v>
      </c>
      <c r="H1369" s="5" t="s">
        <v>514</v>
      </c>
      <c r="I1369" s="2" t="s">
        <v>515</v>
      </c>
      <c r="J1369" s="2" t="s">
        <v>516</v>
      </c>
      <c r="K1369" s="5">
        <v>31410952</v>
      </c>
      <c r="L1369" s="2" t="s">
        <v>361</v>
      </c>
      <c r="M1369" s="2" t="s">
        <v>362</v>
      </c>
      <c r="N1369" s="6">
        <v>45473</v>
      </c>
      <c r="O1369" s="4">
        <v>7088012</v>
      </c>
      <c r="P1369" s="2">
        <v>114654</v>
      </c>
      <c r="Q1369" s="2" t="s">
        <v>1732</v>
      </c>
      <c r="R1369" s="2" t="s">
        <v>1733</v>
      </c>
      <c r="S1369" s="2" t="s">
        <v>77</v>
      </c>
      <c r="T1369" s="2" t="s">
        <v>77</v>
      </c>
      <c r="W1369" s="4">
        <v>600</v>
      </c>
      <c r="X1369" s="4">
        <f>SrcDB[[#This Row],[Cena bez DPH]]*1.2</f>
        <v>720</v>
      </c>
      <c r="Y1369" s="4">
        <f t="shared" ref="Y1369" si="1533">INDEX(InternalRates,MATCH($S1369,InternalRates01,FALSE),2)</f>
        <v>278.98333333333335</v>
      </c>
      <c r="Z1369" s="3" t="str">
        <f t="shared" si="1502"/>
        <v>Nie</v>
      </c>
      <c r="AA1369" s="3" t="str">
        <f t="shared" si="1503"/>
        <v>SLA</v>
      </c>
      <c r="AD1369" s="3" t="s">
        <v>48</v>
      </c>
      <c r="AE1369" s="6">
        <v>45682</v>
      </c>
      <c r="AF1369" s="3" t="s">
        <v>59</v>
      </c>
      <c r="AG1369" s="3" t="s">
        <v>49</v>
      </c>
      <c r="AH1369" s="3">
        <f>YEAR(SrcDB[[#This Row],[Datum_zverejnenia]])</f>
        <v>2024</v>
      </c>
      <c r="AI1369" s="3" cm="1">
        <f t="array" ref="AI1369">COUNT(_xlfn.UNIQUE(_xlfn._xlws.FILTER(SrcDB[ID],SrcDB[Objednavatel_ICO]=$H1369)))</f>
        <v>3</v>
      </c>
      <c r="AJ1369" s="3" cm="1">
        <f t="array" ref="AJ1369">COUNT(_xlfn.UNIQUE(_xlfn._xlws.FILTER(SrcDB[ID],SrcDB[Dodavatel_ICO]=$K1369)))</f>
        <v>5</v>
      </c>
      <c r="AK1369" s="3">
        <f t="shared" si="1505"/>
        <v>0</v>
      </c>
      <c r="AL1369" s="3">
        <f t="shared" si="1506"/>
        <v>0</v>
      </c>
      <c r="AM1369" s="17" t="str">
        <f>IF(SrcDB[[#This Row],[Pocet zmluv objednavatela]]&gt;3,SrcDB[[#This Row],[Objednavatel]],"Ostatné")</f>
        <v>Ostatné</v>
      </c>
      <c r="AN1369" s="17" t="str">
        <f>IF(SrcDB[[#This Row],[Pocet zmluv dodavatela]]&gt;3,SrcDB[[#This Row],[Dodavatel]],"Ostatné")</f>
        <v>MICROCOMP – Computersystém s.r.o.</v>
      </c>
    </row>
    <row r="1370" spans="1:40" x14ac:dyDescent="0.3">
      <c r="A1370" s="2" t="s">
        <v>1731</v>
      </c>
      <c r="B1370" s="2">
        <v>9457954</v>
      </c>
      <c r="C1370" s="3" t="str">
        <f t="shared" si="1497"/>
        <v>Nie</v>
      </c>
      <c r="D1370" s="3" t="str">
        <f t="shared" si="1498"/>
        <v>Áno</v>
      </c>
      <c r="E1370" s="3" t="s">
        <v>48</v>
      </c>
      <c r="F1370" s="3" t="s">
        <v>49</v>
      </c>
      <c r="G1370" s="2" t="str">
        <f t="shared" si="1499"/>
        <v>Stredné zmluvy</v>
      </c>
      <c r="H1370" s="5" t="s">
        <v>514</v>
      </c>
      <c r="I1370" s="2" t="s">
        <v>515</v>
      </c>
      <c r="J1370" s="2" t="s">
        <v>516</v>
      </c>
      <c r="K1370" s="5">
        <v>31410952</v>
      </c>
      <c r="L1370" s="2" t="s">
        <v>361</v>
      </c>
      <c r="M1370" s="2" t="s">
        <v>362</v>
      </c>
      <c r="N1370" s="6">
        <v>45473</v>
      </c>
      <c r="O1370" s="4">
        <v>7088012</v>
      </c>
      <c r="P1370" s="2">
        <v>114654</v>
      </c>
      <c r="Q1370" s="2" t="s">
        <v>1732</v>
      </c>
      <c r="R1370" s="2" t="s">
        <v>1733</v>
      </c>
      <c r="S1370" s="2" t="s">
        <v>79</v>
      </c>
      <c r="T1370" s="2" t="s">
        <v>79</v>
      </c>
      <c r="W1370" s="4">
        <v>490</v>
      </c>
      <c r="X1370" s="4">
        <f>SrcDB[[#This Row],[Cena bez DPH]]*1.2</f>
        <v>588</v>
      </c>
      <c r="Y1370" s="4">
        <f t="shared" ref="Y1370" si="1534">INDEX(InternalRates,MATCH($S1370,InternalRates01,FALSE),2)</f>
        <v>278.98333333333335</v>
      </c>
      <c r="Z1370" s="3" t="str">
        <f t="shared" si="1502"/>
        <v>Nie</v>
      </c>
      <c r="AA1370" s="3" t="str">
        <f t="shared" si="1503"/>
        <v>SLA</v>
      </c>
      <c r="AD1370" s="3" t="s">
        <v>48</v>
      </c>
      <c r="AE1370" s="6">
        <v>45682</v>
      </c>
      <c r="AF1370" s="3" t="s">
        <v>59</v>
      </c>
      <c r="AG1370" s="3" t="s">
        <v>49</v>
      </c>
      <c r="AH1370" s="3">
        <f>YEAR(SrcDB[[#This Row],[Datum_zverejnenia]])</f>
        <v>2024</v>
      </c>
      <c r="AI1370" s="3" cm="1">
        <f t="array" ref="AI1370">COUNT(_xlfn.UNIQUE(_xlfn._xlws.FILTER(SrcDB[ID],SrcDB[Objednavatel_ICO]=$H1370)))</f>
        <v>3</v>
      </c>
      <c r="AJ1370" s="3" cm="1">
        <f t="array" ref="AJ1370">COUNT(_xlfn.UNIQUE(_xlfn._xlws.FILTER(SrcDB[ID],SrcDB[Dodavatel_ICO]=$K1370)))</f>
        <v>5</v>
      </c>
      <c r="AK1370" s="3">
        <f t="shared" si="1505"/>
        <v>0</v>
      </c>
      <c r="AL1370" s="3">
        <f t="shared" si="1506"/>
        <v>0</v>
      </c>
      <c r="AM1370" s="17" t="str">
        <f>IF(SrcDB[[#This Row],[Pocet zmluv objednavatela]]&gt;3,SrcDB[[#This Row],[Objednavatel]],"Ostatné")</f>
        <v>Ostatné</v>
      </c>
      <c r="AN1370" s="17" t="str">
        <f>IF(SrcDB[[#This Row],[Pocet zmluv dodavatela]]&gt;3,SrcDB[[#This Row],[Dodavatel]],"Ostatné")</f>
        <v>MICROCOMP – Computersystém s.r.o.</v>
      </c>
    </row>
    <row r="1371" spans="1:40" x14ac:dyDescent="0.3">
      <c r="A1371" s="2" t="s">
        <v>1731</v>
      </c>
      <c r="B1371" s="2">
        <v>9457954</v>
      </c>
      <c r="C1371" s="3" t="str">
        <f t="shared" si="1497"/>
        <v>Nie</v>
      </c>
      <c r="D1371" s="3" t="str">
        <f t="shared" si="1498"/>
        <v>Áno</v>
      </c>
      <c r="E1371" s="3" t="s">
        <v>48</v>
      </c>
      <c r="F1371" s="3" t="s">
        <v>49</v>
      </c>
      <c r="G1371" s="2" t="str">
        <f t="shared" si="1499"/>
        <v>Stredné zmluvy</v>
      </c>
      <c r="H1371" s="5" t="s">
        <v>514</v>
      </c>
      <c r="I1371" s="2" t="s">
        <v>515</v>
      </c>
      <c r="J1371" s="2" t="s">
        <v>516</v>
      </c>
      <c r="K1371" s="5">
        <v>31410952</v>
      </c>
      <c r="L1371" s="2" t="s">
        <v>361</v>
      </c>
      <c r="M1371" s="2" t="s">
        <v>362</v>
      </c>
      <c r="N1371" s="6">
        <v>45473</v>
      </c>
      <c r="O1371" s="4">
        <v>7088012</v>
      </c>
      <c r="P1371" s="2">
        <v>114654</v>
      </c>
      <c r="Q1371" s="2" t="s">
        <v>1732</v>
      </c>
      <c r="R1371" s="2" t="s">
        <v>1733</v>
      </c>
      <c r="S1371" s="2" t="s">
        <v>162</v>
      </c>
      <c r="T1371" s="2" t="s">
        <v>645</v>
      </c>
      <c r="W1371" s="4">
        <v>550</v>
      </c>
      <c r="X1371" s="4">
        <f>SrcDB[[#This Row],[Cena bez DPH]]*1.2</f>
        <v>660</v>
      </c>
      <c r="Y1371" s="4">
        <f t="shared" ref="Y1371" si="1535">INDEX(InternalRates,MATCH($S1371,InternalRates01,FALSE),2)</f>
        <v>231.85833333333335</v>
      </c>
      <c r="Z1371" s="3" t="str">
        <f t="shared" si="1502"/>
        <v>Nie</v>
      </c>
      <c r="AA1371" s="3" t="str">
        <f t="shared" si="1503"/>
        <v>SLA</v>
      </c>
      <c r="AD1371" s="3" t="s">
        <v>48</v>
      </c>
      <c r="AE1371" s="6">
        <v>45682</v>
      </c>
      <c r="AF1371" s="3" t="s">
        <v>59</v>
      </c>
      <c r="AG1371" s="3" t="s">
        <v>49</v>
      </c>
      <c r="AH1371" s="3">
        <f>YEAR(SrcDB[[#This Row],[Datum_zverejnenia]])</f>
        <v>2024</v>
      </c>
      <c r="AI1371" s="3" cm="1">
        <f t="array" ref="AI1371">COUNT(_xlfn.UNIQUE(_xlfn._xlws.FILTER(SrcDB[ID],SrcDB[Objednavatel_ICO]=$H1371)))</f>
        <v>3</v>
      </c>
      <c r="AJ1371" s="3" cm="1">
        <f t="array" ref="AJ1371">COUNT(_xlfn.UNIQUE(_xlfn._xlws.FILTER(SrcDB[ID],SrcDB[Dodavatel_ICO]=$K1371)))</f>
        <v>5</v>
      </c>
      <c r="AK1371" s="3">
        <f t="shared" si="1505"/>
        <v>0</v>
      </c>
      <c r="AL1371" s="3">
        <f t="shared" si="1506"/>
        <v>0</v>
      </c>
      <c r="AM1371" s="17" t="str">
        <f>IF(SrcDB[[#This Row],[Pocet zmluv objednavatela]]&gt;3,SrcDB[[#This Row],[Objednavatel]],"Ostatné")</f>
        <v>Ostatné</v>
      </c>
      <c r="AN1371" s="17" t="str">
        <f>IF(SrcDB[[#This Row],[Pocet zmluv dodavatela]]&gt;3,SrcDB[[#This Row],[Dodavatel]],"Ostatné")</f>
        <v>MICROCOMP – Computersystém s.r.o.</v>
      </c>
    </row>
    <row r="1372" spans="1:40" x14ac:dyDescent="0.3">
      <c r="A1372" s="2" t="s">
        <v>1731</v>
      </c>
      <c r="B1372" s="2">
        <v>9457954</v>
      </c>
      <c r="C1372" s="3" t="str">
        <f t="shared" si="1497"/>
        <v>Nie</v>
      </c>
      <c r="D1372" s="3" t="str">
        <f t="shared" si="1498"/>
        <v>Áno</v>
      </c>
      <c r="E1372" s="3" t="s">
        <v>48</v>
      </c>
      <c r="F1372" s="3" t="s">
        <v>49</v>
      </c>
      <c r="G1372" s="2" t="str">
        <f t="shared" si="1499"/>
        <v>Stredné zmluvy</v>
      </c>
      <c r="H1372" s="5" t="s">
        <v>514</v>
      </c>
      <c r="I1372" s="2" t="s">
        <v>515</v>
      </c>
      <c r="J1372" s="2" t="s">
        <v>516</v>
      </c>
      <c r="K1372" s="5">
        <v>31410952</v>
      </c>
      <c r="L1372" s="2" t="s">
        <v>361</v>
      </c>
      <c r="M1372" s="2" t="s">
        <v>362</v>
      </c>
      <c r="N1372" s="6">
        <v>45473</v>
      </c>
      <c r="O1372" s="4">
        <v>7088012</v>
      </c>
      <c r="P1372" s="2">
        <v>114654</v>
      </c>
      <c r="Q1372" s="2" t="s">
        <v>1732</v>
      </c>
      <c r="R1372" s="2" t="s">
        <v>1733</v>
      </c>
      <c r="S1372" s="2" t="s">
        <v>56</v>
      </c>
      <c r="T1372" s="2" t="s">
        <v>522</v>
      </c>
      <c r="U1372" s="2" t="s">
        <v>289</v>
      </c>
      <c r="W1372" s="4">
        <v>590</v>
      </c>
      <c r="X1372" s="4">
        <f>SrcDB[[#This Row],[Cena bez DPH]]*1.2</f>
        <v>708</v>
      </c>
      <c r="Y1372" s="4">
        <f t="shared" ref="Y1372" si="1536">INDEX(InternalRates,MATCH($S1372,InternalRates01,FALSE),2)</f>
        <v>278.98333333333335</v>
      </c>
      <c r="Z1372" s="3" t="str">
        <f t="shared" si="1502"/>
        <v>Nie</v>
      </c>
      <c r="AA1372" s="3" t="str">
        <f t="shared" si="1503"/>
        <v>SLA</v>
      </c>
      <c r="AD1372" s="3" t="s">
        <v>48</v>
      </c>
      <c r="AE1372" s="6">
        <v>45682</v>
      </c>
      <c r="AF1372" s="3" t="s">
        <v>59</v>
      </c>
      <c r="AG1372" s="3" t="s">
        <v>49</v>
      </c>
      <c r="AH1372" s="3">
        <f>YEAR(SrcDB[[#This Row],[Datum_zverejnenia]])</f>
        <v>2024</v>
      </c>
      <c r="AI1372" s="3" cm="1">
        <f t="array" ref="AI1372">COUNT(_xlfn.UNIQUE(_xlfn._xlws.FILTER(SrcDB[ID],SrcDB[Objednavatel_ICO]=$H1372)))</f>
        <v>3</v>
      </c>
      <c r="AJ1372" s="3" cm="1">
        <f t="array" ref="AJ1372">COUNT(_xlfn.UNIQUE(_xlfn._xlws.FILTER(SrcDB[ID],SrcDB[Dodavatel_ICO]=$K1372)))</f>
        <v>5</v>
      </c>
      <c r="AK1372" s="3">
        <f t="shared" si="1505"/>
        <v>0</v>
      </c>
      <c r="AL1372" s="3">
        <f t="shared" si="1506"/>
        <v>0</v>
      </c>
      <c r="AM1372" s="17" t="str">
        <f>IF(SrcDB[[#This Row],[Pocet zmluv objednavatela]]&gt;3,SrcDB[[#This Row],[Objednavatel]],"Ostatné")</f>
        <v>Ostatné</v>
      </c>
      <c r="AN1372" s="17" t="str">
        <f>IF(SrcDB[[#This Row],[Pocet zmluv dodavatela]]&gt;3,SrcDB[[#This Row],[Dodavatel]],"Ostatné")</f>
        <v>MICROCOMP – Computersystém s.r.o.</v>
      </c>
    </row>
    <row r="1373" spans="1:40" x14ac:dyDescent="0.3">
      <c r="A1373" s="2" t="s">
        <v>1731</v>
      </c>
      <c r="B1373" s="2">
        <v>9457954</v>
      </c>
      <c r="C1373" s="3" t="str">
        <f t="shared" si="1497"/>
        <v>Nie</v>
      </c>
      <c r="D1373" s="3" t="str">
        <f t="shared" si="1498"/>
        <v>Áno</v>
      </c>
      <c r="E1373" s="3" t="s">
        <v>48</v>
      </c>
      <c r="F1373" s="3" t="s">
        <v>49</v>
      </c>
      <c r="G1373" s="2" t="str">
        <f t="shared" si="1499"/>
        <v>Stredné zmluvy</v>
      </c>
      <c r="H1373" s="5" t="s">
        <v>514</v>
      </c>
      <c r="I1373" s="2" t="s">
        <v>515</v>
      </c>
      <c r="J1373" s="2" t="s">
        <v>516</v>
      </c>
      <c r="K1373" s="5">
        <v>31410952</v>
      </c>
      <c r="L1373" s="2" t="s">
        <v>361</v>
      </c>
      <c r="M1373" s="2" t="s">
        <v>362</v>
      </c>
      <c r="N1373" s="6">
        <v>45473</v>
      </c>
      <c r="O1373" s="4">
        <v>7088012</v>
      </c>
      <c r="P1373" s="2">
        <v>114654</v>
      </c>
      <c r="Q1373" s="2" t="s">
        <v>1732</v>
      </c>
      <c r="R1373" s="2" t="s">
        <v>1733</v>
      </c>
      <c r="S1373" s="2" t="s">
        <v>69</v>
      </c>
      <c r="T1373" s="2" t="s">
        <v>647</v>
      </c>
      <c r="W1373" s="4">
        <v>590</v>
      </c>
      <c r="X1373" s="4">
        <f>SrcDB[[#This Row],[Cena bez DPH]]*1.2</f>
        <v>708</v>
      </c>
      <c r="Y1373" s="4">
        <f t="shared" ref="Y1373" si="1537">INDEX(InternalRates,MATCH($S1373,InternalRates01,FALSE),2)</f>
        <v>278.98333333333335</v>
      </c>
      <c r="Z1373" s="3" t="str">
        <f t="shared" si="1502"/>
        <v>Nie</v>
      </c>
      <c r="AA1373" s="3" t="str">
        <f t="shared" si="1503"/>
        <v>SLA</v>
      </c>
      <c r="AD1373" s="3" t="s">
        <v>48</v>
      </c>
      <c r="AE1373" s="6">
        <v>45682</v>
      </c>
      <c r="AF1373" s="3" t="s">
        <v>59</v>
      </c>
      <c r="AG1373" s="3" t="s">
        <v>49</v>
      </c>
      <c r="AH1373" s="3">
        <f>YEAR(SrcDB[[#This Row],[Datum_zverejnenia]])</f>
        <v>2024</v>
      </c>
      <c r="AI1373" s="3" cm="1">
        <f t="array" ref="AI1373">COUNT(_xlfn.UNIQUE(_xlfn._xlws.FILTER(SrcDB[ID],SrcDB[Objednavatel_ICO]=$H1373)))</f>
        <v>3</v>
      </c>
      <c r="AJ1373" s="3" cm="1">
        <f t="array" ref="AJ1373">COUNT(_xlfn.UNIQUE(_xlfn._xlws.FILTER(SrcDB[ID],SrcDB[Dodavatel_ICO]=$K1373)))</f>
        <v>5</v>
      </c>
      <c r="AK1373" s="3">
        <f t="shared" si="1505"/>
        <v>0</v>
      </c>
      <c r="AL1373" s="3">
        <f t="shared" si="1506"/>
        <v>0</v>
      </c>
      <c r="AM1373" s="17" t="str">
        <f>IF(SrcDB[[#This Row],[Pocet zmluv objednavatela]]&gt;3,SrcDB[[#This Row],[Objednavatel]],"Ostatné")</f>
        <v>Ostatné</v>
      </c>
      <c r="AN1373" s="17" t="str">
        <f>IF(SrcDB[[#This Row],[Pocet zmluv dodavatela]]&gt;3,SrcDB[[#This Row],[Dodavatel]],"Ostatné")</f>
        <v>MICROCOMP – Computersystém s.r.o.</v>
      </c>
    </row>
    <row r="1374" spans="1:40" x14ac:dyDescent="0.3">
      <c r="A1374" s="2" t="s">
        <v>1731</v>
      </c>
      <c r="B1374" s="2">
        <v>9457954</v>
      </c>
      <c r="C1374" s="3" t="str">
        <f t="shared" si="1497"/>
        <v>Nie</v>
      </c>
      <c r="D1374" s="3" t="str">
        <f t="shared" si="1498"/>
        <v>Áno</v>
      </c>
      <c r="E1374" s="3" t="s">
        <v>48</v>
      </c>
      <c r="F1374" s="3" t="s">
        <v>49</v>
      </c>
      <c r="G1374" s="2" t="str">
        <f t="shared" si="1499"/>
        <v>Stredné zmluvy</v>
      </c>
      <c r="H1374" s="5" t="s">
        <v>514</v>
      </c>
      <c r="I1374" s="2" t="s">
        <v>515</v>
      </c>
      <c r="J1374" s="2" t="s">
        <v>516</v>
      </c>
      <c r="K1374" s="5">
        <v>31410952</v>
      </c>
      <c r="L1374" s="2" t="s">
        <v>361</v>
      </c>
      <c r="M1374" s="2" t="s">
        <v>362</v>
      </c>
      <c r="N1374" s="6">
        <v>45473</v>
      </c>
      <c r="O1374" s="4">
        <v>7088012</v>
      </c>
      <c r="P1374" s="2">
        <v>114654</v>
      </c>
      <c r="Q1374" s="2" t="s">
        <v>1732</v>
      </c>
      <c r="R1374" s="2" t="s">
        <v>1733</v>
      </c>
      <c r="S1374" s="2" t="s">
        <v>56</v>
      </c>
      <c r="T1374" s="2" t="s">
        <v>1735</v>
      </c>
      <c r="U1374" s="2" t="s">
        <v>95</v>
      </c>
      <c r="W1374" s="4">
        <v>600</v>
      </c>
      <c r="X1374" s="4">
        <f>SrcDB[[#This Row],[Cena bez DPH]]*1.2</f>
        <v>720</v>
      </c>
      <c r="Y1374" s="4">
        <f t="shared" ref="Y1374" si="1538">INDEX(InternalRates,MATCH($S1374,InternalRates01,FALSE),2)</f>
        <v>278.98333333333335</v>
      </c>
      <c r="Z1374" s="3" t="str">
        <f t="shared" si="1502"/>
        <v>Nie</v>
      </c>
      <c r="AA1374" s="3" t="str">
        <f t="shared" si="1503"/>
        <v>SLA</v>
      </c>
      <c r="AD1374" s="3" t="s">
        <v>48</v>
      </c>
      <c r="AE1374" s="6">
        <v>45682</v>
      </c>
      <c r="AF1374" s="3" t="s">
        <v>59</v>
      </c>
      <c r="AG1374" s="3" t="s">
        <v>49</v>
      </c>
      <c r="AH1374" s="3">
        <f>YEAR(SrcDB[[#This Row],[Datum_zverejnenia]])</f>
        <v>2024</v>
      </c>
      <c r="AI1374" s="3" cm="1">
        <f t="array" ref="AI1374">COUNT(_xlfn.UNIQUE(_xlfn._xlws.FILTER(SrcDB[ID],SrcDB[Objednavatel_ICO]=$H1374)))</f>
        <v>3</v>
      </c>
      <c r="AJ1374" s="3" cm="1">
        <f t="array" ref="AJ1374">COUNT(_xlfn.UNIQUE(_xlfn._xlws.FILTER(SrcDB[ID],SrcDB[Dodavatel_ICO]=$K1374)))</f>
        <v>5</v>
      </c>
      <c r="AK1374" s="3">
        <f t="shared" si="1505"/>
        <v>0</v>
      </c>
      <c r="AL1374" s="3">
        <f t="shared" si="1506"/>
        <v>0</v>
      </c>
      <c r="AM1374" s="17" t="str">
        <f>IF(SrcDB[[#This Row],[Pocet zmluv objednavatela]]&gt;3,SrcDB[[#This Row],[Objednavatel]],"Ostatné")</f>
        <v>Ostatné</v>
      </c>
      <c r="AN1374" s="17" t="str">
        <f>IF(SrcDB[[#This Row],[Pocet zmluv dodavatela]]&gt;3,SrcDB[[#This Row],[Dodavatel]],"Ostatné")</f>
        <v>MICROCOMP – Computersystém s.r.o.</v>
      </c>
    </row>
    <row r="1375" spans="1:40" x14ac:dyDescent="0.3">
      <c r="A1375" s="2" t="s">
        <v>1731</v>
      </c>
      <c r="B1375" s="2">
        <v>9457954</v>
      </c>
      <c r="C1375" s="3" t="str">
        <f t="shared" si="1497"/>
        <v>Nie</v>
      </c>
      <c r="D1375" s="3" t="str">
        <f t="shared" si="1498"/>
        <v>Áno</v>
      </c>
      <c r="E1375" s="3" t="s">
        <v>48</v>
      </c>
      <c r="F1375" s="3" t="s">
        <v>49</v>
      </c>
      <c r="G1375" s="2" t="str">
        <f t="shared" si="1499"/>
        <v>Stredné zmluvy</v>
      </c>
      <c r="H1375" s="5" t="s">
        <v>514</v>
      </c>
      <c r="I1375" s="2" t="s">
        <v>515</v>
      </c>
      <c r="J1375" s="2" t="s">
        <v>516</v>
      </c>
      <c r="K1375" s="5">
        <v>31410952</v>
      </c>
      <c r="L1375" s="2" t="s">
        <v>361</v>
      </c>
      <c r="M1375" s="2" t="s">
        <v>362</v>
      </c>
      <c r="N1375" s="6">
        <v>45473</v>
      </c>
      <c r="O1375" s="4">
        <v>7088012</v>
      </c>
      <c r="P1375" s="2">
        <v>114654</v>
      </c>
      <c r="Q1375" s="2" t="s">
        <v>1732</v>
      </c>
      <c r="R1375" s="2" t="s">
        <v>1733</v>
      </c>
      <c r="S1375" s="2" t="s">
        <v>98</v>
      </c>
      <c r="T1375" s="2" t="s">
        <v>98</v>
      </c>
      <c r="W1375" s="4">
        <v>500</v>
      </c>
      <c r="X1375" s="4">
        <f>SrcDB[[#This Row],[Cena bez DPH]]*1.2</f>
        <v>600</v>
      </c>
      <c r="Y1375" s="4">
        <f t="shared" ref="Y1375" si="1539">INDEX(InternalRates,MATCH($S1375,InternalRates01,FALSE),2)</f>
        <v>278.98333333333335</v>
      </c>
      <c r="Z1375" s="3" t="str">
        <f t="shared" si="1502"/>
        <v>Nie</v>
      </c>
      <c r="AA1375" s="3" t="str">
        <f t="shared" si="1503"/>
        <v>SLA</v>
      </c>
      <c r="AD1375" s="3" t="s">
        <v>48</v>
      </c>
      <c r="AE1375" s="6">
        <v>45682</v>
      </c>
      <c r="AF1375" s="3" t="s">
        <v>59</v>
      </c>
      <c r="AG1375" s="3" t="s">
        <v>49</v>
      </c>
      <c r="AH1375" s="3">
        <f>YEAR(SrcDB[[#This Row],[Datum_zverejnenia]])</f>
        <v>2024</v>
      </c>
      <c r="AI1375" s="3" cm="1">
        <f t="array" ref="AI1375">COUNT(_xlfn.UNIQUE(_xlfn._xlws.FILTER(SrcDB[ID],SrcDB[Objednavatel_ICO]=$H1375)))</f>
        <v>3</v>
      </c>
      <c r="AJ1375" s="3" cm="1">
        <f t="array" ref="AJ1375">COUNT(_xlfn.UNIQUE(_xlfn._xlws.FILTER(SrcDB[ID],SrcDB[Dodavatel_ICO]=$K1375)))</f>
        <v>5</v>
      </c>
      <c r="AK1375" s="3">
        <f t="shared" si="1505"/>
        <v>0</v>
      </c>
      <c r="AL1375" s="3">
        <f t="shared" si="1506"/>
        <v>0</v>
      </c>
      <c r="AM1375" s="17" t="str">
        <f>IF(SrcDB[[#This Row],[Pocet zmluv objednavatela]]&gt;3,SrcDB[[#This Row],[Objednavatel]],"Ostatné")</f>
        <v>Ostatné</v>
      </c>
      <c r="AN1375" s="17" t="str">
        <f>IF(SrcDB[[#This Row],[Pocet zmluv dodavatela]]&gt;3,SrcDB[[#This Row],[Dodavatel]],"Ostatné")</f>
        <v>MICROCOMP – Computersystém s.r.o.</v>
      </c>
    </row>
    <row r="1376" spans="1:40" x14ac:dyDescent="0.3">
      <c r="A1376" s="2" t="s">
        <v>1736</v>
      </c>
      <c r="B1376" s="2">
        <v>9011473</v>
      </c>
      <c r="C1376" s="3" t="str">
        <f t="shared" si="1497"/>
        <v>Nie</v>
      </c>
      <c r="D1376" s="3" t="str">
        <f t="shared" si="1498"/>
        <v>Áno</v>
      </c>
      <c r="E1376" s="3" t="s">
        <v>48</v>
      </c>
      <c r="F1376" s="3" t="s">
        <v>49</v>
      </c>
      <c r="G1376" s="2" t="str">
        <f t="shared" si="1499"/>
        <v>Veľké zmluvy</v>
      </c>
      <c r="H1376" s="5">
        <v>36631124</v>
      </c>
      <c r="I1376" s="2" t="s">
        <v>104</v>
      </c>
      <c r="J1376" s="2" t="s">
        <v>105</v>
      </c>
      <c r="K1376" s="5" t="s">
        <v>1737</v>
      </c>
      <c r="L1376" s="2" t="s">
        <v>174</v>
      </c>
      <c r="M1376" s="2" t="s">
        <v>1738</v>
      </c>
      <c r="N1376" s="6">
        <v>45357</v>
      </c>
      <c r="O1376" s="4">
        <v>8573833.1999999993</v>
      </c>
      <c r="P1376" s="2">
        <v>114573</v>
      </c>
      <c r="Q1376" s="2" t="s">
        <v>1739</v>
      </c>
      <c r="R1376" s="2" t="s">
        <v>1740</v>
      </c>
      <c r="S1376" s="2" t="s">
        <v>56</v>
      </c>
      <c r="T1376" s="2" t="s">
        <v>1741</v>
      </c>
      <c r="U1376" s="2" t="s">
        <v>289</v>
      </c>
      <c r="W1376" s="4">
        <f>75*8</f>
        <v>600</v>
      </c>
      <c r="X1376" s="4">
        <f>SrcDB[[#This Row],[Cena bez DPH]]*1.2</f>
        <v>720</v>
      </c>
      <c r="Y1376" s="4">
        <f t="shared" ref="Y1376" si="1540">INDEX(InternalRates,MATCH($S1376,InternalRates01,FALSE),2)</f>
        <v>278.98333333333335</v>
      </c>
      <c r="Z1376" s="3" t="str">
        <f>IF(W1376&gt;0,IF(Y1376&gt;W1376,"Áno","Nie"),"Nie")</f>
        <v>Nie</v>
      </c>
      <c r="AA1376" s="3" t="str">
        <f>IF(E1376="Nie","SLA",IF(F1376="Nie","ZoD","SLA+ZoD"))</f>
        <v>SLA</v>
      </c>
      <c r="AD1376" s="3" t="s">
        <v>49</v>
      </c>
      <c r="AE1376" s="6">
        <v>45682</v>
      </c>
      <c r="AF1376" s="3" t="s">
        <v>59</v>
      </c>
      <c r="AG1376" s="3" t="s">
        <v>49</v>
      </c>
      <c r="AH1376" s="3">
        <f>YEAR(SrcDB[[#This Row],[Datum_zverejnenia]])</f>
        <v>2024</v>
      </c>
      <c r="AI1376" s="3" cm="1">
        <f t="array" ref="AI1376">COUNT(_xlfn.UNIQUE(_xlfn._xlws.FILTER(SrcDB[ID],SrcDB[Objednavatel_ICO]=$H1376)))</f>
        <v>17</v>
      </c>
      <c r="AJ1376" s="3" cm="1">
        <f t="array" ref="AJ1376">COUNT(_xlfn.UNIQUE(_xlfn._xlws.FILTER(SrcDB[ID],SrcDB[Dodavatel_ICO]=$K1376)))</f>
        <v>1</v>
      </c>
      <c r="AK1376" s="3">
        <f t="shared" si="1505"/>
        <v>1</v>
      </c>
      <c r="AL1376" s="3">
        <f t="shared" si="1506"/>
        <v>1</v>
      </c>
      <c r="AM1376" s="17" t="str">
        <f>IF(SrcDB[[#This Row],[Pocet zmluv objednavatela]]&gt;3,SrcDB[[#This Row],[Objednavatel]],"Ostatné")</f>
        <v>Slovenská pošta, a. s.</v>
      </c>
      <c r="AN1376" s="17" t="str">
        <f>IF(SrcDB[[#This Row],[Pocet zmluv dodavatela]]&gt;3,SrcDB[[#This Row],[Dodavatel]],"Ostatné")</f>
        <v>Ostatné</v>
      </c>
    </row>
    <row r="1377" spans="1:40" x14ac:dyDescent="0.3">
      <c r="A1377" s="2" t="s">
        <v>1736</v>
      </c>
      <c r="B1377" s="2">
        <v>9011473</v>
      </c>
      <c r="C1377" s="3" t="str">
        <f t="shared" si="1497"/>
        <v>Nie</v>
      </c>
      <c r="D1377" s="3" t="str">
        <f t="shared" si="1498"/>
        <v>Áno</v>
      </c>
      <c r="E1377" s="3" t="s">
        <v>48</v>
      </c>
      <c r="F1377" s="3" t="s">
        <v>49</v>
      </c>
      <c r="G1377" s="2" t="str">
        <f t="shared" si="1499"/>
        <v>Veľké zmluvy</v>
      </c>
      <c r="H1377" s="5">
        <v>36631124</v>
      </c>
      <c r="I1377" s="2" t="s">
        <v>104</v>
      </c>
      <c r="J1377" s="2" t="s">
        <v>105</v>
      </c>
      <c r="K1377" s="5" t="s">
        <v>1737</v>
      </c>
      <c r="L1377" s="2" t="s">
        <v>174</v>
      </c>
      <c r="M1377" s="2" t="s">
        <v>1738</v>
      </c>
      <c r="N1377" s="6">
        <v>45357</v>
      </c>
      <c r="O1377" s="4">
        <v>8573833.1999999993</v>
      </c>
      <c r="P1377" s="2">
        <v>114573</v>
      </c>
      <c r="Q1377" s="2" t="s">
        <v>1739</v>
      </c>
      <c r="R1377" s="2" t="s">
        <v>1740</v>
      </c>
      <c r="S1377" s="2" t="s">
        <v>162</v>
      </c>
      <c r="T1377" s="2" t="s">
        <v>1742</v>
      </c>
      <c r="W1377" s="4">
        <f>80*8</f>
        <v>640</v>
      </c>
      <c r="X1377" s="4">
        <f>SrcDB[[#This Row],[Cena bez DPH]]*1.2</f>
        <v>768</v>
      </c>
      <c r="Y1377" s="4">
        <f t="shared" ref="Y1377" si="1541">INDEX(InternalRates,MATCH($S1377,InternalRates01,FALSE),2)</f>
        <v>231.85833333333335</v>
      </c>
      <c r="Z1377" s="3" t="str">
        <f t="shared" ref="Z1377:Z1390" si="1542">IF(W1377&gt;0,IF(Y1377&gt;W1377,"Áno","Nie"),"Nie")</f>
        <v>Nie</v>
      </c>
      <c r="AA1377" s="3" t="str">
        <f t="shared" ref="AA1377:AA1390" si="1543">IF(E1377="Nie","SLA",IF(F1377="Nie","ZoD","SLA+ZoD"))</f>
        <v>SLA</v>
      </c>
      <c r="AD1377" s="3" t="s">
        <v>49</v>
      </c>
      <c r="AE1377" s="6">
        <v>45682</v>
      </c>
      <c r="AF1377" s="3" t="s">
        <v>59</v>
      </c>
      <c r="AG1377" s="3" t="s">
        <v>49</v>
      </c>
      <c r="AH1377" s="3">
        <f>YEAR(SrcDB[[#This Row],[Datum_zverejnenia]])</f>
        <v>2024</v>
      </c>
      <c r="AI1377" s="3" cm="1">
        <f t="array" ref="AI1377">COUNT(_xlfn.UNIQUE(_xlfn._xlws.FILTER(SrcDB[ID],SrcDB[Objednavatel_ICO]=$H1377)))</f>
        <v>17</v>
      </c>
      <c r="AJ1377" s="3" cm="1">
        <f t="array" ref="AJ1377">COUNT(_xlfn.UNIQUE(_xlfn._xlws.FILTER(SrcDB[ID],SrcDB[Dodavatel_ICO]=$K1377)))</f>
        <v>1</v>
      </c>
      <c r="AK1377" s="3">
        <f t="shared" si="1505"/>
        <v>0</v>
      </c>
      <c r="AL1377" s="3">
        <f t="shared" si="1506"/>
        <v>0</v>
      </c>
      <c r="AM1377" s="17" t="str">
        <f>IF(SrcDB[[#This Row],[Pocet zmluv objednavatela]]&gt;3,SrcDB[[#This Row],[Objednavatel]],"Ostatné")</f>
        <v>Slovenská pošta, a. s.</v>
      </c>
      <c r="AN1377" s="17" t="str">
        <f>IF(SrcDB[[#This Row],[Pocet zmluv dodavatela]]&gt;3,SrcDB[[#This Row],[Dodavatel]],"Ostatné")</f>
        <v>Ostatné</v>
      </c>
    </row>
    <row r="1378" spans="1:40" x14ac:dyDescent="0.3">
      <c r="A1378" s="2" t="s">
        <v>1736</v>
      </c>
      <c r="B1378" s="2">
        <v>9011473</v>
      </c>
      <c r="C1378" s="3" t="str">
        <f t="shared" si="1497"/>
        <v>Nie</v>
      </c>
      <c r="D1378" s="3" t="str">
        <f t="shared" si="1498"/>
        <v>Áno</v>
      </c>
      <c r="E1378" s="3" t="s">
        <v>48</v>
      </c>
      <c r="F1378" s="3" t="s">
        <v>49</v>
      </c>
      <c r="G1378" s="2" t="str">
        <f t="shared" si="1499"/>
        <v>Veľké zmluvy</v>
      </c>
      <c r="H1378" s="5">
        <v>36631124</v>
      </c>
      <c r="I1378" s="2" t="s">
        <v>104</v>
      </c>
      <c r="J1378" s="2" t="s">
        <v>105</v>
      </c>
      <c r="K1378" s="5" t="s">
        <v>1737</v>
      </c>
      <c r="L1378" s="2" t="s">
        <v>174</v>
      </c>
      <c r="M1378" s="2" t="s">
        <v>1738</v>
      </c>
      <c r="N1378" s="6">
        <v>45357</v>
      </c>
      <c r="O1378" s="4">
        <v>8573833.1999999993</v>
      </c>
      <c r="P1378" s="2">
        <v>114573</v>
      </c>
      <c r="Q1378" s="2" t="s">
        <v>1739</v>
      </c>
      <c r="R1378" s="2" t="s">
        <v>1740</v>
      </c>
      <c r="S1378" s="2" t="s">
        <v>73</v>
      </c>
      <c r="T1378" s="2" t="s">
        <v>73</v>
      </c>
      <c r="W1378" s="4">
        <f>75*8</f>
        <v>600</v>
      </c>
      <c r="X1378" s="4">
        <f>SrcDB[[#This Row],[Cena bez DPH]]*1.2</f>
        <v>720</v>
      </c>
      <c r="Y1378" s="4">
        <f t="shared" ref="Y1378" si="1544">INDEX(InternalRates,MATCH($S1378,InternalRates01,FALSE),2)</f>
        <v>278.98333333333335</v>
      </c>
      <c r="Z1378" s="3" t="str">
        <f t="shared" si="1542"/>
        <v>Nie</v>
      </c>
      <c r="AA1378" s="3" t="str">
        <f t="shared" si="1543"/>
        <v>SLA</v>
      </c>
      <c r="AD1378" s="3" t="s">
        <v>49</v>
      </c>
      <c r="AE1378" s="6">
        <v>45682</v>
      </c>
      <c r="AF1378" s="3" t="s">
        <v>59</v>
      </c>
      <c r="AG1378" s="3" t="s">
        <v>49</v>
      </c>
      <c r="AH1378" s="3">
        <f>YEAR(SrcDB[[#This Row],[Datum_zverejnenia]])</f>
        <v>2024</v>
      </c>
      <c r="AI1378" s="3" cm="1">
        <f t="array" ref="AI1378">COUNT(_xlfn.UNIQUE(_xlfn._xlws.FILTER(SrcDB[ID],SrcDB[Objednavatel_ICO]=$H1378)))</f>
        <v>17</v>
      </c>
      <c r="AJ1378" s="3" cm="1">
        <f t="array" ref="AJ1378">COUNT(_xlfn.UNIQUE(_xlfn._xlws.FILTER(SrcDB[ID],SrcDB[Dodavatel_ICO]=$K1378)))</f>
        <v>1</v>
      </c>
      <c r="AK1378" s="3">
        <f t="shared" si="1505"/>
        <v>0</v>
      </c>
      <c r="AL1378" s="3">
        <f t="shared" si="1506"/>
        <v>0</v>
      </c>
      <c r="AM1378" s="17" t="str">
        <f>IF(SrcDB[[#This Row],[Pocet zmluv objednavatela]]&gt;3,SrcDB[[#This Row],[Objednavatel]],"Ostatné")</f>
        <v>Slovenská pošta, a. s.</v>
      </c>
      <c r="AN1378" s="17" t="str">
        <f>IF(SrcDB[[#This Row],[Pocet zmluv dodavatela]]&gt;3,SrcDB[[#This Row],[Dodavatel]],"Ostatné")</f>
        <v>Ostatné</v>
      </c>
    </row>
    <row r="1379" spans="1:40" x14ac:dyDescent="0.3">
      <c r="A1379" s="2" t="s">
        <v>1736</v>
      </c>
      <c r="B1379" s="2">
        <v>9011473</v>
      </c>
      <c r="C1379" s="3" t="str">
        <f t="shared" si="1497"/>
        <v>Nie</v>
      </c>
      <c r="D1379" s="3" t="str">
        <f t="shared" si="1498"/>
        <v>Áno</v>
      </c>
      <c r="E1379" s="3" t="s">
        <v>48</v>
      </c>
      <c r="F1379" s="3" t="s">
        <v>49</v>
      </c>
      <c r="G1379" s="2" t="str">
        <f t="shared" si="1499"/>
        <v>Veľké zmluvy</v>
      </c>
      <c r="H1379" s="5">
        <v>36631124</v>
      </c>
      <c r="I1379" s="2" t="s">
        <v>104</v>
      </c>
      <c r="J1379" s="2" t="s">
        <v>105</v>
      </c>
      <c r="K1379" s="5" t="s">
        <v>1737</v>
      </c>
      <c r="L1379" s="2" t="s">
        <v>174</v>
      </c>
      <c r="M1379" s="2" t="s">
        <v>1738</v>
      </c>
      <c r="N1379" s="6">
        <v>45357</v>
      </c>
      <c r="O1379" s="4">
        <v>8573833.1999999993</v>
      </c>
      <c r="P1379" s="2">
        <v>114573</v>
      </c>
      <c r="Q1379" s="2" t="s">
        <v>1739</v>
      </c>
      <c r="R1379" s="2" t="s">
        <v>1740</v>
      </c>
      <c r="S1379" s="2" t="s">
        <v>71</v>
      </c>
      <c r="T1379" s="2" t="s">
        <v>71</v>
      </c>
      <c r="W1379" s="4">
        <f>75*8</f>
        <v>600</v>
      </c>
      <c r="X1379" s="4">
        <f>SrcDB[[#This Row],[Cena bez DPH]]*1.2</f>
        <v>720</v>
      </c>
      <c r="Y1379" s="4">
        <f t="shared" ref="Y1379" si="1545">INDEX(InternalRates,MATCH($S1379,InternalRates01,FALSE),2)</f>
        <v>354.0333333333333</v>
      </c>
      <c r="Z1379" s="3" t="str">
        <f t="shared" si="1542"/>
        <v>Nie</v>
      </c>
      <c r="AA1379" s="3" t="str">
        <f t="shared" si="1543"/>
        <v>SLA</v>
      </c>
      <c r="AD1379" s="3" t="s">
        <v>49</v>
      </c>
      <c r="AE1379" s="6">
        <v>45682</v>
      </c>
      <c r="AF1379" s="3" t="s">
        <v>59</v>
      </c>
      <c r="AG1379" s="3" t="s">
        <v>49</v>
      </c>
      <c r="AH1379" s="3">
        <f>YEAR(SrcDB[[#This Row],[Datum_zverejnenia]])</f>
        <v>2024</v>
      </c>
      <c r="AI1379" s="3" cm="1">
        <f t="array" ref="AI1379">COUNT(_xlfn.UNIQUE(_xlfn._xlws.FILTER(SrcDB[ID],SrcDB[Objednavatel_ICO]=$H1379)))</f>
        <v>17</v>
      </c>
      <c r="AJ1379" s="3" cm="1">
        <f t="array" ref="AJ1379">COUNT(_xlfn.UNIQUE(_xlfn._xlws.FILTER(SrcDB[ID],SrcDB[Dodavatel_ICO]=$K1379)))</f>
        <v>1</v>
      </c>
      <c r="AK1379" s="3">
        <f t="shared" si="1505"/>
        <v>0</v>
      </c>
      <c r="AL1379" s="3">
        <f t="shared" si="1506"/>
        <v>0</v>
      </c>
      <c r="AM1379" s="17" t="str">
        <f>IF(SrcDB[[#This Row],[Pocet zmluv objednavatela]]&gt;3,SrcDB[[#This Row],[Objednavatel]],"Ostatné")</f>
        <v>Slovenská pošta, a. s.</v>
      </c>
      <c r="AN1379" s="17" t="str">
        <f>IF(SrcDB[[#This Row],[Pocet zmluv dodavatela]]&gt;3,SrcDB[[#This Row],[Dodavatel]],"Ostatné")</f>
        <v>Ostatné</v>
      </c>
    </row>
    <row r="1380" spans="1:40" x14ac:dyDescent="0.3">
      <c r="A1380" s="2" t="s">
        <v>1736</v>
      </c>
      <c r="B1380" s="2">
        <v>9011473</v>
      </c>
      <c r="C1380" s="3" t="str">
        <f t="shared" si="1497"/>
        <v>Nie</v>
      </c>
      <c r="D1380" s="3" t="str">
        <f t="shared" si="1498"/>
        <v>Áno</v>
      </c>
      <c r="E1380" s="3" t="s">
        <v>48</v>
      </c>
      <c r="F1380" s="3" t="s">
        <v>49</v>
      </c>
      <c r="G1380" s="2" t="str">
        <f t="shared" si="1499"/>
        <v>Veľké zmluvy</v>
      </c>
      <c r="H1380" s="5">
        <v>36631124</v>
      </c>
      <c r="I1380" s="2" t="s">
        <v>104</v>
      </c>
      <c r="J1380" s="2" t="s">
        <v>105</v>
      </c>
      <c r="K1380" s="5" t="s">
        <v>1737</v>
      </c>
      <c r="L1380" s="2" t="s">
        <v>174</v>
      </c>
      <c r="M1380" s="2" t="s">
        <v>1738</v>
      </c>
      <c r="N1380" s="6">
        <v>45357</v>
      </c>
      <c r="O1380" s="4">
        <v>8573833.1999999993</v>
      </c>
      <c r="P1380" s="2">
        <v>114573</v>
      </c>
      <c r="Q1380" s="2" t="s">
        <v>1739</v>
      </c>
      <c r="R1380" s="2" t="s">
        <v>1740</v>
      </c>
      <c r="S1380" s="2" t="s">
        <v>69</v>
      </c>
      <c r="T1380" s="2" t="s">
        <v>1743</v>
      </c>
      <c r="W1380" s="4">
        <f>80*8</f>
        <v>640</v>
      </c>
      <c r="X1380" s="4">
        <f>SrcDB[[#This Row],[Cena bez DPH]]*1.2</f>
        <v>768</v>
      </c>
      <c r="Y1380" s="4">
        <f t="shared" ref="Y1380" si="1546">INDEX(InternalRates,MATCH($S1380,InternalRates01,FALSE),2)</f>
        <v>278.98333333333335</v>
      </c>
      <c r="Z1380" s="3" t="str">
        <f t="shared" si="1542"/>
        <v>Nie</v>
      </c>
      <c r="AA1380" s="3" t="str">
        <f t="shared" si="1543"/>
        <v>SLA</v>
      </c>
      <c r="AD1380" s="3" t="s">
        <v>49</v>
      </c>
      <c r="AE1380" s="6">
        <v>45682</v>
      </c>
      <c r="AF1380" s="3" t="s">
        <v>59</v>
      </c>
      <c r="AG1380" s="3" t="s">
        <v>49</v>
      </c>
      <c r="AH1380" s="3">
        <f>YEAR(SrcDB[[#This Row],[Datum_zverejnenia]])</f>
        <v>2024</v>
      </c>
      <c r="AI1380" s="3" cm="1">
        <f t="array" ref="AI1380">COUNT(_xlfn.UNIQUE(_xlfn._xlws.FILTER(SrcDB[ID],SrcDB[Objednavatel_ICO]=$H1380)))</f>
        <v>17</v>
      </c>
      <c r="AJ1380" s="3" cm="1">
        <f t="array" ref="AJ1380">COUNT(_xlfn.UNIQUE(_xlfn._xlws.FILTER(SrcDB[ID],SrcDB[Dodavatel_ICO]=$K1380)))</f>
        <v>1</v>
      </c>
      <c r="AK1380" s="3">
        <f t="shared" si="1505"/>
        <v>0</v>
      </c>
      <c r="AL1380" s="3">
        <f t="shared" si="1506"/>
        <v>0</v>
      </c>
      <c r="AM1380" s="17" t="str">
        <f>IF(SrcDB[[#This Row],[Pocet zmluv objednavatela]]&gt;3,SrcDB[[#This Row],[Objednavatel]],"Ostatné")</f>
        <v>Slovenská pošta, a. s.</v>
      </c>
      <c r="AN1380" s="17" t="str">
        <f>IF(SrcDB[[#This Row],[Pocet zmluv dodavatela]]&gt;3,SrcDB[[#This Row],[Dodavatel]],"Ostatné")</f>
        <v>Ostatné</v>
      </c>
    </row>
    <row r="1381" spans="1:40" x14ac:dyDescent="0.3">
      <c r="A1381" s="2" t="s">
        <v>1736</v>
      </c>
      <c r="B1381" s="2">
        <v>9011473</v>
      </c>
      <c r="C1381" s="3" t="str">
        <f t="shared" si="1497"/>
        <v>Nie</v>
      </c>
      <c r="D1381" s="3" t="str">
        <f t="shared" si="1498"/>
        <v>Áno</v>
      </c>
      <c r="E1381" s="3" t="s">
        <v>48</v>
      </c>
      <c r="F1381" s="3" t="s">
        <v>49</v>
      </c>
      <c r="G1381" s="2" t="str">
        <f t="shared" si="1499"/>
        <v>Veľké zmluvy</v>
      </c>
      <c r="H1381" s="5">
        <v>36631124</v>
      </c>
      <c r="I1381" s="2" t="s">
        <v>104</v>
      </c>
      <c r="J1381" s="2" t="s">
        <v>105</v>
      </c>
      <c r="K1381" s="5" t="s">
        <v>1737</v>
      </c>
      <c r="L1381" s="2" t="s">
        <v>174</v>
      </c>
      <c r="M1381" s="2" t="s">
        <v>1738</v>
      </c>
      <c r="N1381" s="6">
        <v>45357</v>
      </c>
      <c r="O1381" s="4">
        <v>8573833.1999999993</v>
      </c>
      <c r="P1381" s="2">
        <v>114573</v>
      </c>
      <c r="Q1381" s="2" t="s">
        <v>1739</v>
      </c>
      <c r="R1381" s="2" t="s">
        <v>1740</v>
      </c>
      <c r="S1381" s="2" t="s">
        <v>160</v>
      </c>
      <c r="T1381" s="2" t="s">
        <v>1744</v>
      </c>
      <c r="W1381" s="4">
        <f>70*8</f>
        <v>560</v>
      </c>
      <c r="X1381" s="4">
        <f>SrcDB[[#This Row],[Cena bez DPH]]*1.2</f>
        <v>672</v>
      </c>
      <c r="Y1381" s="4">
        <f t="shared" ref="Y1381" si="1547">INDEX(InternalRates,MATCH($S1381,InternalRates01,FALSE),2)</f>
        <v>231.85833333333335</v>
      </c>
      <c r="Z1381" s="3" t="str">
        <f t="shared" si="1542"/>
        <v>Nie</v>
      </c>
      <c r="AA1381" s="3" t="str">
        <f t="shared" si="1543"/>
        <v>SLA</v>
      </c>
      <c r="AD1381" s="3" t="s">
        <v>49</v>
      </c>
      <c r="AE1381" s="6">
        <v>45682</v>
      </c>
      <c r="AF1381" s="3" t="s">
        <v>59</v>
      </c>
      <c r="AG1381" s="3" t="s">
        <v>49</v>
      </c>
      <c r="AH1381" s="3">
        <f>YEAR(SrcDB[[#This Row],[Datum_zverejnenia]])</f>
        <v>2024</v>
      </c>
      <c r="AI1381" s="3" cm="1">
        <f t="array" ref="AI1381">COUNT(_xlfn.UNIQUE(_xlfn._xlws.FILTER(SrcDB[ID],SrcDB[Objednavatel_ICO]=$H1381)))</f>
        <v>17</v>
      </c>
      <c r="AJ1381" s="3" cm="1">
        <f t="array" ref="AJ1381">COUNT(_xlfn.UNIQUE(_xlfn._xlws.FILTER(SrcDB[ID],SrcDB[Dodavatel_ICO]=$K1381)))</f>
        <v>1</v>
      </c>
      <c r="AK1381" s="3">
        <f t="shared" si="1505"/>
        <v>0</v>
      </c>
      <c r="AL1381" s="3">
        <f t="shared" si="1506"/>
        <v>0</v>
      </c>
      <c r="AM1381" s="17" t="str">
        <f>IF(SrcDB[[#This Row],[Pocet zmluv objednavatela]]&gt;3,SrcDB[[#This Row],[Objednavatel]],"Ostatné")</f>
        <v>Slovenská pošta, a. s.</v>
      </c>
      <c r="AN1381" s="17" t="str">
        <f>IF(SrcDB[[#This Row],[Pocet zmluv dodavatela]]&gt;3,SrcDB[[#This Row],[Dodavatel]],"Ostatné")</f>
        <v>Ostatné</v>
      </c>
    </row>
    <row r="1382" spans="1:40" x14ac:dyDescent="0.3">
      <c r="A1382" s="2" t="s">
        <v>1736</v>
      </c>
      <c r="B1382" s="2">
        <v>9011473</v>
      </c>
      <c r="C1382" s="3" t="str">
        <f t="shared" si="1497"/>
        <v>Nie</v>
      </c>
      <c r="D1382" s="3" t="str">
        <f t="shared" si="1498"/>
        <v>Áno</v>
      </c>
      <c r="E1382" s="3" t="s">
        <v>48</v>
      </c>
      <c r="F1382" s="3" t="s">
        <v>49</v>
      </c>
      <c r="G1382" s="2" t="str">
        <f t="shared" si="1499"/>
        <v>Veľké zmluvy</v>
      </c>
      <c r="H1382" s="5">
        <v>36631124</v>
      </c>
      <c r="I1382" s="2" t="s">
        <v>104</v>
      </c>
      <c r="J1382" s="2" t="s">
        <v>105</v>
      </c>
      <c r="K1382" s="5" t="s">
        <v>1737</v>
      </c>
      <c r="L1382" s="2" t="s">
        <v>174</v>
      </c>
      <c r="M1382" s="2" t="s">
        <v>1738</v>
      </c>
      <c r="N1382" s="6">
        <v>45357</v>
      </c>
      <c r="O1382" s="4">
        <v>8573833.1999999993</v>
      </c>
      <c r="P1382" s="2">
        <v>114573</v>
      </c>
      <c r="Q1382" s="2" t="s">
        <v>1739</v>
      </c>
      <c r="R1382" s="2" t="s">
        <v>1740</v>
      </c>
      <c r="S1382" s="2" t="s">
        <v>77</v>
      </c>
      <c r="T1382" s="2" t="s">
        <v>77</v>
      </c>
      <c r="W1382" s="4">
        <f>65*8</f>
        <v>520</v>
      </c>
      <c r="X1382" s="4">
        <f>SrcDB[[#This Row],[Cena bez DPH]]*1.2</f>
        <v>624</v>
      </c>
      <c r="Y1382" s="4">
        <f t="shared" ref="Y1382" si="1548">INDEX(InternalRates,MATCH($S1382,InternalRates01,FALSE),2)</f>
        <v>278.98333333333335</v>
      </c>
      <c r="Z1382" s="3" t="str">
        <f t="shared" si="1542"/>
        <v>Nie</v>
      </c>
      <c r="AA1382" s="3" t="str">
        <f t="shared" si="1543"/>
        <v>SLA</v>
      </c>
      <c r="AD1382" s="3" t="s">
        <v>49</v>
      </c>
      <c r="AE1382" s="6">
        <v>45682</v>
      </c>
      <c r="AF1382" s="3" t="s">
        <v>59</v>
      </c>
      <c r="AG1382" s="3" t="s">
        <v>49</v>
      </c>
      <c r="AH1382" s="3">
        <f>YEAR(SrcDB[[#This Row],[Datum_zverejnenia]])</f>
        <v>2024</v>
      </c>
      <c r="AI1382" s="3" cm="1">
        <f t="array" ref="AI1382">COUNT(_xlfn.UNIQUE(_xlfn._xlws.FILTER(SrcDB[ID],SrcDB[Objednavatel_ICO]=$H1382)))</f>
        <v>17</v>
      </c>
      <c r="AJ1382" s="3" cm="1">
        <f t="array" ref="AJ1382">COUNT(_xlfn.UNIQUE(_xlfn._xlws.FILTER(SrcDB[ID],SrcDB[Dodavatel_ICO]=$K1382)))</f>
        <v>1</v>
      </c>
      <c r="AK1382" s="3">
        <f t="shared" si="1505"/>
        <v>0</v>
      </c>
      <c r="AL1382" s="3">
        <f t="shared" si="1506"/>
        <v>0</v>
      </c>
      <c r="AM1382" s="17" t="str">
        <f>IF(SrcDB[[#This Row],[Pocet zmluv objednavatela]]&gt;3,SrcDB[[#This Row],[Objednavatel]],"Ostatné")</f>
        <v>Slovenská pošta, a. s.</v>
      </c>
      <c r="AN1382" s="17" t="str">
        <f>IF(SrcDB[[#This Row],[Pocet zmluv dodavatela]]&gt;3,SrcDB[[#This Row],[Dodavatel]],"Ostatné")</f>
        <v>Ostatné</v>
      </c>
    </row>
    <row r="1383" spans="1:40" x14ac:dyDescent="0.3">
      <c r="A1383" s="2" t="s">
        <v>1736</v>
      </c>
      <c r="B1383" s="2">
        <v>9011473</v>
      </c>
      <c r="C1383" s="3" t="str">
        <f t="shared" si="1497"/>
        <v>Nie</v>
      </c>
      <c r="D1383" s="3" t="str">
        <f t="shared" si="1498"/>
        <v>Áno</v>
      </c>
      <c r="E1383" s="3" t="s">
        <v>48</v>
      </c>
      <c r="F1383" s="3" t="s">
        <v>49</v>
      </c>
      <c r="G1383" s="2" t="str">
        <f t="shared" si="1499"/>
        <v>Veľké zmluvy</v>
      </c>
      <c r="H1383" s="5">
        <v>36631124</v>
      </c>
      <c r="I1383" s="2" t="s">
        <v>104</v>
      </c>
      <c r="J1383" s="2" t="s">
        <v>105</v>
      </c>
      <c r="K1383" s="5" t="s">
        <v>1737</v>
      </c>
      <c r="L1383" s="2" t="s">
        <v>174</v>
      </c>
      <c r="M1383" s="2" t="s">
        <v>1738</v>
      </c>
      <c r="N1383" s="6">
        <v>45357</v>
      </c>
      <c r="O1383" s="4">
        <v>8573833.1999999993</v>
      </c>
      <c r="P1383" s="2">
        <v>114573</v>
      </c>
      <c r="Q1383" s="2" t="s">
        <v>1739</v>
      </c>
      <c r="R1383" s="2" t="s">
        <v>1740</v>
      </c>
      <c r="S1383" s="2" t="s">
        <v>79</v>
      </c>
      <c r="T1383" s="2" t="s">
        <v>79</v>
      </c>
      <c r="W1383" s="4">
        <f>65*8</f>
        <v>520</v>
      </c>
      <c r="X1383" s="4">
        <f>SrcDB[[#This Row],[Cena bez DPH]]*1.2</f>
        <v>624</v>
      </c>
      <c r="Y1383" s="4">
        <f t="shared" ref="Y1383" si="1549">INDEX(InternalRates,MATCH($S1383,InternalRates01,FALSE),2)</f>
        <v>278.98333333333335</v>
      </c>
      <c r="Z1383" s="3" t="str">
        <f t="shared" si="1542"/>
        <v>Nie</v>
      </c>
      <c r="AA1383" s="3" t="str">
        <f t="shared" si="1543"/>
        <v>SLA</v>
      </c>
      <c r="AD1383" s="3" t="s">
        <v>49</v>
      </c>
      <c r="AE1383" s="6">
        <v>45682</v>
      </c>
      <c r="AF1383" s="3" t="s">
        <v>59</v>
      </c>
      <c r="AG1383" s="3" t="s">
        <v>49</v>
      </c>
      <c r="AH1383" s="3">
        <f>YEAR(SrcDB[[#This Row],[Datum_zverejnenia]])</f>
        <v>2024</v>
      </c>
      <c r="AI1383" s="3" cm="1">
        <f t="array" ref="AI1383">COUNT(_xlfn.UNIQUE(_xlfn._xlws.FILTER(SrcDB[ID],SrcDB[Objednavatel_ICO]=$H1383)))</f>
        <v>17</v>
      </c>
      <c r="AJ1383" s="3" cm="1">
        <f t="array" ref="AJ1383">COUNT(_xlfn.UNIQUE(_xlfn._xlws.FILTER(SrcDB[ID],SrcDB[Dodavatel_ICO]=$K1383)))</f>
        <v>1</v>
      </c>
      <c r="AK1383" s="3">
        <f t="shared" si="1505"/>
        <v>0</v>
      </c>
      <c r="AL1383" s="3">
        <f t="shared" si="1506"/>
        <v>0</v>
      </c>
      <c r="AM1383" s="17" t="str">
        <f>IF(SrcDB[[#This Row],[Pocet zmluv objednavatela]]&gt;3,SrcDB[[#This Row],[Objednavatel]],"Ostatné")</f>
        <v>Slovenská pošta, a. s.</v>
      </c>
      <c r="AN1383" s="17" t="str">
        <f>IF(SrcDB[[#This Row],[Pocet zmluv dodavatela]]&gt;3,SrcDB[[#This Row],[Dodavatel]],"Ostatné")</f>
        <v>Ostatné</v>
      </c>
    </row>
    <row r="1384" spans="1:40" x14ac:dyDescent="0.3">
      <c r="A1384" s="2" t="s">
        <v>1736</v>
      </c>
      <c r="B1384" s="2">
        <v>9011473</v>
      </c>
      <c r="C1384" s="3" t="str">
        <f t="shared" si="1497"/>
        <v>Nie</v>
      </c>
      <c r="D1384" s="3" t="str">
        <f t="shared" si="1498"/>
        <v>Áno</v>
      </c>
      <c r="E1384" s="3" t="s">
        <v>48</v>
      </c>
      <c r="F1384" s="3" t="s">
        <v>49</v>
      </c>
      <c r="G1384" s="2" t="str">
        <f t="shared" si="1499"/>
        <v>Veľké zmluvy</v>
      </c>
      <c r="H1384" s="5">
        <v>36631124</v>
      </c>
      <c r="I1384" s="2" t="s">
        <v>104</v>
      </c>
      <c r="J1384" s="2" t="s">
        <v>105</v>
      </c>
      <c r="K1384" s="5" t="s">
        <v>1737</v>
      </c>
      <c r="L1384" s="2" t="s">
        <v>174</v>
      </c>
      <c r="M1384" s="2" t="s">
        <v>1738</v>
      </c>
      <c r="N1384" s="6">
        <v>45357</v>
      </c>
      <c r="O1384" s="4">
        <v>8573833.1999999993</v>
      </c>
      <c r="P1384" s="2">
        <v>114573</v>
      </c>
      <c r="Q1384" s="2" t="s">
        <v>1739</v>
      </c>
      <c r="R1384" s="2" t="s">
        <v>1740</v>
      </c>
      <c r="S1384" s="2" t="s">
        <v>100</v>
      </c>
      <c r="T1384" s="2" t="s">
        <v>333</v>
      </c>
      <c r="W1384" s="4">
        <f>65*8</f>
        <v>520</v>
      </c>
      <c r="X1384" s="4">
        <f>SrcDB[[#This Row],[Cena bez DPH]]*1.2</f>
        <v>624</v>
      </c>
      <c r="Y1384" s="4">
        <f t="shared" ref="Y1384" si="1550">INDEX(InternalRates,MATCH($S1384,InternalRates01,FALSE),2)</f>
        <v>278.98333333333335</v>
      </c>
      <c r="Z1384" s="3" t="str">
        <f t="shared" si="1542"/>
        <v>Nie</v>
      </c>
      <c r="AA1384" s="3" t="str">
        <f t="shared" si="1543"/>
        <v>SLA</v>
      </c>
      <c r="AD1384" s="3" t="s">
        <v>49</v>
      </c>
      <c r="AE1384" s="6">
        <v>45682</v>
      </c>
      <c r="AF1384" s="3" t="s">
        <v>59</v>
      </c>
      <c r="AG1384" s="3" t="s">
        <v>49</v>
      </c>
      <c r="AH1384" s="3">
        <f>YEAR(SrcDB[[#This Row],[Datum_zverejnenia]])</f>
        <v>2024</v>
      </c>
      <c r="AI1384" s="3" cm="1">
        <f t="array" ref="AI1384">COUNT(_xlfn.UNIQUE(_xlfn._xlws.FILTER(SrcDB[ID],SrcDB[Objednavatel_ICO]=$H1384)))</f>
        <v>17</v>
      </c>
      <c r="AJ1384" s="3" cm="1">
        <f t="array" ref="AJ1384">COUNT(_xlfn.UNIQUE(_xlfn._xlws.FILTER(SrcDB[ID],SrcDB[Dodavatel_ICO]=$K1384)))</f>
        <v>1</v>
      </c>
      <c r="AK1384" s="3">
        <f t="shared" si="1505"/>
        <v>0</v>
      </c>
      <c r="AL1384" s="3">
        <f t="shared" si="1506"/>
        <v>0</v>
      </c>
      <c r="AM1384" s="17" t="str">
        <f>IF(SrcDB[[#This Row],[Pocet zmluv objednavatela]]&gt;3,SrcDB[[#This Row],[Objednavatel]],"Ostatné")</f>
        <v>Slovenská pošta, a. s.</v>
      </c>
      <c r="AN1384" s="17" t="str">
        <f>IF(SrcDB[[#This Row],[Pocet zmluv dodavatela]]&gt;3,SrcDB[[#This Row],[Dodavatel]],"Ostatné")</f>
        <v>Ostatné</v>
      </c>
    </row>
    <row r="1385" spans="1:40" x14ac:dyDescent="0.3">
      <c r="A1385" s="2" t="s">
        <v>1745</v>
      </c>
      <c r="B1385" s="2">
        <v>10177873</v>
      </c>
      <c r="C1385" s="3" t="str">
        <f t="shared" si="1497"/>
        <v>Nie</v>
      </c>
      <c r="D1385" s="3" t="str">
        <f t="shared" si="1498"/>
        <v>Áno</v>
      </c>
      <c r="E1385" s="3" t="s">
        <v>48</v>
      </c>
      <c r="F1385" s="3" t="s">
        <v>49</v>
      </c>
      <c r="G1385" s="2" t="str">
        <f t="shared" si="1499"/>
        <v>Malé zmluvy</v>
      </c>
      <c r="H1385" s="5" t="s">
        <v>1746</v>
      </c>
      <c r="I1385" s="2" t="s">
        <v>1747</v>
      </c>
      <c r="J1385" s="2" t="s">
        <v>1748</v>
      </c>
      <c r="K1385" s="5" t="s">
        <v>1749</v>
      </c>
      <c r="L1385" s="2" t="s">
        <v>1750</v>
      </c>
      <c r="M1385" s="2" t="s">
        <v>1751</v>
      </c>
      <c r="N1385" s="6">
        <v>45642</v>
      </c>
      <c r="O1385" s="4">
        <v>262800</v>
      </c>
      <c r="P1385" s="2">
        <v>6215909</v>
      </c>
      <c r="Q1385" s="2" t="s">
        <v>1752</v>
      </c>
      <c r="R1385" s="2" t="s">
        <v>1753</v>
      </c>
      <c r="S1385" s="2" t="s">
        <v>73</v>
      </c>
      <c r="T1385" s="2" t="s">
        <v>469</v>
      </c>
      <c r="W1385" s="4">
        <f>68.4*8</f>
        <v>547.20000000000005</v>
      </c>
      <c r="X1385" s="4">
        <f>SrcDB[[#This Row],[Cena bez DPH]]*1.2</f>
        <v>656.64</v>
      </c>
      <c r="Y1385" s="4">
        <f t="shared" ref="Y1385" si="1551">INDEX(InternalRates,MATCH($S1385,InternalRates01,FALSE),2)</f>
        <v>278.98333333333335</v>
      </c>
      <c r="Z1385" s="3" t="str">
        <f t="shared" si="1542"/>
        <v>Nie</v>
      </c>
      <c r="AA1385" s="3" t="str">
        <f t="shared" si="1543"/>
        <v>SLA</v>
      </c>
      <c r="AD1385" s="3" t="s">
        <v>48</v>
      </c>
      <c r="AE1385" s="6">
        <v>45684</v>
      </c>
      <c r="AF1385" s="3" t="s">
        <v>59</v>
      </c>
      <c r="AG1385" s="3" t="s">
        <v>48</v>
      </c>
      <c r="AH1385" s="3">
        <f>YEAR(SrcDB[[#This Row],[Datum_zverejnenia]])</f>
        <v>2024</v>
      </c>
      <c r="AI1385" s="3" cm="1">
        <f t="array" ref="AI1385">COUNT(_xlfn.UNIQUE(_xlfn._xlws.FILTER(SrcDB[ID],SrcDB[Objednavatel_ICO]=$H1385)))</f>
        <v>1</v>
      </c>
      <c r="AJ1385" s="3" cm="1">
        <f t="array" ref="AJ1385">COUNT(_xlfn.UNIQUE(_xlfn._xlws.FILTER(SrcDB[ID],SrcDB[Dodavatel_ICO]=$K1385)))</f>
        <v>1</v>
      </c>
      <c r="AK1385" s="3">
        <f t="shared" si="1505"/>
        <v>1</v>
      </c>
      <c r="AL1385" s="3">
        <f t="shared" si="1506"/>
        <v>1</v>
      </c>
      <c r="AM1385" s="17" t="str">
        <f>IF(SrcDB[[#This Row],[Pocet zmluv objednavatela]]&gt;3,SrcDB[[#This Row],[Objednavatel]],"Ostatné")</f>
        <v>Ostatné</v>
      </c>
      <c r="AN1385" s="17" t="str">
        <f>IF(SrcDB[[#This Row],[Pocet zmluv dodavatela]]&gt;3,SrcDB[[#This Row],[Dodavatel]],"Ostatné")</f>
        <v>Ostatné</v>
      </c>
    </row>
    <row r="1386" spans="1:40" x14ac:dyDescent="0.3">
      <c r="A1386" s="2" t="s">
        <v>1745</v>
      </c>
      <c r="B1386" s="2">
        <v>10177873</v>
      </c>
      <c r="C1386" s="3" t="str">
        <f t="shared" si="1497"/>
        <v>Nie</v>
      </c>
      <c r="D1386" s="3" t="str">
        <f t="shared" si="1498"/>
        <v>Áno</v>
      </c>
      <c r="E1386" s="3" t="s">
        <v>48</v>
      </c>
      <c r="F1386" s="3" t="s">
        <v>49</v>
      </c>
      <c r="G1386" s="2" t="str">
        <f t="shared" si="1499"/>
        <v>Malé zmluvy</v>
      </c>
      <c r="H1386" s="5" t="s">
        <v>1746</v>
      </c>
      <c r="I1386" s="2" t="s">
        <v>1747</v>
      </c>
      <c r="J1386" s="2" t="s">
        <v>1748</v>
      </c>
      <c r="K1386" s="5" t="s">
        <v>1749</v>
      </c>
      <c r="L1386" s="2" t="s">
        <v>1750</v>
      </c>
      <c r="M1386" s="2" t="s">
        <v>1751</v>
      </c>
      <c r="N1386" s="6">
        <v>45642</v>
      </c>
      <c r="O1386" s="4">
        <v>262800</v>
      </c>
      <c r="P1386" s="2">
        <v>6215909</v>
      </c>
      <c r="Q1386" s="2" t="s">
        <v>1752</v>
      </c>
      <c r="R1386" s="2" t="s">
        <v>1753</v>
      </c>
      <c r="S1386" s="2" t="s">
        <v>79</v>
      </c>
      <c r="T1386" s="2" t="s">
        <v>1754</v>
      </c>
      <c r="W1386" s="4">
        <f>68.4*8</f>
        <v>547.20000000000005</v>
      </c>
      <c r="X1386" s="4">
        <f>SrcDB[[#This Row],[Cena bez DPH]]*1.2</f>
        <v>656.64</v>
      </c>
      <c r="Y1386" s="4">
        <f t="shared" ref="Y1386" si="1552">INDEX(InternalRates,MATCH($S1386,InternalRates01,FALSE),2)</f>
        <v>278.98333333333335</v>
      </c>
      <c r="Z1386" s="3" t="str">
        <f t="shared" si="1542"/>
        <v>Nie</v>
      </c>
      <c r="AA1386" s="3" t="str">
        <f t="shared" si="1543"/>
        <v>SLA</v>
      </c>
      <c r="AD1386" s="3" t="s">
        <v>48</v>
      </c>
      <c r="AE1386" s="6">
        <v>45684</v>
      </c>
      <c r="AF1386" s="3" t="s">
        <v>59</v>
      </c>
      <c r="AG1386" s="3" t="s">
        <v>48</v>
      </c>
      <c r="AH1386" s="3">
        <f>YEAR(SrcDB[[#This Row],[Datum_zverejnenia]])</f>
        <v>2024</v>
      </c>
      <c r="AI1386" s="3" cm="1">
        <f t="array" ref="AI1386">COUNT(_xlfn.UNIQUE(_xlfn._xlws.FILTER(SrcDB[ID],SrcDB[Objednavatel_ICO]=$H1386)))</f>
        <v>1</v>
      </c>
      <c r="AJ1386" s="3" cm="1">
        <f t="array" ref="AJ1386">COUNT(_xlfn.UNIQUE(_xlfn._xlws.FILTER(SrcDB[ID],SrcDB[Dodavatel_ICO]=$K1386)))</f>
        <v>1</v>
      </c>
      <c r="AK1386" s="3">
        <f t="shared" si="1505"/>
        <v>0</v>
      </c>
      <c r="AL1386" s="3">
        <f t="shared" si="1506"/>
        <v>0</v>
      </c>
      <c r="AM1386" s="17" t="str">
        <f>IF(SrcDB[[#This Row],[Pocet zmluv objednavatela]]&gt;3,SrcDB[[#This Row],[Objednavatel]],"Ostatné")</f>
        <v>Ostatné</v>
      </c>
      <c r="AN1386" s="17" t="str">
        <f>IF(SrcDB[[#This Row],[Pocet zmluv dodavatela]]&gt;3,SrcDB[[#This Row],[Dodavatel]],"Ostatné")</f>
        <v>Ostatné</v>
      </c>
    </row>
    <row r="1387" spans="1:40" x14ac:dyDescent="0.3">
      <c r="A1387" s="2" t="s">
        <v>1745</v>
      </c>
      <c r="B1387" s="2">
        <v>10177873</v>
      </c>
      <c r="C1387" s="3" t="str">
        <f t="shared" si="1497"/>
        <v>Nie</v>
      </c>
      <c r="D1387" s="3" t="str">
        <f t="shared" si="1498"/>
        <v>Áno</v>
      </c>
      <c r="E1387" s="3" t="s">
        <v>48</v>
      </c>
      <c r="F1387" s="3" t="s">
        <v>49</v>
      </c>
      <c r="G1387" s="2" t="str">
        <f t="shared" si="1499"/>
        <v>Malé zmluvy</v>
      </c>
      <c r="H1387" s="5" t="s">
        <v>1746</v>
      </c>
      <c r="I1387" s="2" t="s">
        <v>1747</v>
      </c>
      <c r="J1387" s="2" t="s">
        <v>1748</v>
      </c>
      <c r="K1387" s="5" t="s">
        <v>1749</v>
      </c>
      <c r="L1387" s="2" t="s">
        <v>1750</v>
      </c>
      <c r="M1387" s="2" t="s">
        <v>1751</v>
      </c>
      <c r="N1387" s="6">
        <v>45642</v>
      </c>
      <c r="O1387" s="4">
        <v>262800</v>
      </c>
      <c r="P1387" s="2">
        <v>6215909</v>
      </c>
      <c r="Q1387" s="2" t="s">
        <v>1752</v>
      </c>
      <c r="R1387" s="2" t="s">
        <v>1753</v>
      </c>
      <c r="S1387" s="2" t="s">
        <v>69</v>
      </c>
      <c r="T1387" s="2" t="s">
        <v>1755</v>
      </c>
      <c r="W1387" s="4">
        <f>68.4*8</f>
        <v>547.20000000000005</v>
      </c>
      <c r="X1387" s="4">
        <f>SrcDB[[#This Row],[Cena bez DPH]]*1.2</f>
        <v>656.64</v>
      </c>
      <c r="Y1387" s="4">
        <f t="shared" ref="Y1387" si="1553">INDEX(InternalRates,MATCH($S1387,InternalRates01,FALSE),2)</f>
        <v>278.98333333333335</v>
      </c>
      <c r="Z1387" s="3" t="str">
        <f t="shared" si="1542"/>
        <v>Nie</v>
      </c>
      <c r="AA1387" s="3" t="str">
        <f t="shared" si="1543"/>
        <v>SLA</v>
      </c>
      <c r="AD1387" s="3" t="s">
        <v>48</v>
      </c>
      <c r="AE1387" s="6">
        <v>45684</v>
      </c>
      <c r="AF1387" s="3" t="s">
        <v>59</v>
      </c>
      <c r="AG1387" s="3" t="s">
        <v>48</v>
      </c>
      <c r="AH1387" s="3">
        <f>YEAR(SrcDB[[#This Row],[Datum_zverejnenia]])</f>
        <v>2024</v>
      </c>
      <c r="AI1387" s="3" cm="1">
        <f t="array" ref="AI1387">COUNT(_xlfn.UNIQUE(_xlfn._xlws.FILTER(SrcDB[ID],SrcDB[Objednavatel_ICO]=$H1387)))</f>
        <v>1</v>
      </c>
      <c r="AJ1387" s="3" cm="1">
        <f t="array" ref="AJ1387">COUNT(_xlfn.UNIQUE(_xlfn._xlws.FILTER(SrcDB[ID],SrcDB[Dodavatel_ICO]=$K1387)))</f>
        <v>1</v>
      </c>
      <c r="AK1387" s="3">
        <f t="shared" si="1505"/>
        <v>0</v>
      </c>
      <c r="AL1387" s="3">
        <f t="shared" si="1506"/>
        <v>0</v>
      </c>
      <c r="AM1387" s="17" t="str">
        <f>IF(SrcDB[[#This Row],[Pocet zmluv objednavatela]]&gt;3,SrcDB[[#This Row],[Objednavatel]],"Ostatné")</f>
        <v>Ostatné</v>
      </c>
      <c r="AN1387" s="17" t="str">
        <f>IF(SrcDB[[#This Row],[Pocet zmluv dodavatela]]&gt;3,SrcDB[[#This Row],[Dodavatel]],"Ostatné")</f>
        <v>Ostatné</v>
      </c>
    </row>
    <row r="1388" spans="1:40" x14ac:dyDescent="0.3">
      <c r="A1388" s="2" t="s">
        <v>1745</v>
      </c>
      <c r="B1388" s="2">
        <v>10177873</v>
      </c>
      <c r="C1388" s="3" t="str">
        <f t="shared" si="1497"/>
        <v>Nie</v>
      </c>
      <c r="D1388" s="3" t="str">
        <f t="shared" si="1498"/>
        <v>Áno</v>
      </c>
      <c r="E1388" s="3" t="s">
        <v>48</v>
      </c>
      <c r="F1388" s="3" t="s">
        <v>49</v>
      </c>
      <c r="G1388" s="2" t="str">
        <f t="shared" si="1499"/>
        <v>Malé zmluvy</v>
      </c>
      <c r="H1388" s="5" t="s">
        <v>1746</v>
      </c>
      <c r="I1388" s="2" t="s">
        <v>1747</v>
      </c>
      <c r="J1388" s="2" t="s">
        <v>1748</v>
      </c>
      <c r="K1388" s="5" t="s">
        <v>1749</v>
      </c>
      <c r="L1388" s="2" t="s">
        <v>1750</v>
      </c>
      <c r="M1388" s="2" t="s">
        <v>1751</v>
      </c>
      <c r="N1388" s="6">
        <v>45642</v>
      </c>
      <c r="O1388" s="4">
        <v>262800</v>
      </c>
      <c r="P1388" s="2">
        <v>6215909</v>
      </c>
      <c r="Q1388" s="2" t="s">
        <v>1752</v>
      </c>
      <c r="R1388" s="2" t="s">
        <v>1753</v>
      </c>
      <c r="S1388" s="2" t="s">
        <v>77</v>
      </c>
      <c r="T1388" s="2" t="s">
        <v>471</v>
      </c>
      <c r="W1388" s="4">
        <f>75.6*8</f>
        <v>604.79999999999995</v>
      </c>
      <c r="X1388" s="4">
        <f>SrcDB[[#This Row],[Cena bez DPH]]*1.2</f>
        <v>725.75999999999988</v>
      </c>
      <c r="Y1388" s="4">
        <f t="shared" ref="Y1388" si="1554">INDEX(InternalRates,MATCH($S1388,InternalRates01,FALSE),2)</f>
        <v>278.98333333333335</v>
      </c>
      <c r="Z1388" s="3" t="str">
        <f t="shared" si="1542"/>
        <v>Nie</v>
      </c>
      <c r="AA1388" s="3" t="str">
        <f t="shared" si="1543"/>
        <v>SLA</v>
      </c>
      <c r="AD1388" s="3" t="s">
        <v>48</v>
      </c>
      <c r="AE1388" s="6">
        <v>45684</v>
      </c>
      <c r="AF1388" s="3" t="s">
        <v>59</v>
      </c>
      <c r="AG1388" s="3" t="s">
        <v>48</v>
      </c>
      <c r="AH1388" s="3">
        <f>YEAR(SrcDB[[#This Row],[Datum_zverejnenia]])</f>
        <v>2024</v>
      </c>
      <c r="AI1388" s="3" cm="1">
        <f t="array" ref="AI1388">COUNT(_xlfn.UNIQUE(_xlfn._xlws.FILTER(SrcDB[ID],SrcDB[Objednavatel_ICO]=$H1388)))</f>
        <v>1</v>
      </c>
      <c r="AJ1388" s="3" cm="1">
        <f t="array" ref="AJ1388">COUNT(_xlfn.UNIQUE(_xlfn._xlws.FILTER(SrcDB[ID],SrcDB[Dodavatel_ICO]=$K1388)))</f>
        <v>1</v>
      </c>
      <c r="AK1388" s="3">
        <f t="shared" si="1505"/>
        <v>0</v>
      </c>
      <c r="AL1388" s="3">
        <f t="shared" si="1506"/>
        <v>0</v>
      </c>
      <c r="AM1388" s="17" t="str">
        <f>IF(SrcDB[[#This Row],[Pocet zmluv objednavatela]]&gt;3,SrcDB[[#This Row],[Objednavatel]],"Ostatné")</f>
        <v>Ostatné</v>
      </c>
      <c r="AN1388" s="17" t="str">
        <f>IF(SrcDB[[#This Row],[Pocet zmluv dodavatela]]&gt;3,SrcDB[[#This Row],[Dodavatel]],"Ostatné")</f>
        <v>Ostatné</v>
      </c>
    </row>
    <row r="1389" spans="1:40" x14ac:dyDescent="0.3">
      <c r="A1389" s="2" t="s">
        <v>1745</v>
      </c>
      <c r="B1389" s="2">
        <v>10177873</v>
      </c>
      <c r="C1389" s="3" t="str">
        <f t="shared" si="1497"/>
        <v>Nie</v>
      </c>
      <c r="D1389" s="3" t="str">
        <f t="shared" si="1498"/>
        <v>Áno</v>
      </c>
      <c r="E1389" s="3" t="s">
        <v>48</v>
      </c>
      <c r="F1389" s="3" t="s">
        <v>49</v>
      </c>
      <c r="G1389" s="2" t="str">
        <f t="shared" si="1499"/>
        <v>Malé zmluvy</v>
      </c>
      <c r="H1389" s="5" t="s">
        <v>1746</v>
      </c>
      <c r="I1389" s="2" t="s">
        <v>1747</v>
      </c>
      <c r="J1389" s="2" t="s">
        <v>1748</v>
      </c>
      <c r="K1389" s="5" t="s">
        <v>1749</v>
      </c>
      <c r="L1389" s="2" t="s">
        <v>1750</v>
      </c>
      <c r="M1389" s="2" t="s">
        <v>1751</v>
      </c>
      <c r="N1389" s="6">
        <v>45642</v>
      </c>
      <c r="O1389" s="4">
        <v>262800</v>
      </c>
      <c r="P1389" s="2">
        <v>6215909</v>
      </c>
      <c r="Q1389" s="2" t="s">
        <v>1752</v>
      </c>
      <c r="R1389" s="2" t="s">
        <v>1753</v>
      </c>
      <c r="S1389" s="2" t="s">
        <v>98</v>
      </c>
      <c r="T1389" s="2" t="s">
        <v>1756</v>
      </c>
      <c r="W1389" s="4">
        <f>72*8</f>
        <v>576</v>
      </c>
      <c r="X1389" s="4">
        <f>SrcDB[[#This Row],[Cena bez DPH]]*1.2</f>
        <v>691.19999999999993</v>
      </c>
      <c r="Y1389" s="4">
        <f t="shared" ref="Y1389" si="1555">INDEX(InternalRates,MATCH($S1389,InternalRates01,FALSE),2)</f>
        <v>278.98333333333335</v>
      </c>
      <c r="Z1389" s="3" t="str">
        <f t="shared" si="1542"/>
        <v>Nie</v>
      </c>
      <c r="AA1389" s="3" t="str">
        <f t="shared" si="1543"/>
        <v>SLA</v>
      </c>
      <c r="AD1389" s="3" t="s">
        <v>48</v>
      </c>
      <c r="AE1389" s="6">
        <v>45684</v>
      </c>
      <c r="AF1389" s="3" t="s">
        <v>59</v>
      </c>
      <c r="AG1389" s="3" t="s">
        <v>48</v>
      </c>
      <c r="AH1389" s="3">
        <f>YEAR(SrcDB[[#This Row],[Datum_zverejnenia]])</f>
        <v>2024</v>
      </c>
      <c r="AI1389" s="3" cm="1">
        <f t="array" ref="AI1389">COUNT(_xlfn.UNIQUE(_xlfn._xlws.FILTER(SrcDB[ID],SrcDB[Objednavatel_ICO]=$H1389)))</f>
        <v>1</v>
      </c>
      <c r="AJ1389" s="3" cm="1">
        <f t="array" ref="AJ1389">COUNT(_xlfn.UNIQUE(_xlfn._xlws.FILTER(SrcDB[ID],SrcDB[Dodavatel_ICO]=$K1389)))</f>
        <v>1</v>
      </c>
      <c r="AK1389" s="3">
        <f t="shared" si="1505"/>
        <v>0</v>
      </c>
      <c r="AL1389" s="3">
        <f t="shared" si="1506"/>
        <v>0</v>
      </c>
      <c r="AM1389" s="17" t="str">
        <f>IF(SrcDB[[#This Row],[Pocet zmluv objednavatela]]&gt;3,SrcDB[[#This Row],[Objednavatel]],"Ostatné")</f>
        <v>Ostatné</v>
      </c>
      <c r="AN1389" s="17" t="str">
        <f>IF(SrcDB[[#This Row],[Pocet zmluv dodavatela]]&gt;3,SrcDB[[#This Row],[Dodavatel]],"Ostatné")</f>
        <v>Ostatné</v>
      </c>
    </row>
    <row r="1390" spans="1:40" x14ac:dyDescent="0.3">
      <c r="A1390" s="2" t="s">
        <v>1745</v>
      </c>
      <c r="B1390" s="2">
        <v>10177873</v>
      </c>
      <c r="C1390" s="3" t="str">
        <f t="shared" si="1497"/>
        <v>Nie</v>
      </c>
      <c r="D1390" s="3" t="str">
        <f t="shared" si="1498"/>
        <v>Áno</v>
      </c>
      <c r="E1390" s="3" t="s">
        <v>48</v>
      </c>
      <c r="F1390" s="3" t="s">
        <v>49</v>
      </c>
      <c r="G1390" s="2" t="str">
        <f t="shared" si="1499"/>
        <v>Malé zmluvy</v>
      </c>
      <c r="H1390" s="5" t="s">
        <v>1746</v>
      </c>
      <c r="I1390" s="2" t="s">
        <v>1747</v>
      </c>
      <c r="J1390" s="2" t="s">
        <v>1748</v>
      </c>
      <c r="K1390" s="5" t="s">
        <v>1749</v>
      </c>
      <c r="L1390" s="2" t="s">
        <v>1750</v>
      </c>
      <c r="M1390" s="2" t="s">
        <v>1751</v>
      </c>
      <c r="N1390" s="6">
        <v>45642</v>
      </c>
      <c r="O1390" s="4">
        <v>262800</v>
      </c>
      <c r="P1390" s="2">
        <v>6215909</v>
      </c>
      <c r="Q1390" s="2" t="s">
        <v>1752</v>
      </c>
      <c r="R1390" s="2" t="s">
        <v>1753</v>
      </c>
      <c r="S1390" s="2" t="s">
        <v>56</v>
      </c>
      <c r="T1390" s="2" t="s">
        <v>1757</v>
      </c>
      <c r="U1390" s="2" t="s">
        <v>113</v>
      </c>
      <c r="W1390" s="4">
        <f>74.4*8</f>
        <v>595.20000000000005</v>
      </c>
      <c r="X1390" s="4">
        <f>SrcDB[[#This Row],[Cena bez DPH]]*1.2</f>
        <v>714.24</v>
      </c>
      <c r="Y1390" s="4">
        <f t="shared" ref="Y1390" si="1556">INDEX(InternalRates,MATCH($S1390,InternalRates01,FALSE),2)</f>
        <v>278.98333333333335</v>
      </c>
      <c r="Z1390" s="3" t="str">
        <f t="shared" si="1542"/>
        <v>Nie</v>
      </c>
      <c r="AA1390" s="3" t="str">
        <f t="shared" si="1543"/>
        <v>SLA</v>
      </c>
      <c r="AD1390" s="3" t="s">
        <v>48</v>
      </c>
      <c r="AE1390" s="6">
        <v>45684</v>
      </c>
      <c r="AF1390" s="3" t="s">
        <v>59</v>
      </c>
      <c r="AG1390" s="3" t="s">
        <v>48</v>
      </c>
      <c r="AH1390" s="3">
        <f>YEAR(SrcDB[[#This Row],[Datum_zverejnenia]])</f>
        <v>2024</v>
      </c>
      <c r="AI1390" s="3" cm="1">
        <f t="array" ref="AI1390">COUNT(_xlfn.UNIQUE(_xlfn._xlws.FILTER(SrcDB[ID],SrcDB[Objednavatel_ICO]=$H1390)))</f>
        <v>1</v>
      </c>
      <c r="AJ1390" s="3" cm="1">
        <f t="array" ref="AJ1390">COUNT(_xlfn.UNIQUE(_xlfn._xlws.FILTER(SrcDB[ID],SrcDB[Dodavatel_ICO]=$K1390)))</f>
        <v>1</v>
      </c>
      <c r="AK1390" s="3">
        <f t="shared" si="1505"/>
        <v>0</v>
      </c>
      <c r="AL1390" s="3">
        <f t="shared" si="1506"/>
        <v>0</v>
      </c>
      <c r="AM1390" s="17" t="str">
        <f>IF(SrcDB[[#This Row],[Pocet zmluv objednavatela]]&gt;3,SrcDB[[#This Row],[Objednavatel]],"Ostatné")</f>
        <v>Ostatné</v>
      </c>
      <c r="AN1390" s="17" t="str">
        <f>IF(SrcDB[[#This Row],[Pocet zmluv dodavatela]]&gt;3,SrcDB[[#This Row],[Dodavatel]],"Ostatné")</f>
        <v>Ostatné</v>
      </c>
    </row>
    <row r="1391" spans="1:40" x14ac:dyDescent="0.3">
      <c r="A1391" s="2" t="s">
        <v>1758</v>
      </c>
      <c r="B1391" s="2">
        <v>9375200</v>
      </c>
      <c r="C1391" s="3" t="str">
        <f t="shared" si="1497"/>
        <v>Áno</v>
      </c>
      <c r="D1391" s="3" t="str">
        <f t="shared" si="1498"/>
        <v>Nie</v>
      </c>
      <c r="E1391" s="3" t="s">
        <v>49</v>
      </c>
      <c r="F1391" s="3" t="s">
        <v>49</v>
      </c>
      <c r="G1391" s="2" t="str">
        <f t="shared" si="1499"/>
        <v>Malé zmluvy</v>
      </c>
      <c r="H1391" s="5" t="s">
        <v>1759</v>
      </c>
      <c r="I1391" s="2" t="s">
        <v>1760</v>
      </c>
      <c r="J1391" s="2" t="s">
        <v>966</v>
      </c>
      <c r="K1391" s="5">
        <v>36785512</v>
      </c>
      <c r="L1391" s="2" t="s">
        <v>700</v>
      </c>
      <c r="M1391" s="2" t="s">
        <v>53</v>
      </c>
      <c r="N1391" s="6">
        <v>45454</v>
      </c>
      <c r="O1391" s="4">
        <v>262380</v>
      </c>
      <c r="P1391" s="2">
        <v>360085</v>
      </c>
      <c r="Q1391" s="2" t="s">
        <v>1761</v>
      </c>
      <c r="R1391" s="2" t="s">
        <v>1762</v>
      </c>
      <c r="S1391" s="2" t="s">
        <v>69</v>
      </c>
      <c r="T1391" s="2" t="s">
        <v>1763</v>
      </c>
      <c r="W1391" s="4">
        <v>450</v>
      </c>
      <c r="X1391" s="4">
        <f>SrcDB[[#This Row],[Cena bez DPH]]*1.2</f>
        <v>540</v>
      </c>
      <c r="Y1391" s="4">
        <f t="shared" ref="Y1391" si="1557">INDEX(InternalRates,MATCH($S1391,InternalRates01,FALSE),2)</f>
        <v>278.98333333333335</v>
      </c>
      <c r="Z1391" s="3" t="str">
        <f>IF(W1391&gt;0,IF(Y1391&gt;W1391,"Áno","Nie"),"Nie")</f>
        <v>Nie</v>
      </c>
      <c r="AA1391" s="3" t="str">
        <f>IF(E1391="Nie","SLA",IF(F1391="Nie","ZoD","SLA+ZoD"))</f>
        <v>SLA+ZoD</v>
      </c>
      <c r="AD1391" s="3" t="s">
        <v>48</v>
      </c>
      <c r="AE1391" s="6">
        <v>45684</v>
      </c>
      <c r="AF1391" s="3" t="s">
        <v>59</v>
      </c>
      <c r="AG1391" s="3" t="s">
        <v>48</v>
      </c>
      <c r="AH1391" s="3">
        <f>YEAR(SrcDB[[#This Row],[Datum_zverejnenia]])</f>
        <v>2024</v>
      </c>
      <c r="AI1391" s="3" cm="1">
        <f t="array" ref="AI1391">COUNT(_xlfn.UNIQUE(_xlfn._xlws.FILTER(SrcDB[ID],SrcDB[Objednavatel_ICO]=$H1391)))</f>
        <v>2</v>
      </c>
      <c r="AJ1391" s="3" cm="1">
        <f t="array" ref="AJ1391">COUNT(_xlfn.UNIQUE(_xlfn._xlws.FILTER(SrcDB[ID],SrcDB[Dodavatel_ICO]=$K1391)))</f>
        <v>7</v>
      </c>
      <c r="AK1391" s="3">
        <f t="shared" si="1505"/>
        <v>1</v>
      </c>
      <c r="AL1391" s="3">
        <f t="shared" si="1506"/>
        <v>1</v>
      </c>
      <c r="AM1391" s="17" t="str">
        <f>IF(SrcDB[[#This Row],[Pocet zmluv objednavatela]]&gt;3,SrcDB[[#This Row],[Objednavatel]],"Ostatné")</f>
        <v>Ostatné</v>
      </c>
      <c r="AN1391" s="17" t="str">
        <f>IF(SrcDB[[#This Row],[Pocet zmluv dodavatela]]&gt;3,SrcDB[[#This Row],[Dodavatel]],"Ostatné")</f>
        <v>SOFTIP, a. s.</v>
      </c>
    </row>
    <row r="1392" spans="1:40" x14ac:dyDescent="0.3">
      <c r="A1392" s="2" t="s">
        <v>1758</v>
      </c>
      <c r="B1392" s="2">
        <v>9375200</v>
      </c>
      <c r="C1392" s="3" t="str">
        <f t="shared" si="1497"/>
        <v>Áno</v>
      </c>
      <c r="D1392" s="3" t="str">
        <f t="shared" si="1498"/>
        <v>Nie</v>
      </c>
      <c r="E1392" s="3" t="s">
        <v>49</v>
      </c>
      <c r="F1392" s="3" t="s">
        <v>49</v>
      </c>
      <c r="G1392" s="2" t="str">
        <f t="shared" si="1499"/>
        <v>Malé zmluvy</v>
      </c>
      <c r="H1392" s="5" t="s">
        <v>1759</v>
      </c>
      <c r="I1392" s="2" t="s">
        <v>1760</v>
      </c>
      <c r="J1392" s="2" t="s">
        <v>966</v>
      </c>
      <c r="K1392" s="5">
        <v>36785512</v>
      </c>
      <c r="L1392" s="2" t="s">
        <v>700</v>
      </c>
      <c r="M1392" s="2" t="s">
        <v>53</v>
      </c>
      <c r="N1392" s="6">
        <v>45454</v>
      </c>
      <c r="O1392" s="4">
        <v>262380</v>
      </c>
      <c r="P1392" s="2">
        <v>360085</v>
      </c>
      <c r="Q1392" s="2" t="s">
        <v>1761</v>
      </c>
      <c r="R1392" s="2" t="s">
        <v>1762</v>
      </c>
      <c r="S1392" s="2" t="s">
        <v>73</v>
      </c>
      <c r="T1392" s="2" t="s">
        <v>1764</v>
      </c>
      <c r="W1392" s="4">
        <v>500</v>
      </c>
      <c r="X1392" s="4">
        <f>SrcDB[[#This Row],[Cena bez DPH]]*1.2</f>
        <v>600</v>
      </c>
      <c r="Y1392" s="4">
        <f t="shared" ref="Y1392" si="1558">INDEX(InternalRates,MATCH($S1392,InternalRates01,FALSE),2)</f>
        <v>278.98333333333335</v>
      </c>
      <c r="Z1392" s="3" t="str">
        <f t="shared" ref="Z1392:Z1396" si="1559">IF(W1392&gt;0,IF(Y1392&gt;W1392,"Áno","Nie"),"Nie")</f>
        <v>Nie</v>
      </c>
      <c r="AA1392" s="3" t="str">
        <f t="shared" ref="AA1392:AA1396" si="1560">IF(E1392="Nie","SLA",IF(F1392="Nie","ZoD","SLA+ZoD"))</f>
        <v>SLA+ZoD</v>
      </c>
      <c r="AD1392" s="3" t="s">
        <v>48</v>
      </c>
      <c r="AE1392" s="6">
        <v>45684</v>
      </c>
      <c r="AF1392" s="3" t="s">
        <v>59</v>
      </c>
      <c r="AG1392" s="3" t="s">
        <v>48</v>
      </c>
      <c r="AH1392" s="3">
        <f>YEAR(SrcDB[[#This Row],[Datum_zverejnenia]])</f>
        <v>2024</v>
      </c>
      <c r="AI1392" s="3" cm="1">
        <f t="array" ref="AI1392">COUNT(_xlfn.UNIQUE(_xlfn._xlws.FILTER(SrcDB[ID],SrcDB[Objednavatel_ICO]=$H1392)))</f>
        <v>2</v>
      </c>
      <c r="AJ1392" s="3" cm="1">
        <f t="array" ref="AJ1392">COUNT(_xlfn.UNIQUE(_xlfn._xlws.FILTER(SrcDB[ID],SrcDB[Dodavatel_ICO]=$K1392)))</f>
        <v>7</v>
      </c>
      <c r="AK1392" s="3">
        <f t="shared" si="1505"/>
        <v>0</v>
      </c>
      <c r="AL1392" s="3">
        <f t="shared" si="1506"/>
        <v>0</v>
      </c>
      <c r="AM1392" s="17" t="str">
        <f>IF(SrcDB[[#This Row],[Pocet zmluv objednavatela]]&gt;3,SrcDB[[#This Row],[Objednavatel]],"Ostatné")</f>
        <v>Ostatné</v>
      </c>
      <c r="AN1392" s="17" t="str">
        <f>IF(SrcDB[[#This Row],[Pocet zmluv dodavatela]]&gt;3,SrcDB[[#This Row],[Dodavatel]],"Ostatné")</f>
        <v>SOFTIP, a. s.</v>
      </c>
    </row>
    <row r="1393" spans="1:40" x14ac:dyDescent="0.3">
      <c r="A1393" s="2" t="s">
        <v>1758</v>
      </c>
      <c r="B1393" s="2">
        <v>9375200</v>
      </c>
      <c r="C1393" s="3" t="str">
        <f t="shared" si="1497"/>
        <v>Áno</v>
      </c>
      <c r="D1393" s="3" t="str">
        <f t="shared" si="1498"/>
        <v>Nie</v>
      </c>
      <c r="E1393" s="3" t="s">
        <v>49</v>
      </c>
      <c r="F1393" s="3" t="s">
        <v>49</v>
      </c>
      <c r="G1393" s="2" t="str">
        <f t="shared" si="1499"/>
        <v>Malé zmluvy</v>
      </c>
      <c r="H1393" s="5" t="s">
        <v>1759</v>
      </c>
      <c r="I1393" s="2" t="s">
        <v>1760</v>
      </c>
      <c r="J1393" s="2" t="s">
        <v>966</v>
      </c>
      <c r="K1393" s="5">
        <v>36785512</v>
      </c>
      <c r="L1393" s="2" t="s">
        <v>700</v>
      </c>
      <c r="M1393" s="2" t="s">
        <v>53</v>
      </c>
      <c r="N1393" s="6">
        <v>45454</v>
      </c>
      <c r="O1393" s="4">
        <v>262380</v>
      </c>
      <c r="P1393" s="2">
        <v>360085</v>
      </c>
      <c r="Q1393" s="2" t="s">
        <v>1761</v>
      </c>
      <c r="R1393" s="2" t="s">
        <v>1762</v>
      </c>
      <c r="S1393" s="2" t="s">
        <v>71</v>
      </c>
      <c r="T1393" s="2" t="s">
        <v>1461</v>
      </c>
      <c r="W1393" s="4">
        <v>400</v>
      </c>
      <c r="X1393" s="4">
        <f>SrcDB[[#This Row],[Cena bez DPH]]*1.2</f>
        <v>480</v>
      </c>
      <c r="Y1393" s="4">
        <f t="shared" ref="Y1393" si="1561">INDEX(InternalRates,MATCH($S1393,InternalRates01,FALSE),2)</f>
        <v>354.0333333333333</v>
      </c>
      <c r="Z1393" s="3" t="str">
        <f t="shared" si="1559"/>
        <v>Nie</v>
      </c>
      <c r="AA1393" s="3" t="str">
        <f t="shared" si="1560"/>
        <v>SLA+ZoD</v>
      </c>
      <c r="AD1393" s="3" t="s">
        <v>48</v>
      </c>
      <c r="AE1393" s="6">
        <v>45684</v>
      </c>
      <c r="AF1393" s="3" t="s">
        <v>59</v>
      </c>
      <c r="AG1393" s="3" t="s">
        <v>48</v>
      </c>
      <c r="AH1393" s="3">
        <f>YEAR(SrcDB[[#This Row],[Datum_zverejnenia]])</f>
        <v>2024</v>
      </c>
      <c r="AI1393" s="3" cm="1">
        <f t="array" ref="AI1393">COUNT(_xlfn.UNIQUE(_xlfn._xlws.FILTER(SrcDB[ID],SrcDB[Objednavatel_ICO]=$H1393)))</f>
        <v>2</v>
      </c>
      <c r="AJ1393" s="3" cm="1">
        <f t="array" ref="AJ1393">COUNT(_xlfn.UNIQUE(_xlfn._xlws.FILTER(SrcDB[ID],SrcDB[Dodavatel_ICO]=$K1393)))</f>
        <v>7</v>
      </c>
      <c r="AK1393" s="3">
        <f t="shared" si="1505"/>
        <v>0</v>
      </c>
      <c r="AL1393" s="3">
        <f t="shared" si="1506"/>
        <v>0</v>
      </c>
      <c r="AM1393" s="17" t="str">
        <f>IF(SrcDB[[#This Row],[Pocet zmluv objednavatela]]&gt;3,SrcDB[[#This Row],[Objednavatel]],"Ostatné")</f>
        <v>Ostatné</v>
      </c>
      <c r="AN1393" s="17" t="str">
        <f>IF(SrcDB[[#This Row],[Pocet zmluv dodavatela]]&gt;3,SrcDB[[#This Row],[Dodavatel]],"Ostatné")</f>
        <v>SOFTIP, a. s.</v>
      </c>
    </row>
    <row r="1394" spans="1:40" x14ac:dyDescent="0.3">
      <c r="A1394" s="2" t="s">
        <v>1758</v>
      </c>
      <c r="B1394" s="2">
        <v>9375200</v>
      </c>
      <c r="C1394" s="3" t="str">
        <f t="shared" si="1497"/>
        <v>Áno</v>
      </c>
      <c r="D1394" s="3" t="str">
        <f t="shared" si="1498"/>
        <v>Nie</v>
      </c>
      <c r="E1394" s="3" t="s">
        <v>49</v>
      </c>
      <c r="F1394" s="3" t="s">
        <v>49</v>
      </c>
      <c r="G1394" s="2" t="str">
        <f t="shared" si="1499"/>
        <v>Malé zmluvy</v>
      </c>
      <c r="H1394" s="5" t="s">
        <v>1759</v>
      </c>
      <c r="I1394" s="2" t="s">
        <v>1760</v>
      </c>
      <c r="J1394" s="2" t="s">
        <v>966</v>
      </c>
      <c r="K1394" s="5">
        <v>36785512</v>
      </c>
      <c r="L1394" s="2" t="s">
        <v>700</v>
      </c>
      <c r="M1394" s="2" t="s">
        <v>53</v>
      </c>
      <c r="N1394" s="6">
        <v>45454</v>
      </c>
      <c r="O1394" s="4">
        <v>262380</v>
      </c>
      <c r="P1394" s="2">
        <v>360085</v>
      </c>
      <c r="Q1394" s="2" t="s">
        <v>1761</v>
      </c>
      <c r="R1394" s="2" t="s">
        <v>1762</v>
      </c>
      <c r="S1394" s="2" t="s">
        <v>77</v>
      </c>
      <c r="T1394" s="2" t="s">
        <v>1033</v>
      </c>
      <c r="W1394" s="4">
        <v>400</v>
      </c>
      <c r="X1394" s="4">
        <f>SrcDB[[#This Row],[Cena bez DPH]]*1.2</f>
        <v>480</v>
      </c>
      <c r="Y1394" s="4">
        <f t="shared" ref="Y1394" si="1562">INDEX(InternalRates,MATCH($S1394,InternalRates01,FALSE),2)</f>
        <v>278.98333333333335</v>
      </c>
      <c r="Z1394" s="3" t="str">
        <f t="shared" si="1559"/>
        <v>Nie</v>
      </c>
      <c r="AA1394" s="3" t="str">
        <f t="shared" si="1560"/>
        <v>SLA+ZoD</v>
      </c>
      <c r="AD1394" s="3" t="s">
        <v>48</v>
      </c>
      <c r="AE1394" s="6">
        <v>45684</v>
      </c>
      <c r="AF1394" s="3" t="s">
        <v>59</v>
      </c>
      <c r="AG1394" s="3" t="s">
        <v>48</v>
      </c>
      <c r="AH1394" s="3">
        <f>YEAR(SrcDB[[#This Row],[Datum_zverejnenia]])</f>
        <v>2024</v>
      </c>
      <c r="AI1394" s="3" cm="1">
        <f t="array" ref="AI1394">COUNT(_xlfn.UNIQUE(_xlfn._xlws.FILTER(SrcDB[ID],SrcDB[Objednavatel_ICO]=$H1394)))</f>
        <v>2</v>
      </c>
      <c r="AJ1394" s="3" cm="1">
        <f t="array" ref="AJ1394">COUNT(_xlfn.UNIQUE(_xlfn._xlws.FILTER(SrcDB[ID],SrcDB[Dodavatel_ICO]=$K1394)))</f>
        <v>7</v>
      </c>
      <c r="AK1394" s="3">
        <f t="shared" si="1505"/>
        <v>0</v>
      </c>
      <c r="AL1394" s="3">
        <f t="shared" si="1506"/>
        <v>0</v>
      </c>
      <c r="AM1394" s="17" t="str">
        <f>IF(SrcDB[[#This Row],[Pocet zmluv objednavatela]]&gt;3,SrcDB[[#This Row],[Objednavatel]],"Ostatné")</f>
        <v>Ostatné</v>
      </c>
      <c r="AN1394" s="17" t="str">
        <f>IF(SrcDB[[#This Row],[Pocet zmluv dodavatela]]&gt;3,SrcDB[[#This Row],[Dodavatel]],"Ostatné")</f>
        <v>SOFTIP, a. s.</v>
      </c>
    </row>
    <row r="1395" spans="1:40" x14ac:dyDescent="0.3">
      <c r="A1395" s="2" t="s">
        <v>1758</v>
      </c>
      <c r="B1395" s="2">
        <v>9375200</v>
      </c>
      <c r="C1395" s="3" t="str">
        <f t="shared" ref="C1395:C1453" si="1563">IF(OR(NOT(ISERROR(FIND("O DIEL",UPPER($A1395)))),NOT(ISERROR(FIND("O IMPLEM",UPPER($A1395)))))=TRUE,"Áno",IF(OR(NOT(ISERROR(FIND("PODPOR",UPPER($A1395)))),NOT(ISERROR(FIND("SLA",UPPER($A1395)))),NOT(ISERROR(FIND("SERVIS",UPPER($A1395)))))=TRUE,"Nie","Nejasné"))</f>
        <v>Áno</v>
      </c>
      <c r="D1395" s="3" t="str">
        <f t="shared" ref="D1395:D1453" si="1564">IF(OR(NOT(ISERROR(FIND("PODPOR",UPPER($A1395)))),NOT(ISERROR(FIND("SLA",UPPER($A1395)))),NOT(ISERROR(FIND("SERVIS",UPPER($A1395)))))=TRUE,"Áno",IF(OR(NOT(ISERROR(FIND("O DIEL",UPPER($A1395)))),NOT(ISERROR(FIND("O IMPLEM",UPPER($A1395)))))=TRUE,"Nie","Nejasné"))</f>
        <v>Nie</v>
      </c>
      <c r="E1395" s="3" t="s">
        <v>49</v>
      </c>
      <c r="F1395" s="3" t="s">
        <v>49</v>
      </c>
      <c r="G1395" s="2" t="str">
        <f t="shared" ref="G1395:G1453" si="1565">IF($O1395&gt;=8000000,"Veľké zmluvy",IF($O1395&gt;=1000000,"Stredné zmluvy","Malé zmluvy"))</f>
        <v>Malé zmluvy</v>
      </c>
      <c r="H1395" s="5" t="s">
        <v>1759</v>
      </c>
      <c r="I1395" s="2" t="s">
        <v>1760</v>
      </c>
      <c r="J1395" s="2" t="s">
        <v>966</v>
      </c>
      <c r="K1395" s="5">
        <v>36785512</v>
      </c>
      <c r="L1395" s="2" t="s">
        <v>700</v>
      </c>
      <c r="M1395" s="2" t="s">
        <v>53</v>
      </c>
      <c r="N1395" s="6">
        <v>45454</v>
      </c>
      <c r="O1395" s="4">
        <v>262380</v>
      </c>
      <c r="P1395" s="2">
        <v>360085</v>
      </c>
      <c r="Q1395" s="2" t="s">
        <v>1761</v>
      </c>
      <c r="R1395" s="2" t="s">
        <v>1762</v>
      </c>
      <c r="S1395" s="2" t="s">
        <v>56</v>
      </c>
      <c r="T1395" s="2" t="s">
        <v>1112</v>
      </c>
      <c r="U1395" s="2" t="s">
        <v>76</v>
      </c>
      <c r="W1395" s="4">
        <v>300</v>
      </c>
      <c r="X1395" s="4">
        <f>SrcDB[[#This Row],[Cena bez DPH]]*1.2</f>
        <v>360</v>
      </c>
      <c r="Y1395" s="4">
        <f t="shared" ref="Y1395" si="1566">INDEX(InternalRates,MATCH($S1395,InternalRates01,FALSE),2)</f>
        <v>278.98333333333335</v>
      </c>
      <c r="Z1395" s="3" t="str">
        <f t="shared" si="1559"/>
        <v>Nie</v>
      </c>
      <c r="AA1395" s="3" t="str">
        <f t="shared" si="1560"/>
        <v>SLA+ZoD</v>
      </c>
      <c r="AD1395" s="3" t="s">
        <v>48</v>
      </c>
      <c r="AE1395" s="6">
        <v>45684</v>
      </c>
      <c r="AF1395" s="3" t="s">
        <v>59</v>
      </c>
      <c r="AG1395" s="3" t="s">
        <v>48</v>
      </c>
      <c r="AH1395" s="3">
        <f>YEAR(SrcDB[[#This Row],[Datum_zverejnenia]])</f>
        <v>2024</v>
      </c>
      <c r="AI1395" s="3" cm="1">
        <f t="array" ref="AI1395">COUNT(_xlfn.UNIQUE(_xlfn._xlws.FILTER(SrcDB[ID],SrcDB[Objednavatel_ICO]=$H1395)))</f>
        <v>2</v>
      </c>
      <c r="AJ1395" s="3" cm="1">
        <f t="array" ref="AJ1395">COUNT(_xlfn.UNIQUE(_xlfn._xlws.FILTER(SrcDB[ID],SrcDB[Dodavatel_ICO]=$K1395)))</f>
        <v>7</v>
      </c>
      <c r="AK1395" s="3" t="e">
        <f>IF(#REF!&lt;&gt;$H1395,1,IF(#REF!&lt;&gt;$B1395,1,0))</f>
        <v>#REF!</v>
      </c>
      <c r="AL1395" s="3" t="e">
        <f>IF(#REF!&lt;&gt;$K1395,1,IF(#REF!&lt;&gt;$B1395,1,0))</f>
        <v>#REF!</v>
      </c>
      <c r="AM1395" s="17" t="str">
        <f>IF(SrcDB[[#This Row],[Pocet zmluv objednavatela]]&gt;3,SrcDB[[#This Row],[Objednavatel]],"Ostatné")</f>
        <v>Ostatné</v>
      </c>
      <c r="AN1395" s="17" t="str">
        <f>IF(SrcDB[[#This Row],[Pocet zmluv dodavatela]]&gt;3,SrcDB[[#This Row],[Dodavatel]],"Ostatné")</f>
        <v>SOFTIP, a. s.</v>
      </c>
    </row>
    <row r="1396" spans="1:40" x14ac:dyDescent="0.3">
      <c r="A1396" s="2" t="s">
        <v>1758</v>
      </c>
      <c r="B1396" s="2">
        <v>9375200</v>
      </c>
      <c r="C1396" s="3" t="str">
        <f t="shared" si="1563"/>
        <v>Áno</v>
      </c>
      <c r="D1396" s="3" t="str">
        <f t="shared" si="1564"/>
        <v>Nie</v>
      </c>
      <c r="E1396" s="3" t="s">
        <v>49</v>
      </c>
      <c r="F1396" s="3" t="s">
        <v>49</v>
      </c>
      <c r="G1396" s="2" t="str">
        <f t="shared" si="1565"/>
        <v>Malé zmluvy</v>
      </c>
      <c r="H1396" s="5" t="s">
        <v>1759</v>
      </c>
      <c r="I1396" s="2" t="s">
        <v>1760</v>
      </c>
      <c r="J1396" s="2" t="s">
        <v>966</v>
      </c>
      <c r="K1396" s="5">
        <v>36785512</v>
      </c>
      <c r="L1396" s="2" t="s">
        <v>700</v>
      </c>
      <c r="M1396" s="2" t="s">
        <v>53</v>
      </c>
      <c r="N1396" s="6">
        <v>45454</v>
      </c>
      <c r="O1396" s="4">
        <v>262380</v>
      </c>
      <c r="P1396" s="2">
        <v>360085</v>
      </c>
      <c r="Q1396" s="2" t="s">
        <v>1761</v>
      </c>
      <c r="R1396" s="2" t="s">
        <v>1762</v>
      </c>
      <c r="S1396" s="2" t="s">
        <v>183</v>
      </c>
      <c r="T1396" s="2" t="s">
        <v>1767</v>
      </c>
      <c r="W1396" s="4">
        <v>346.25</v>
      </c>
      <c r="X1396" s="4">
        <f>SrcDB[[#This Row],[Cena bez DPH]]*1.2</f>
        <v>415.5</v>
      </c>
      <c r="Y1396" s="4">
        <f t="shared" ref="Y1396" si="1567">INDEX(InternalRates,MATCH($S1396,InternalRates01,FALSE),2)</f>
        <v>278.98333333333335</v>
      </c>
      <c r="Z1396" s="3" t="str">
        <f t="shared" si="1559"/>
        <v>Nie</v>
      </c>
      <c r="AA1396" s="3" t="str">
        <f t="shared" si="1560"/>
        <v>SLA+ZoD</v>
      </c>
      <c r="AD1396" s="3" t="s">
        <v>48</v>
      </c>
      <c r="AE1396" s="6">
        <v>45684</v>
      </c>
      <c r="AF1396" s="3" t="s">
        <v>59</v>
      </c>
      <c r="AG1396" s="3" t="s">
        <v>48</v>
      </c>
      <c r="AH1396" s="3">
        <f>YEAR(SrcDB[[#This Row],[Datum_zverejnenia]])</f>
        <v>2024</v>
      </c>
      <c r="AI1396" s="3" cm="1">
        <f t="array" ref="AI1396">COUNT(_xlfn.UNIQUE(_xlfn._xlws.FILTER(SrcDB[ID],SrcDB[Objednavatel_ICO]=$H1396)))</f>
        <v>2</v>
      </c>
      <c r="AJ1396" s="3" cm="1">
        <f t="array" ref="AJ1396">COUNT(_xlfn.UNIQUE(_xlfn._xlws.FILTER(SrcDB[ID],SrcDB[Dodavatel_ICO]=$K1396)))</f>
        <v>7</v>
      </c>
      <c r="AK1396" s="3" t="e">
        <f>IF(#REF!&lt;&gt;$H1396,1,IF(#REF!&lt;&gt;$B1396,1,0))</f>
        <v>#REF!</v>
      </c>
      <c r="AL1396" s="3" t="e">
        <f>IF(#REF!&lt;&gt;$K1396,1,IF(#REF!&lt;&gt;$B1396,1,0))</f>
        <v>#REF!</v>
      </c>
      <c r="AM1396" s="17" t="str">
        <f>IF(SrcDB[[#This Row],[Pocet zmluv objednavatela]]&gt;3,SrcDB[[#This Row],[Objednavatel]],"Ostatné")</f>
        <v>Ostatné</v>
      </c>
      <c r="AN1396" s="17" t="str">
        <f>IF(SrcDB[[#This Row],[Pocet zmluv dodavatela]]&gt;3,SrcDB[[#This Row],[Dodavatel]],"Ostatné")</f>
        <v>SOFTIP, a. s.</v>
      </c>
    </row>
    <row r="1397" spans="1:40" x14ac:dyDescent="0.3">
      <c r="A1397" s="2" t="s">
        <v>268</v>
      </c>
      <c r="B1397" s="2">
        <v>9089865</v>
      </c>
      <c r="C1397" s="3" t="str">
        <f t="shared" si="1563"/>
        <v>Nejasné</v>
      </c>
      <c r="D1397" s="3" t="str">
        <f t="shared" si="1564"/>
        <v>Nejasné</v>
      </c>
      <c r="E1397" s="3" t="s">
        <v>48</v>
      </c>
      <c r="F1397" s="3" t="s">
        <v>49</v>
      </c>
      <c r="G1397" s="2" t="str">
        <f t="shared" si="1565"/>
        <v>Stredné zmluvy</v>
      </c>
      <c r="H1397" s="5" t="s">
        <v>153</v>
      </c>
      <c r="I1397" s="2" t="s">
        <v>154</v>
      </c>
      <c r="J1397" s="2" t="s">
        <v>1768</v>
      </c>
      <c r="K1397" s="5" t="s">
        <v>1769</v>
      </c>
      <c r="L1397" s="2" t="s">
        <v>1770</v>
      </c>
      <c r="M1397" s="2" t="s">
        <v>1771</v>
      </c>
      <c r="N1397" s="6">
        <v>45376</v>
      </c>
      <c r="O1397" s="4">
        <v>4392000</v>
      </c>
      <c r="P1397" s="2">
        <v>6215909</v>
      </c>
      <c r="Q1397" s="2" t="s">
        <v>1772</v>
      </c>
      <c r="R1397" s="2" t="s">
        <v>1773</v>
      </c>
      <c r="S1397" s="2" t="s">
        <v>56</v>
      </c>
      <c r="T1397" s="2" t="s">
        <v>1774</v>
      </c>
      <c r="U1397" s="2" t="s">
        <v>58</v>
      </c>
      <c r="W1397" s="4">
        <f>(125*90+80*2160)/(90+2160)*8</f>
        <v>654.4</v>
      </c>
      <c r="X1397" s="4">
        <f>SrcDB[[#This Row],[Cena bez DPH]]*1.2</f>
        <v>785.28</v>
      </c>
      <c r="Y1397" s="4">
        <f t="shared" ref="Y1397" si="1568">INDEX(InternalRates,MATCH($S1397,InternalRates01,FALSE),2)</f>
        <v>278.98333333333335</v>
      </c>
      <c r="Z1397" s="3" t="str">
        <f>IF(W1397&gt;0,IF(Y1397&gt;W1397,"Áno","Nie"),"Nie")</f>
        <v>Nie</v>
      </c>
      <c r="AA1397" s="3" t="str">
        <f>IF(E1397="Nie","SLA",IF(F1397="Nie","ZoD","SLA+ZoD"))</f>
        <v>SLA</v>
      </c>
      <c r="AB1397" s="4">
        <f>(90+2160)/8</f>
        <v>281.25</v>
      </c>
      <c r="AC1397" s="4">
        <f>SrcDB[[#This Row],[Množstvo práce]]/5</f>
        <v>56.25</v>
      </c>
      <c r="AD1397" s="3" t="s">
        <v>48</v>
      </c>
      <c r="AE1397" s="6">
        <v>45684</v>
      </c>
      <c r="AF1397" s="3" t="s">
        <v>59</v>
      </c>
      <c r="AG1397" s="3" t="s">
        <v>48</v>
      </c>
      <c r="AH1397" s="3">
        <f>YEAR(SrcDB[[#This Row],[Datum_zverejnenia]])</f>
        <v>2024</v>
      </c>
      <c r="AI1397" s="3" cm="1">
        <f t="array" ref="AI1397">COUNT(_xlfn.UNIQUE(_xlfn._xlws.FILTER(SrcDB[ID],SrcDB[Objednavatel_ICO]=$H1397)))</f>
        <v>4</v>
      </c>
      <c r="AJ1397" s="3" cm="1">
        <f t="array" ref="AJ1397">COUNT(_xlfn.UNIQUE(_xlfn._xlws.FILTER(SrcDB[ID],SrcDB[Dodavatel_ICO]=$K1397)))</f>
        <v>1</v>
      </c>
      <c r="AK1397" s="3">
        <f t="shared" ref="AK1397:AK1452" si="1569">IF($H1396&lt;&gt;$H1397,1,IF($B1396&lt;&gt;$B1397,1,0))</f>
        <v>1</v>
      </c>
      <c r="AL1397" s="3">
        <f t="shared" ref="AL1397:AL1452" si="1570">IF($K1396&lt;&gt;$K1397,1,IF($B1396&lt;&gt;$B1397,1,0))</f>
        <v>1</v>
      </c>
      <c r="AM1397" s="17" t="str">
        <f>IF(SrcDB[[#This Row],[Pocet zmluv objednavatela]]&gt;3,SrcDB[[#This Row],[Objednavatel]],"Ostatné")</f>
        <v>DataCentrum</v>
      </c>
      <c r="AN1397" s="17" t="str">
        <f>IF(SrcDB[[#This Row],[Pocet zmluv dodavatela]]&gt;3,SrcDB[[#This Row],[Dodavatel]],"Ostatné")</f>
        <v>Ostatné</v>
      </c>
    </row>
    <row r="1398" spans="1:40" x14ac:dyDescent="0.3">
      <c r="A1398" s="2" t="s">
        <v>268</v>
      </c>
      <c r="B1398" s="2">
        <v>9089865</v>
      </c>
      <c r="C1398" s="3" t="str">
        <f t="shared" si="1563"/>
        <v>Nejasné</v>
      </c>
      <c r="D1398" s="3" t="str">
        <f t="shared" si="1564"/>
        <v>Nejasné</v>
      </c>
      <c r="E1398" s="3" t="s">
        <v>48</v>
      </c>
      <c r="F1398" s="3" t="s">
        <v>49</v>
      </c>
      <c r="G1398" s="2" t="str">
        <f t="shared" si="1565"/>
        <v>Stredné zmluvy</v>
      </c>
      <c r="H1398" s="5" t="s">
        <v>153</v>
      </c>
      <c r="I1398" s="2" t="s">
        <v>154</v>
      </c>
      <c r="J1398" s="2" t="s">
        <v>1768</v>
      </c>
      <c r="K1398" s="5" t="s">
        <v>1769</v>
      </c>
      <c r="L1398" s="2" t="s">
        <v>1770</v>
      </c>
      <c r="M1398" s="2" t="s">
        <v>1771</v>
      </c>
      <c r="N1398" s="6">
        <v>45376</v>
      </c>
      <c r="O1398" s="4">
        <v>4392000</v>
      </c>
      <c r="P1398" s="2">
        <v>6215909</v>
      </c>
      <c r="Q1398" s="2" t="s">
        <v>1772</v>
      </c>
      <c r="R1398" s="2" t="s">
        <v>1773</v>
      </c>
      <c r="S1398" s="2" t="s">
        <v>162</v>
      </c>
      <c r="T1398" s="2" t="s">
        <v>1775</v>
      </c>
      <c r="W1398" s="4">
        <f>(90*25+80*600)/(25+600)*8</f>
        <v>643.20000000000005</v>
      </c>
      <c r="X1398" s="4">
        <f>SrcDB[[#This Row],[Cena bez DPH]]*1.2</f>
        <v>771.84</v>
      </c>
      <c r="Y1398" s="4">
        <f t="shared" ref="Y1398" si="1571">INDEX(InternalRates,MATCH($S1398,InternalRates01,FALSE),2)</f>
        <v>231.85833333333335</v>
      </c>
      <c r="Z1398" s="3" t="str">
        <f t="shared" ref="Z1398:Z1405" si="1572">IF(W1398&gt;0,IF(Y1398&gt;W1398,"Áno","Nie"),"Nie")</f>
        <v>Nie</v>
      </c>
      <c r="AA1398" s="3" t="str">
        <f t="shared" ref="AA1398:AA1405" si="1573">IF(E1398="Nie","SLA",IF(F1398="Nie","ZoD","SLA+ZoD"))</f>
        <v>SLA</v>
      </c>
      <c r="AB1398" s="4">
        <f>(25+600)/8</f>
        <v>78.125</v>
      </c>
      <c r="AC1398" s="4">
        <f>SrcDB[[#This Row],[Množstvo práce]]/5</f>
        <v>15.625</v>
      </c>
      <c r="AD1398" s="3" t="s">
        <v>48</v>
      </c>
      <c r="AE1398" s="6">
        <v>45684</v>
      </c>
      <c r="AF1398" s="3" t="s">
        <v>59</v>
      </c>
      <c r="AG1398" s="3" t="s">
        <v>48</v>
      </c>
      <c r="AH1398" s="3">
        <f>YEAR(SrcDB[[#This Row],[Datum_zverejnenia]])</f>
        <v>2024</v>
      </c>
      <c r="AI1398" s="3" cm="1">
        <f t="array" ref="AI1398">COUNT(_xlfn.UNIQUE(_xlfn._xlws.FILTER(SrcDB[ID],SrcDB[Objednavatel_ICO]=$H1398)))</f>
        <v>4</v>
      </c>
      <c r="AJ1398" s="3" cm="1">
        <f t="array" ref="AJ1398">COUNT(_xlfn.UNIQUE(_xlfn._xlws.FILTER(SrcDB[ID],SrcDB[Dodavatel_ICO]=$K1398)))</f>
        <v>1</v>
      </c>
      <c r="AK1398" s="3">
        <f t="shared" si="1569"/>
        <v>0</v>
      </c>
      <c r="AL1398" s="3">
        <f t="shared" si="1570"/>
        <v>0</v>
      </c>
      <c r="AM1398" s="17" t="str">
        <f>IF(SrcDB[[#This Row],[Pocet zmluv objednavatela]]&gt;3,SrcDB[[#This Row],[Objednavatel]],"Ostatné")</f>
        <v>DataCentrum</v>
      </c>
      <c r="AN1398" s="17" t="str">
        <f>IF(SrcDB[[#This Row],[Pocet zmluv dodavatela]]&gt;3,SrcDB[[#This Row],[Dodavatel]],"Ostatné")</f>
        <v>Ostatné</v>
      </c>
    </row>
    <row r="1399" spans="1:40" x14ac:dyDescent="0.3">
      <c r="A1399" s="2" t="s">
        <v>268</v>
      </c>
      <c r="B1399" s="2">
        <v>9089865</v>
      </c>
      <c r="C1399" s="3" t="str">
        <f t="shared" si="1563"/>
        <v>Nejasné</v>
      </c>
      <c r="D1399" s="3" t="str">
        <f t="shared" si="1564"/>
        <v>Nejasné</v>
      </c>
      <c r="E1399" s="3" t="s">
        <v>48</v>
      </c>
      <c r="F1399" s="3" t="s">
        <v>49</v>
      </c>
      <c r="G1399" s="2" t="str">
        <f t="shared" si="1565"/>
        <v>Stredné zmluvy</v>
      </c>
      <c r="H1399" s="5" t="s">
        <v>153</v>
      </c>
      <c r="I1399" s="2" t="s">
        <v>154</v>
      </c>
      <c r="J1399" s="2" t="s">
        <v>1768</v>
      </c>
      <c r="K1399" s="5" t="s">
        <v>1769</v>
      </c>
      <c r="L1399" s="2" t="s">
        <v>1770</v>
      </c>
      <c r="M1399" s="2" t="s">
        <v>1771</v>
      </c>
      <c r="N1399" s="6">
        <v>45376</v>
      </c>
      <c r="O1399" s="4">
        <v>4392000</v>
      </c>
      <c r="P1399" s="2">
        <v>6215909</v>
      </c>
      <c r="Q1399" s="2" t="s">
        <v>1772</v>
      </c>
      <c r="R1399" s="2" t="s">
        <v>1773</v>
      </c>
      <c r="S1399" s="2" t="s">
        <v>56</v>
      </c>
      <c r="T1399" s="2" t="s">
        <v>1776</v>
      </c>
      <c r="U1399" s="2" t="s">
        <v>289</v>
      </c>
      <c r="W1399" s="4">
        <f>(90*25+80*600)/(25+600)*8</f>
        <v>643.20000000000005</v>
      </c>
      <c r="X1399" s="4">
        <f>SrcDB[[#This Row],[Cena bez DPH]]*1.2</f>
        <v>771.84</v>
      </c>
      <c r="Y1399" s="4">
        <f t="shared" ref="Y1399" si="1574">INDEX(InternalRates,MATCH($S1399,InternalRates01,FALSE),2)</f>
        <v>278.98333333333335</v>
      </c>
      <c r="Z1399" s="3" t="str">
        <f t="shared" si="1572"/>
        <v>Nie</v>
      </c>
      <c r="AA1399" s="3" t="str">
        <f t="shared" si="1573"/>
        <v>SLA</v>
      </c>
      <c r="AB1399" s="4">
        <f>(25+600)/8</f>
        <v>78.125</v>
      </c>
      <c r="AC1399" s="4">
        <f>SrcDB[[#This Row],[Množstvo práce]]/5</f>
        <v>15.625</v>
      </c>
      <c r="AD1399" s="3" t="s">
        <v>48</v>
      </c>
      <c r="AE1399" s="6">
        <v>45684</v>
      </c>
      <c r="AF1399" s="3" t="s">
        <v>59</v>
      </c>
      <c r="AG1399" s="3" t="s">
        <v>48</v>
      </c>
      <c r="AH1399" s="3">
        <f>YEAR(SrcDB[[#This Row],[Datum_zverejnenia]])</f>
        <v>2024</v>
      </c>
      <c r="AI1399" s="3" cm="1">
        <f t="array" ref="AI1399">COUNT(_xlfn.UNIQUE(_xlfn._xlws.FILTER(SrcDB[ID],SrcDB[Objednavatel_ICO]=$H1399)))</f>
        <v>4</v>
      </c>
      <c r="AJ1399" s="3" cm="1">
        <f t="array" ref="AJ1399">COUNT(_xlfn.UNIQUE(_xlfn._xlws.FILTER(SrcDB[ID],SrcDB[Dodavatel_ICO]=$K1399)))</f>
        <v>1</v>
      </c>
      <c r="AK1399" s="3">
        <f t="shared" si="1569"/>
        <v>0</v>
      </c>
      <c r="AL1399" s="3">
        <f t="shared" si="1570"/>
        <v>0</v>
      </c>
      <c r="AM1399" s="17" t="str">
        <f>IF(SrcDB[[#This Row],[Pocet zmluv objednavatela]]&gt;3,SrcDB[[#This Row],[Objednavatel]],"Ostatné")</f>
        <v>DataCentrum</v>
      </c>
      <c r="AN1399" s="17" t="str">
        <f>IF(SrcDB[[#This Row],[Pocet zmluv dodavatela]]&gt;3,SrcDB[[#This Row],[Dodavatel]],"Ostatné")</f>
        <v>Ostatné</v>
      </c>
    </row>
    <row r="1400" spans="1:40" x14ac:dyDescent="0.3">
      <c r="A1400" s="2" t="s">
        <v>268</v>
      </c>
      <c r="B1400" s="2">
        <v>9089865</v>
      </c>
      <c r="C1400" s="3" t="str">
        <f t="shared" si="1563"/>
        <v>Nejasné</v>
      </c>
      <c r="D1400" s="3" t="str">
        <f t="shared" si="1564"/>
        <v>Nejasné</v>
      </c>
      <c r="E1400" s="3" t="s">
        <v>48</v>
      </c>
      <c r="F1400" s="3" t="s">
        <v>49</v>
      </c>
      <c r="G1400" s="2" t="str">
        <f t="shared" si="1565"/>
        <v>Stredné zmluvy</v>
      </c>
      <c r="H1400" s="5" t="s">
        <v>153</v>
      </c>
      <c r="I1400" s="2" t="s">
        <v>154</v>
      </c>
      <c r="J1400" s="2" t="s">
        <v>1768</v>
      </c>
      <c r="K1400" s="5" t="s">
        <v>1769</v>
      </c>
      <c r="L1400" s="2" t="s">
        <v>1770</v>
      </c>
      <c r="M1400" s="2" t="s">
        <v>1771</v>
      </c>
      <c r="N1400" s="6">
        <v>45376</v>
      </c>
      <c r="O1400" s="4">
        <v>4392000</v>
      </c>
      <c r="P1400" s="2">
        <v>6215909</v>
      </c>
      <c r="Q1400" s="2" t="s">
        <v>1772</v>
      </c>
      <c r="R1400" s="2" t="s">
        <v>1773</v>
      </c>
      <c r="S1400" s="2" t="s">
        <v>56</v>
      </c>
      <c r="T1400" s="2" t="s">
        <v>1777</v>
      </c>
      <c r="U1400" s="2" t="s">
        <v>113</v>
      </c>
      <c r="W1400" s="4">
        <f>(90*25+80*600)/(25+600)*8</f>
        <v>643.20000000000005</v>
      </c>
      <c r="X1400" s="4">
        <f>SrcDB[[#This Row],[Cena bez DPH]]*1.2</f>
        <v>771.84</v>
      </c>
      <c r="Y1400" s="4">
        <f t="shared" ref="Y1400" si="1575">INDEX(InternalRates,MATCH($S1400,InternalRates01,FALSE),2)</f>
        <v>278.98333333333335</v>
      </c>
      <c r="Z1400" s="3" t="str">
        <f t="shared" si="1572"/>
        <v>Nie</v>
      </c>
      <c r="AA1400" s="3" t="str">
        <f t="shared" si="1573"/>
        <v>SLA</v>
      </c>
      <c r="AB1400" s="4">
        <f>(25+600)/8</f>
        <v>78.125</v>
      </c>
      <c r="AC1400" s="4">
        <f>SrcDB[[#This Row],[Množstvo práce]]/5</f>
        <v>15.625</v>
      </c>
      <c r="AD1400" s="3" t="s">
        <v>48</v>
      </c>
      <c r="AE1400" s="6">
        <v>45684</v>
      </c>
      <c r="AF1400" s="3" t="s">
        <v>59</v>
      </c>
      <c r="AG1400" s="3" t="s">
        <v>48</v>
      </c>
      <c r="AH1400" s="3">
        <f>YEAR(SrcDB[[#This Row],[Datum_zverejnenia]])</f>
        <v>2024</v>
      </c>
      <c r="AI1400" s="3" cm="1">
        <f t="array" ref="AI1400">COUNT(_xlfn.UNIQUE(_xlfn._xlws.FILTER(SrcDB[ID],SrcDB[Objednavatel_ICO]=$H1400)))</f>
        <v>4</v>
      </c>
      <c r="AJ1400" s="3" cm="1">
        <f t="array" ref="AJ1400">COUNT(_xlfn.UNIQUE(_xlfn._xlws.FILTER(SrcDB[ID],SrcDB[Dodavatel_ICO]=$K1400)))</f>
        <v>1</v>
      </c>
      <c r="AK1400" s="3">
        <f t="shared" si="1569"/>
        <v>0</v>
      </c>
      <c r="AL1400" s="3">
        <f t="shared" si="1570"/>
        <v>0</v>
      </c>
      <c r="AM1400" s="17" t="str">
        <f>IF(SrcDB[[#This Row],[Pocet zmluv objednavatela]]&gt;3,SrcDB[[#This Row],[Objednavatel]],"Ostatné")</f>
        <v>DataCentrum</v>
      </c>
      <c r="AN1400" s="17" t="str">
        <f>IF(SrcDB[[#This Row],[Pocet zmluv dodavatela]]&gt;3,SrcDB[[#This Row],[Dodavatel]],"Ostatné")</f>
        <v>Ostatné</v>
      </c>
    </row>
    <row r="1401" spans="1:40" x14ac:dyDescent="0.3">
      <c r="A1401" s="2" t="s">
        <v>268</v>
      </c>
      <c r="B1401" s="2">
        <v>9089865</v>
      </c>
      <c r="C1401" s="3" t="str">
        <f t="shared" si="1563"/>
        <v>Nejasné</v>
      </c>
      <c r="D1401" s="3" t="str">
        <f t="shared" si="1564"/>
        <v>Nejasné</v>
      </c>
      <c r="E1401" s="3" t="s">
        <v>48</v>
      </c>
      <c r="F1401" s="3" t="s">
        <v>49</v>
      </c>
      <c r="G1401" s="2" t="str">
        <f t="shared" si="1565"/>
        <v>Stredné zmluvy</v>
      </c>
      <c r="H1401" s="5" t="s">
        <v>153</v>
      </c>
      <c r="I1401" s="2" t="s">
        <v>154</v>
      </c>
      <c r="J1401" s="2" t="s">
        <v>1768</v>
      </c>
      <c r="K1401" s="5" t="s">
        <v>1769</v>
      </c>
      <c r="L1401" s="2" t="s">
        <v>1770</v>
      </c>
      <c r="M1401" s="2" t="s">
        <v>1771</v>
      </c>
      <c r="N1401" s="6">
        <v>45376</v>
      </c>
      <c r="O1401" s="4">
        <v>4392000</v>
      </c>
      <c r="P1401" s="2">
        <v>6215909</v>
      </c>
      <c r="Q1401" s="2" t="s">
        <v>1772</v>
      </c>
      <c r="R1401" s="2" t="s">
        <v>1773</v>
      </c>
      <c r="S1401" s="2" t="s">
        <v>100</v>
      </c>
      <c r="T1401" s="2" t="s">
        <v>1778</v>
      </c>
      <c r="W1401" s="4">
        <f>(70*90+70*2160)/(90+2160)*8</f>
        <v>560</v>
      </c>
      <c r="X1401" s="4">
        <f>SrcDB[[#This Row],[Cena bez DPH]]*1.2</f>
        <v>672</v>
      </c>
      <c r="Y1401" s="4">
        <f t="shared" ref="Y1401" si="1576">INDEX(InternalRates,MATCH($S1401,InternalRates01,FALSE),2)</f>
        <v>278.98333333333335</v>
      </c>
      <c r="Z1401" s="3" t="str">
        <f t="shared" si="1572"/>
        <v>Nie</v>
      </c>
      <c r="AA1401" s="3" t="str">
        <f t="shared" si="1573"/>
        <v>SLA</v>
      </c>
      <c r="AB1401" s="4">
        <f>(90+2160)/8</f>
        <v>281.25</v>
      </c>
      <c r="AC1401" s="4">
        <f>SrcDB[[#This Row],[Množstvo práce]]/5</f>
        <v>56.25</v>
      </c>
      <c r="AD1401" s="3" t="s">
        <v>48</v>
      </c>
      <c r="AE1401" s="6">
        <v>45684</v>
      </c>
      <c r="AF1401" s="3" t="s">
        <v>59</v>
      </c>
      <c r="AG1401" s="3" t="s">
        <v>48</v>
      </c>
      <c r="AH1401" s="3">
        <f>YEAR(SrcDB[[#This Row],[Datum_zverejnenia]])</f>
        <v>2024</v>
      </c>
      <c r="AI1401" s="3" cm="1">
        <f t="array" ref="AI1401">COUNT(_xlfn.UNIQUE(_xlfn._xlws.FILTER(SrcDB[ID],SrcDB[Objednavatel_ICO]=$H1401)))</f>
        <v>4</v>
      </c>
      <c r="AJ1401" s="3" cm="1">
        <f t="array" ref="AJ1401">COUNT(_xlfn.UNIQUE(_xlfn._xlws.FILTER(SrcDB[ID],SrcDB[Dodavatel_ICO]=$K1401)))</f>
        <v>1</v>
      </c>
      <c r="AK1401" s="3">
        <f t="shared" si="1569"/>
        <v>0</v>
      </c>
      <c r="AL1401" s="3">
        <f t="shared" si="1570"/>
        <v>0</v>
      </c>
      <c r="AM1401" s="17" t="str">
        <f>IF(SrcDB[[#This Row],[Pocet zmluv objednavatela]]&gt;3,SrcDB[[#This Row],[Objednavatel]],"Ostatné")</f>
        <v>DataCentrum</v>
      </c>
      <c r="AN1401" s="17" t="str">
        <f>IF(SrcDB[[#This Row],[Pocet zmluv dodavatela]]&gt;3,SrcDB[[#This Row],[Dodavatel]],"Ostatné")</f>
        <v>Ostatné</v>
      </c>
    </row>
    <row r="1402" spans="1:40" x14ac:dyDescent="0.3">
      <c r="A1402" s="2" t="s">
        <v>268</v>
      </c>
      <c r="B1402" s="2">
        <v>9089865</v>
      </c>
      <c r="C1402" s="3" t="str">
        <f t="shared" si="1563"/>
        <v>Nejasné</v>
      </c>
      <c r="D1402" s="3" t="str">
        <f t="shared" si="1564"/>
        <v>Nejasné</v>
      </c>
      <c r="E1402" s="3" t="s">
        <v>48</v>
      </c>
      <c r="F1402" s="3" t="s">
        <v>49</v>
      </c>
      <c r="G1402" s="2" t="str">
        <f t="shared" si="1565"/>
        <v>Stredné zmluvy</v>
      </c>
      <c r="H1402" s="5" t="s">
        <v>153</v>
      </c>
      <c r="I1402" s="2" t="s">
        <v>154</v>
      </c>
      <c r="J1402" s="2" t="s">
        <v>1768</v>
      </c>
      <c r="K1402" s="5" t="s">
        <v>1769</v>
      </c>
      <c r="L1402" s="2" t="s">
        <v>1770</v>
      </c>
      <c r="M1402" s="2" t="s">
        <v>1771</v>
      </c>
      <c r="N1402" s="6">
        <v>45376</v>
      </c>
      <c r="O1402" s="4">
        <v>4392000</v>
      </c>
      <c r="P1402" s="2">
        <v>6215909</v>
      </c>
      <c r="Q1402" s="2" t="s">
        <v>1772</v>
      </c>
      <c r="R1402" s="2" t="s">
        <v>1773</v>
      </c>
      <c r="S1402" s="2" t="s">
        <v>69</v>
      </c>
      <c r="T1402" s="2" t="s">
        <v>70</v>
      </c>
      <c r="W1402" s="4">
        <f>80*8</f>
        <v>640</v>
      </c>
      <c r="X1402" s="4">
        <f>SrcDB[[#This Row],[Cena bez DPH]]*1.2</f>
        <v>768</v>
      </c>
      <c r="Y1402" s="4">
        <f t="shared" ref="Y1402" si="1577">INDEX(InternalRates,MATCH($S1402,InternalRates01,FALSE),2)</f>
        <v>278.98333333333335</v>
      </c>
      <c r="Z1402" s="3" t="str">
        <f t="shared" si="1572"/>
        <v>Nie</v>
      </c>
      <c r="AA1402" s="3" t="str">
        <f t="shared" si="1573"/>
        <v>SLA</v>
      </c>
      <c r="AB1402" s="4">
        <f>300/8</f>
        <v>37.5</v>
      </c>
      <c r="AC1402" s="4">
        <f>SrcDB[[#This Row],[Množstvo práce]]/5</f>
        <v>7.5</v>
      </c>
      <c r="AD1402" s="3" t="s">
        <v>48</v>
      </c>
      <c r="AE1402" s="6">
        <v>45684</v>
      </c>
      <c r="AF1402" s="3" t="s">
        <v>59</v>
      </c>
      <c r="AG1402" s="3" t="s">
        <v>48</v>
      </c>
      <c r="AH1402" s="3">
        <f>YEAR(SrcDB[[#This Row],[Datum_zverejnenia]])</f>
        <v>2024</v>
      </c>
      <c r="AI1402" s="3" cm="1">
        <f t="array" ref="AI1402">COUNT(_xlfn.UNIQUE(_xlfn._xlws.FILTER(SrcDB[ID],SrcDB[Objednavatel_ICO]=$H1402)))</f>
        <v>4</v>
      </c>
      <c r="AJ1402" s="3" cm="1">
        <f t="array" ref="AJ1402">COUNT(_xlfn.UNIQUE(_xlfn._xlws.FILTER(SrcDB[ID],SrcDB[Dodavatel_ICO]=$K1402)))</f>
        <v>1</v>
      </c>
      <c r="AK1402" s="3">
        <f t="shared" si="1569"/>
        <v>0</v>
      </c>
      <c r="AL1402" s="3">
        <f t="shared" si="1570"/>
        <v>0</v>
      </c>
      <c r="AM1402" s="17" t="str">
        <f>IF(SrcDB[[#This Row],[Pocet zmluv objednavatela]]&gt;3,SrcDB[[#This Row],[Objednavatel]],"Ostatné")</f>
        <v>DataCentrum</v>
      </c>
      <c r="AN1402" s="17" t="str">
        <f>IF(SrcDB[[#This Row],[Pocet zmluv dodavatela]]&gt;3,SrcDB[[#This Row],[Dodavatel]],"Ostatné")</f>
        <v>Ostatné</v>
      </c>
    </row>
    <row r="1403" spans="1:40" x14ac:dyDescent="0.3">
      <c r="A1403" s="2" t="s">
        <v>268</v>
      </c>
      <c r="B1403" s="2">
        <v>9089865</v>
      </c>
      <c r="C1403" s="3" t="str">
        <f t="shared" si="1563"/>
        <v>Nejasné</v>
      </c>
      <c r="D1403" s="3" t="str">
        <f t="shared" si="1564"/>
        <v>Nejasné</v>
      </c>
      <c r="E1403" s="3" t="s">
        <v>48</v>
      </c>
      <c r="F1403" s="3" t="s">
        <v>49</v>
      </c>
      <c r="G1403" s="2" t="str">
        <f t="shared" si="1565"/>
        <v>Stredné zmluvy</v>
      </c>
      <c r="H1403" s="5" t="s">
        <v>153</v>
      </c>
      <c r="I1403" s="2" t="s">
        <v>154</v>
      </c>
      <c r="J1403" s="2" t="s">
        <v>1768</v>
      </c>
      <c r="K1403" s="5" t="s">
        <v>1769</v>
      </c>
      <c r="L1403" s="2" t="s">
        <v>1770</v>
      </c>
      <c r="M1403" s="2" t="s">
        <v>1771</v>
      </c>
      <c r="N1403" s="6">
        <v>45376</v>
      </c>
      <c r="O1403" s="4">
        <v>4392000</v>
      </c>
      <c r="P1403" s="2">
        <v>6215909</v>
      </c>
      <c r="Q1403" s="2" t="s">
        <v>1772</v>
      </c>
      <c r="R1403" s="2" t="s">
        <v>1773</v>
      </c>
      <c r="S1403" s="2" t="s">
        <v>77</v>
      </c>
      <c r="T1403" s="2" t="s">
        <v>1779</v>
      </c>
      <c r="W1403" s="4">
        <f>80*8</f>
        <v>640</v>
      </c>
      <c r="X1403" s="4">
        <f>SrcDB[[#This Row],[Cena bez DPH]]*1.2</f>
        <v>768</v>
      </c>
      <c r="Y1403" s="4">
        <f t="shared" ref="Y1403" si="1578">INDEX(InternalRates,MATCH($S1403,InternalRates01,FALSE),2)</f>
        <v>278.98333333333335</v>
      </c>
      <c r="Z1403" s="3" t="str">
        <f t="shared" si="1572"/>
        <v>Nie</v>
      </c>
      <c r="AA1403" s="3" t="str">
        <f t="shared" si="1573"/>
        <v>SLA</v>
      </c>
      <c r="AB1403" s="4">
        <f>1200/8</f>
        <v>150</v>
      </c>
      <c r="AC1403" s="4">
        <f>SrcDB[[#This Row],[Množstvo práce]]/5</f>
        <v>30</v>
      </c>
      <c r="AD1403" s="3" t="s">
        <v>48</v>
      </c>
      <c r="AE1403" s="6">
        <v>45684</v>
      </c>
      <c r="AF1403" s="3" t="s">
        <v>59</v>
      </c>
      <c r="AG1403" s="3" t="s">
        <v>48</v>
      </c>
      <c r="AH1403" s="3">
        <f>YEAR(SrcDB[[#This Row],[Datum_zverejnenia]])</f>
        <v>2024</v>
      </c>
      <c r="AI1403" s="3" cm="1">
        <f t="array" ref="AI1403">COUNT(_xlfn.UNIQUE(_xlfn._xlws.FILTER(SrcDB[ID],SrcDB[Objednavatel_ICO]=$H1403)))</f>
        <v>4</v>
      </c>
      <c r="AJ1403" s="3" cm="1">
        <f t="array" ref="AJ1403">COUNT(_xlfn.UNIQUE(_xlfn._xlws.FILTER(SrcDB[ID],SrcDB[Dodavatel_ICO]=$K1403)))</f>
        <v>1</v>
      </c>
      <c r="AK1403" s="3">
        <f t="shared" si="1569"/>
        <v>0</v>
      </c>
      <c r="AL1403" s="3">
        <f t="shared" si="1570"/>
        <v>0</v>
      </c>
      <c r="AM1403" s="17" t="str">
        <f>IF(SrcDB[[#This Row],[Pocet zmluv objednavatela]]&gt;3,SrcDB[[#This Row],[Objednavatel]],"Ostatné")</f>
        <v>DataCentrum</v>
      </c>
      <c r="AN1403" s="17" t="str">
        <f>IF(SrcDB[[#This Row],[Pocet zmluv dodavatela]]&gt;3,SrcDB[[#This Row],[Dodavatel]],"Ostatné")</f>
        <v>Ostatné</v>
      </c>
    </row>
    <row r="1404" spans="1:40" x14ac:dyDescent="0.3">
      <c r="A1404" s="2" t="s">
        <v>268</v>
      </c>
      <c r="B1404" s="2">
        <v>9089865</v>
      </c>
      <c r="C1404" s="3" t="str">
        <f t="shared" si="1563"/>
        <v>Nejasné</v>
      </c>
      <c r="D1404" s="3" t="str">
        <f t="shared" si="1564"/>
        <v>Nejasné</v>
      </c>
      <c r="E1404" s="3" t="s">
        <v>48</v>
      </c>
      <c r="F1404" s="3" t="s">
        <v>49</v>
      </c>
      <c r="G1404" s="2" t="str">
        <f t="shared" si="1565"/>
        <v>Stredné zmluvy</v>
      </c>
      <c r="H1404" s="5" t="s">
        <v>153</v>
      </c>
      <c r="I1404" s="2" t="s">
        <v>154</v>
      </c>
      <c r="J1404" s="2" t="s">
        <v>1768</v>
      </c>
      <c r="K1404" s="5" t="s">
        <v>1769</v>
      </c>
      <c r="L1404" s="2" t="s">
        <v>1770</v>
      </c>
      <c r="M1404" s="2" t="s">
        <v>1771</v>
      </c>
      <c r="N1404" s="6">
        <v>45376</v>
      </c>
      <c r="O1404" s="4">
        <v>4392000</v>
      </c>
      <c r="P1404" s="2">
        <v>6215909</v>
      </c>
      <c r="Q1404" s="2" t="s">
        <v>1772</v>
      </c>
      <c r="R1404" s="2" t="s">
        <v>1773</v>
      </c>
      <c r="S1404" s="2" t="s">
        <v>79</v>
      </c>
      <c r="T1404" s="2" t="s">
        <v>79</v>
      </c>
      <c r="W1404" s="4">
        <f>70*8</f>
        <v>560</v>
      </c>
      <c r="X1404" s="4">
        <f>SrcDB[[#This Row],[Cena bez DPH]]*1.2</f>
        <v>672</v>
      </c>
      <c r="Y1404" s="4">
        <f t="shared" ref="Y1404" si="1579">INDEX(InternalRates,MATCH($S1404,InternalRates01,FALSE),2)</f>
        <v>278.98333333333335</v>
      </c>
      <c r="Z1404" s="3" t="str">
        <f t="shared" si="1572"/>
        <v>Nie</v>
      </c>
      <c r="AA1404" s="3" t="str">
        <f t="shared" si="1573"/>
        <v>SLA</v>
      </c>
      <c r="AB1404" s="4">
        <f>600/8</f>
        <v>75</v>
      </c>
      <c r="AC1404" s="4">
        <f>SrcDB[[#This Row],[Množstvo práce]]/5</f>
        <v>15</v>
      </c>
      <c r="AD1404" s="3" t="s">
        <v>48</v>
      </c>
      <c r="AE1404" s="6">
        <v>45684</v>
      </c>
      <c r="AF1404" s="3" t="s">
        <v>59</v>
      </c>
      <c r="AG1404" s="3" t="s">
        <v>48</v>
      </c>
      <c r="AH1404" s="3">
        <f>YEAR(SrcDB[[#This Row],[Datum_zverejnenia]])</f>
        <v>2024</v>
      </c>
      <c r="AI1404" s="3" cm="1">
        <f t="array" ref="AI1404">COUNT(_xlfn.UNIQUE(_xlfn._xlws.FILTER(SrcDB[ID],SrcDB[Objednavatel_ICO]=$H1404)))</f>
        <v>4</v>
      </c>
      <c r="AJ1404" s="3" cm="1">
        <f t="array" ref="AJ1404">COUNT(_xlfn.UNIQUE(_xlfn._xlws.FILTER(SrcDB[ID],SrcDB[Dodavatel_ICO]=$K1404)))</f>
        <v>1</v>
      </c>
      <c r="AK1404" s="3">
        <f t="shared" si="1569"/>
        <v>0</v>
      </c>
      <c r="AL1404" s="3">
        <f t="shared" si="1570"/>
        <v>0</v>
      </c>
      <c r="AM1404" s="17" t="str">
        <f>IF(SrcDB[[#This Row],[Pocet zmluv objednavatela]]&gt;3,SrcDB[[#This Row],[Objednavatel]],"Ostatné")</f>
        <v>DataCentrum</v>
      </c>
      <c r="AN1404" s="17" t="str">
        <f>IF(SrcDB[[#This Row],[Pocet zmluv dodavatela]]&gt;3,SrcDB[[#This Row],[Dodavatel]],"Ostatné")</f>
        <v>Ostatné</v>
      </c>
    </row>
    <row r="1405" spans="1:40" x14ac:dyDescent="0.3">
      <c r="A1405" s="2" t="s">
        <v>268</v>
      </c>
      <c r="B1405" s="2">
        <v>9089865</v>
      </c>
      <c r="C1405" s="3" t="str">
        <f t="shared" si="1563"/>
        <v>Nejasné</v>
      </c>
      <c r="D1405" s="3" t="str">
        <f t="shared" si="1564"/>
        <v>Nejasné</v>
      </c>
      <c r="E1405" s="3" t="s">
        <v>48</v>
      </c>
      <c r="F1405" s="3" t="s">
        <v>49</v>
      </c>
      <c r="G1405" s="2" t="str">
        <f t="shared" si="1565"/>
        <v>Stredné zmluvy</v>
      </c>
      <c r="H1405" s="5" t="s">
        <v>153</v>
      </c>
      <c r="I1405" s="2" t="s">
        <v>154</v>
      </c>
      <c r="J1405" s="2" t="s">
        <v>1768</v>
      </c>
      <c r="K1405" s="5" t="s">
        <v>1769</v>
      </c>
      <c r="L1405" s="2" t="s">
        <v>1770</v>
      </c>
      <c r="M1405" s="2" t="s">
        <v>1771</v>
      </c>
      <c r="N1405" s="6">
        <v>45376</v>
      </c>
      <c r="O1405" s="4">
        <v>4392000</v>
      </c>
      <c r="P1405" s="2">
        <v>6215909</v>
      </c>
      <c r="Q1405" s="2" t="s">
        <v>1772</v>
      </c>
      <c r="R1405" s="2" t="s">
        <v>1773</v>
      </c>
      <c r="S1405" s="2" t="s">
        <v>56</v>
      </c>
      <c r="T1405" s="2" t="s">
        <v>1780</v>
      </c>
      <c r="U1405" s="2" t="s">
        <v>95</v>
      </c>
      <c r="W1405" s="4">
        <f>80*8</f>
        <v>640</v>
      </c>
      <c r="X1405" s="4">
        <f>SrcDB[[#This Row],[Cena bez DPH]]*1.2</f>
        <v>768</v>
      </c>
      <c r="Y1405" s="4">
        <f t="shared" ref="Y1405" si="1580">INDEX(InternalRates,MATCH($S1405,InternalRates01,FALSE),2)</f>
        <v>278.98333333333335</v>
      </c>
      <c r="Z1405" s="3" t="str">
        <f t="shared" si="1572"/>
        <v>Nie</v>
      </c>
      <c r="AA1405" s="3" t="str">
        <f t="shared" si="1573"/>
        <v>SLA</v>
      </c>
      <c r="AB1405" s="4">
        <f>600/8</f>
        <v>75</v>
      </c>
      <c r="AC1405" s="4">
        <f>SrcDB[[#This Row],[Množstvo práce]]/5</f>
        <v>15</v>
      </c>
      <c r="AD1405" s="3" t="s">
        <v>48</v>
      </c>
      <c r="AE1405" s="6">
        <v>45684</v>
      </c>
      <c r="AF1405" s="3" t="s">
        <v>59</v>
      </c>
      <c r="AG1405" s="3" t="s">
        <v>48</v>
      </c>
      <c r="AH1405" s="3">
        <f>YEAR(SrcDB[[#This Row],[Datum_zverejnenia]])</f>
        <v>2024</v>
      </c>
      <c r="AI1405" s="3" cm="1">
        <f t="array" ref="AI1405">COUNT(_xlfn.UNIQUE(_xlfn._xlws.FILTER(SrcDB[ID],SrcDB[Objednavatel_ICO]=$H1405)))</f>
        <v>4</v>
      </c>
      <c r="AJ1405" s="3" cm="1">
        <f t="array" ref="AJ1405">COUNT(_xlfn.UNIQUE(_xlfn._xlws.FILTER(SrcDB[ID],SrcDB[Dodavatel_ICO]=$K1405)))</f>
        <v>1</v>
      </c>
      <c r="AK1405" s="3">
        <f t="shared" si="1569"/>
        <v>0</v>
      </c>
      <c r="AL1405" s="3">
        <f t="shared" si="1570"/>
        <v>0</v>
      </c>
      <c r="AM1405" s="17" t="str">
        <f>IF(SrcDB[[#This Row],[Pocet zmluv objednavatela]]&gt;3,SrcDB[[#This Row],[Objednavatel]],"Ostatné")</f>
        <v>DataCentrum</v>
      </c>
      <c r="AN1405" s="17" t="str">
        <f>IF(SrcDB[[#This Row],[Pocet zmluv dodavatela]]&gt;3,SrcDB[[#This Row],[Dodavatel]],"Ostatné")</f>
        <v>Ostatné</v>
      </c>
    </row>
    <row r="1406" spans="1:40" x14ac:dyDescent="0.3">
      <c r="A1406" s="2" t="s">
        <v>268</v>
      </c>
      <c r="B1406" s="2">
        <v>9089865</v>
      </c>
      <c r="C1406" s="3" t="str">
        <f t="shared" si="1563"/>
        <v>Nejasné</v>
      </c>
      <c r="D1406" s="3" t="str">
        <f t="shared" si="1564"/>
        <v>Nejasné</v>
      </c>
      <c r="E1406" s="3" t="s">
        <v>48</v>
      </c>
      <c r="F1406" s="3" t="s">
        <v>49</v>
      </c>
      <c r="G1406" s="2" t="str">
        <f t="shared" si="1565"/>
        <v>Stredné zmluvy</v>
      </c>
      <c r="H1406" s="5" t="s">
        <v>153</v>
      </c>
      <c r="I1406" s="2" t="s">
        <v>154</v>
      </c>
      <c r="J1406" s="2" t="s">
        <v>1768</v>
      </c>
      <c r="K1406" s="5" t="s">
        <v>1769</v>
      </c>
      <c r="L1406" s="2" t="s">
        <v>1770</v>
      </c>
      <c r="M1406" s="2" t="s">
        <v>1771</v>
      </c>
      <c r="N1406" s="6">
        <v>45376</v>
      </c>
      <c r="O1406" s="4">
        <v>4392000</v>
      </c>
      <c r="P1406" s="2">
        <v>6215909</v>
      </c>
      <c r="Q1406" s="2" t="s">
        <v>1772</v>
      </c>
      <c r="R1406" s="2" t="s">
        <v>1773</v>
      </c>
      <c r="S1406" s="2" t="s">
        <v>71</v>
      </c>
      <c r="T1406" s="2" t="s">
        <v>1781</v>
      </c>
      <c r="W1406" s="4">
        <f>80*8</f>
        <v>640</v>
      </c>
      <c r="X1406" s="4">
        <f>SrcDB[[#This Row],[Cena bez DPH]]*1.2</f>
        <v>768</v>
      </c>
      <c r="Y1406" s="4">
        <f t="shared" ref="Y1406" si="1581">INDEX(InternalRates,MATCH($S1406,InternalRates01,FALSE),2)</f>
        <v>354.0333333333333</v>
      </c>
      <c r="Z1406" s="3" t="str">
        <f>IF(W1406&gt;0,IF(Y1406&gt;W1406,"Áno","Nie"),"Nie")</f>
        <v>Nie</v>
      </c>
      <c r="AA1406" s="3" t="str">
        <f>IF(E1406="Nie","SLA",IF(F1406="Nie","ZoD","SLA+ZoD"))</f>
        <v>SLA</v>
      </c>
      <c r="AB1406" s="4">
        <f>300/8</f>
        <v>37.5</v>
      </c>
      <c r="AC1406" s="4">
        <f>SrcDB[[#This Row],[Množstvo práce]]/5</f>
        <v>7.5</v>
      </c>
      <c r="AD1406" s="3" t="s">
        <v>48</v>
      </c>
      <c r="AE1406" s="6">
        <v>45684</v>
      </c>
      <c r="AF1406" s="3" t="s">
        <v>59</v>
      </c>
      <c r="AG1406" s="3" t="s">
        <v>48</v>
      </c>
      <c r="AH1406" s="3">
        <f>YEAR(SrcDB[[#This Row],[Datum_zverejnenia]])</f>
        <v>2024</v>
      </c>
      <c r="AI1406" s="3" cm="1">
        <f t="array" ref="AI1406">COUNT(_xlfn.UNIQUE(_xlfn._xlws.FILTER(SrcDB[ID],SrcDB[Objednavatel_ICO]=$H1406)))</f>
        <v>4</v>
      </c>
      <c r="AJ1406" s="3" cm="1">
        <f t="array" ref="AJ1406">COUNT(_xlfn.UNIQUE(_xlfn._xlws.FILTER(SrcDB[ID],SrcDB[Dodavatel_ICO]=$K1406)))</f>
        <v>1</v>
      </c>
      <c r="AK1406" s="3">
        <f t="shared" si="1569"/>
        <v>0</v>
      </c>
      <c r="AL1406" s="3">
        <f t="shared" si="1570"/>
        <v>0</v>
      </c>
      <c r="AM1406" s="17" t="str">
        <f>IF(SrcDB[[#This Row],[Pocet zmluv objednavatela]]&gt;3,SrcDB[[#This Row],[Objednavatel]],"Ostatné")</f>
        <v>DataCentrum</v>
      </c>
      <c r="AN1406" s="17" t="str">
        <f>IF(SrcDB[[#This Row],[Pocet zmluv dodavatela]]&gt;3,SrcDB[[#This Row],[Dodavatel]],"Ostatné")</f>
        <v>Ostatné</v>
      </c>
    </row>
    <row r="1407" spans="1:40" x14ac:dyDescent="0.3">
      <c r="A1407" s="2" t="s">
        <v>564</v>
      </c>
      <c r="B1407" s="2">
        <v>10017531</v>
      </c>
      <c r="C1407" s="3" t="str">
        <f t="shared" si="1563"/>
        <v>Nejasné</v>
      </c>
      <c r="D1407" s="3" t="str">
        <f t="shared" si="1564"/>
        <v>Nejasné</v>
      </c>
      <c r="E1407" s="3" t="s">
        <v>48</v>
      </c>
      <c r="F1407" s="3" t="s">
        <v>49</v>
      </c>
      <c r="G1407" s="2" t="str">
        <f t="shared" si="1565"/>
        <v>Malé zmluvy</v>
      </c>
      <c r="H1407" s="5">
        <v>31364501</v>
      </c>
      <c r="I1407" s="2" t="s">
        <v>220</v>
      </c>
      <c r="J1407" s="2" t="s">
        <v>726</v>
      </c>
      <c r="K1407" s="5" t="s">
        <v>1782</v>
      </c>
      <c r="L1407" s="2" t="s">
        <v>1783</v>
      </c>
      <c r="M1407" s="2" t="s">
        <v>1784</v>
      </c>
      <c r="N1407" s="6">
        <v>45608</v>
      </c>
      <c r="O1407" s="4">
        <v>486950.40000000002</v>
      </c>
      <c r="P1407" s="2">
        <v>114573</v>
      </c>
      <c r="Q1407" s="2" t="s">
        <v>1785</v>
      </c>
      <c r="R1407" s="2" t="s">
        <v>1786</v>
      </c>
      <c r="S1407" s="2" t="s">
        <v>183</v>
      </c>
      <c r="W1407" s="4">
        <v>456</v>
      </c>
      <c r="X1407" s="4">
        <f>SrcDB[[#This Row],[Cena bez DPH]]*1.2</f>
        <v>547.19999999999993</v>
      </c>
      <c r="Y1407" s="4">
        <f t="shared" ref="Y1407" si="1582">INDEX(InternalRates,MATCH($S1407,InternalRates01,FALSE),2)</f>
        <v>278.98333333333335</v>
      </c>
      <c r="Z1407" s="3" t="str">
        <f>IF(W1407&gt;0,IF(Y1407&gt;W1407,"Áno","Nie"),"Nie")</f>
        <v>Nie</v>
      </c>
      <c r="AA1407" s="3" t="str">
        <f>IF(E1407="Nie","SLA",IF(F1407="Nie","ZoD","SLA+ZoD"))</f>
        <v>SLA</v>
      </c>
      <c r="AB1407" s="4">
        <v>82</v>
      </c>
      <c r="AC1407" s="4">
        <v>82</v>
      </c>
      <c r="AD1407" s="3" t="s">
        <v>48</v>
      </c>
      <c r="AE1407" s="6">
        <v>45684</v>
      </c>
      <c r="AF1407" s="3" t="s">
        <v>59</v>
      </c>
      <c r="AG1407" s="3" t="s">
        <v>48</v>
      </c>
      <c r="AH1407" s="3">
        <f>YEAR(SrcDB[[#This Row],[Datum_zverejnenia]])</f>
        <v>2024</v>
      </c>
      <c r="AI1407" s="3" cm="1">
        <f t="array" ref="AI1407">COUNT(_xlfn.UNIQUE(_xlfn._xlws.FILTER(SrcDB[ID],SrcDB[Objednavatel_ICO]=$H1407)))</f>
        <v>24</v>
      </c>
      <c r="AJ1407" s="3" cm="1">
        <f t="array" ref="AJ1407">COUNT(_xlfn.UNIQUE(_xlfn._xlws.FILTER(SrcDB[ID],SrcDB[Dodavatel_ICO]=$K1407)))</f>
        <v>1</v>
      </c>
      <c r="AK1407" s="3">
        <f t="shared" si="1569"/>
        <v>1</v>
      </c>
      <c r="AL1407" s="3">
        <f t="shared" si="1570"/>
        <v>1</v>
      </c>
      <c r="AM1407" s="17" t="str">
        <f>IF(SrcDB[[#This Row],[Pocet zmluv objednavatela]]&gt;3,SrcDB[[#This Row],[Objednavatel]],"Ostatné")</f>
        <v>Železnice Slovenskej republiky</v>
      </c>
      <c r="AN1407" s="17" t="str">
        <f>IF(SrcDB[[#This Row],[Pocet zmluv dodavatela]]&gt;3,SrcDB[[#This Row],[Dodavatel]],"Ostatné")</f>
        <v>Ostatné</v>
      </c>
    </row>
    <row r="1408" spans="1:40" x14ac:dyDescent="0.3">
      <c r="A1408" s="2" t="s">
        <v>1787</v>
      </c>
      <c r="B1408" s="2">
        <v>8890595</v>
      </c>
      <c r="C1408" s="3" t="str">
        <f t="shared" si="1563"/>
        <v>Nejasné</v>
      </c>
      <c r="D1408" s="3" t="str">
        <f t="shared" si="1564"/>
        <v>Nejasné</v>
      </c>
      <c r="E1408" s="3" t="s">
        <v>48</v>
      </c>
      <c r="F1408" s="3" t="s">
        <v>49</v>
      </c>
      <c r="G1408" s="2" t="str">
        <f t="shared" si="1565"/>
        <v>Malé zmluvy</v>
      </c>
      <c r="H1408" s="5" t="s">
        <v>1759</v>
      </c>
      <c r="I1408" s="2" t="s">
        <v>1760</v>
      </c>
      <c r="J1408" s="2" t="s">
        <v>966</v>
      </c>
      <c r="K1408" s="5">
        <v>35728531</v>
      </c>
      <c r="L1408" s="2" t="s">
        <v>310</v>
      </c>
      <c r="M1408" s="2" t="s">
        <v>311</v>
      </c>
      <c r="N1408" s="6">
        <v>45323</v>
      </c>
      <c r="O1408" s="4">
        <v>842818.18</v>
      </c>
      <c r="P1408" s="2">
        <v>360085</v>
      </c>
      <c r="Q1408" s="2" t="s">
        <v>1788</v>
      </c>
      <c r="R1408" s="2" t="s">
        <v>1789</v>
      </c>
      <c r="S1408" s="2" t="s">
        <v>69</v>
      </c>
      <c r="T1408" s="2" t="s">
        <v>1763</v>
      </c>
      <c r="W1408" s="4">
        <v>310</v>
      </c>
      <c r="X1408" s="4">
        <f>SrcDB[[#This Row],[Cena bez DPH]]*1.2</f>
        <v>372</v>
      </c>
      <c r="Y1408" s="4">
        <f t="shared" ref="Y1408" si="1583">INDEX(InternalRates,MATCH($S1408,InternalRates01,FALSE),2)</f>
        <v>278.98333333333335</v>
      </c>
      <c r="Z1408" s="3" t="str">
        <f>IF(W1408&gt;0,IF(Y1408&gt;W1408,"Áno","Nie"),"Nie")</f>
        <v>Nie</v>
      </c>
      <c r="AA1408" s="3" t="str">
        <f>IF(E1408="Nie","SLA",IF(F1408="Nie","ZoD","SLA+ZoD"))</f>
        <v>SLA</v>
      </c>
      <c r="AB1408" s="4">
        <f>(600+325+325)/12</f>
        <v>104.16666666666667</v>
      </c>
      <c r="AC1408" s="4">
        <f>SrcDB[[#This Row],[Množstvo práce]]/3</f>
        <v>34.722222222222221</v>
      </c>
      <c r="AD1408" s="3" t="s">
        <v>49</v>
      </c>
      <c r="AE1408" s="6">
        <v>45684</v>
      </c>
      <c r="AF1408" s="3" t="s">
        <v>59</v>
      </c>
      <c r="AG1408" s="3" t="s">
        <v>48</v>
      </c>
      <c r="AH1408" s="3">
        <f>YEAR(SrcDB[[#This Row],[Datum_zverejnenia]])</f>
        <v>2024</v>
      </c>
      <c r="AI1408" s="3" cm="1">
        <f t="array" ref="AI1408">COUNT(_xlfn.UNIQUE(_xlfn._xlws.FILTER(SrcDB[ID],SrcDB[Objednavatel_ICO]=$H1408)))</f>
        <v>2</v>
      </c>
      <c r="AJ1408" s="3" cm="1">
        <f t="array" ref="AJ1408">COUNT(_xlfn.UNIQUE(_xlfn._xlws.FILTER(SrcDB[ID],SrcDB[Dodavatel_ICO]=$K1408)))</f>
        <v>8</v>
      </c>
      <c r="AK1408" s="3">
        <f t="shared" si="1569"/>
        <v>1</v>
      </c>
      <c r="AL1408" s="3">
        <f t="shared" si="1570"/>
        <v>1</v>
      </c>
      <c r="AM1408" s="17" t="str">
        <f>IF(SrcDB[[#This Row],[Pocet zmluv objednavatela]]&gt;3,SrcDB[[#This Row],[Objednavatel]],"Ostatné")</f>
        <v>Ostatné</v>
      </c>
      <c r="AN1408" s="17" t="str">
        <f>IF(SrcDB[[#This Row],[Pocet zmluv dodavatela]]&gt;3,SrcDB[[#This Row],[Dodavatel]],"Ostatné")</f>
        <v>InterWay, a.s.</v>
      </c>
    </row>
    <row r="1409" spans="1:40" x14ac:dyDescent="0.3">
      <c r="A1409" s="2" t="s">
        <v>1787</v>
      </c>
      <c r="B1409" s="2">
        <v>8890595</v>
      </c>
      <c r="C1409" s="3" t="str">
        <f t="shared" si="1563"/>
        <v>Nejasné</v>
      </c>
      <c r="D1409" s="3" t="str">
        <f t="shared" si="1564"/>
        <v>Nejasné</v>
      </c>
      <c r="E1409" s="3" t="s">
        <v>48</v>
      </c>
      <c r="F1409" s="3" t="s">
        <v>49</v>
      </c>
      <c r="G1409" s="2" t="str">
        <f t="shared" si="1565"/>
        <v>Malé zmluvy</v>
      </c>
      <c r="H1409" s="5" t="s">
        <v>1759</v>
      </c>
      <c r="I1409" s="2" t="s">
        <v>1760</v>
      </c>
      <c r="J1409" s="2" t="s">
        <v>966</v>
      </c>
      <c r="K1409" s="5">
        <v>35728531</v>
      </c>
      <c r="L1409" s="2" t="s">
        <v>310</v>
      </c>
      <c r="M1409" s="2" t="s">
        <v>311</v>
      </c>
      <c r="N1409" s="6">
        <v>45323</v>
      </c>
      <c r="O1409" s="4">
        <v>842818.18</v>
      </c>
      <c r="P1409" s="2">
        <v>360085</v>
      </c>
      <c r="Q1409" s="2" t="s">
        <v>1788</v>
      </c>
      <c r="R1409" s="2" t="s">
        <v>1789</v>
      </c>
      <c r="S1409" s="2" t="s">
        <v>73</v>
      </c>
      <c r="T1409" s="2" t="s">
        <v>1764</v>
      </c>
      <c r="W1409" s="4">
        <v>300</v>
      </c>
      <c r="X1409" s="4">
        <f>SrcDB[[#This Row],[Cena bez DPH]]*1.2</f>
        <v>360</v>
      </c>
      <c r="Y1409" s="4">
        <f t="shared" ref="Y1409" si="1584">INDEX(InternalRates,MATCH($S1409,InternalRates01,FALSE),2)</f>
        <v>278.98333333333335</v>
      </c>
      <c r="Z1409" s="3" t="str">
        <f t="shared" ref="Z1409:Z1416" si="1585">IF(W1409&gt;0,IF(Y1409&gt;W1409,"Áno","Nie"),"Nie")</f>
        <v>Nie</v>
      </c>
      <c r="AA1409" s="3" t="str">
        <f t="shared" ref="AA1409:AA1416" si="1586">IF(E1409="Nie","SLA",IF(F1409="Nie","ZoD","SLA+ZoD"))</f>
        <v>SLA</v>
      </c>
      <c r="AB1409" s="4">
        <f t="shared" ref="AB1409:AB1416" si="1587">(600+325+325)/12</f>
        <v>104.16666666666667</v>
      </c>
      <c r="AC1409" s="4">
        <f>SrcDB[[#This Row],[Množstvo práce]]/3</f>
        <v>34.722222222222221</v>
      </c>
      <c r="AD1409" s="3" t="s">
        <v>49</v>
      </c>
      <c r="AE1409" s="6">
        <v>45684</v>
      </c>
      <c r="AF1409" s="3" t="s">
        <v>59</v>
      </c>
      <c r="AG1409" s="3" t="s">
        <v>48</v>
      </c>
      <c r="AH1409" s="3">
        <f>YEAR(SrcDB[[#This Row],[Datum_zverejnenia]])</f>
        <v>2024</v>
      </c>
      <c r="AI1409" s="3" cm="1">
        <f t="array" ref="AI1409">COUNT(_xlfn.UNIQUE(_xlfn._xlws.FILTER(SrcDB[ID],SrcDB[Objednavatel_ICO]=$H1409)))</f>
        <v>2</v>
      </c>
      <c r="AJ1409" s="3" cm="1">
        <f t="array" ref="AJ1409">COUNT(_xlfn.UNIQUE(_xlfn._xlws.FILTER(SrcDB[ID],SrcDB[Dodavatel_ICO]=$K1409)))</f>
        <v>8</v>
      </c>
      <c r="AK1409" s="3">
        <f t="shared" si="1569"/>
        <v>0</v>
      </c>
      <c r="AL1409" s="3">
        <f t="shared" si="1570"/>
        <v>0</v>
      </c>
      <c r="AM1409" s="17" t="str">
        <f>IF(SrcDB[[#This Row],[Pocet zmluv objednavatela]]&gt;3,SrcDB[[#This Row],[Objednavatel]],"Ostatné")</f>
        <v>Ostatné</v>
      </c>
      <c r="AN1409" s="17" t="str">
        <f>IF(SrcDB[[#This Row],[Pocet zmluv dodavatela]]&gt;3,SrcDB[[#This Row],[Dodavatel]],"Ostatné")</f>
        <v>InterWay, a.s.</v>
      </c>
    </row>
    <row r="1410" spans="1:40" x14ac:dyDescent="0.3">
      <c r="A1410" s="2" t="s">
        <v>1787</v>
      </c>
      <c r="B1410" s="2">
        <v>8890595</v>
      </c>
      <c r="C1410" s="3" t="str">
        <f t="shared" si="1563"/>
        <v>Nejasné</v>
      </c>
      <c r="D1410" s="3" t="str">
        <f t="shared" si="1564"/>
        <v>Nejasné</v>
      </c>
      <c r="E1410" s="3" t="s">
        <v>48</v>
      </c>
      <c r="F1410" s="3" t="s">
        <v>49</v>
      </c>
      <c r="G1410" s="2" t="str">
        <f t="shared" si="1565"/>
        <v>Malé zmluvy</v>
      </c>
      <c r="H1410" s="5" t="s">
        <v>1759</v>
      </c>
      <c r="I1410" s="2" t="s">
        <v>1760</v>
      </c>
      <c r="J1410" s="2" t="s">
        <v>966</v>
      </c>
      <c r="K1410" s="5">
        <v>35728531</v>
      </c>
      <c r="L1410" s="2" t="s">
        <v>310</v>
      </c>
      <c r="M1410" s="2" t="s">
        <v>311</v>
      </c>
      <c r="N1410" s="6">
        <v>45323</v>
      </c>
      <c r="O1410" s="4">
        <v>842818.18</v>
      </c>
      <c r="P1410" s="2">
        <v>360085</v>
      </c>
      <c r="Q1410" s="2" t="s">
        <v>1788</v>
      </c>
      <c r="R1410" s="2" t="s">
        <v>1789</v>
      </c>
      <c r="S1410" s="2" t="s">
        <v>77</v>
      </c>
      <c r="T1410" s="2" t="s">
        <v>1033</v>
      </c>
      <c r="W1410" s="4">
        <v>280</v>
      </c>
      <c r="X1410" s="4">
        <f>SrcDB[[#This Row],[Cena bez DPH]]*1.2</f>
        <v>336</v>
      </c>
      <c r="Y1410" s="4">
        <f t="shared" ref="Y1410" si="1588">INDEX(InternalRates,MATCH($S1410,InternalRates01,FALSE),2)</f>
        <v>278.98333333333335</v>
      </c>
      <c r="Z1410" s="3" t="str">
        <f t="shared" si="1585"/>
        <v>Nie</v>
      </c>
      <c r="AA1410" s="3" t="str">
        <f t="shared" si="1586"/>
        <v>SLA</v>
      </c>
      <c r="AB1410" s="4">
        <f t="shared" si="1587"/>
        <v>104.16666666666667</v>
      </c>
      <c r="AC1410" s="4">
        <f>SrcDB[[#This Row],[Množstvo práce]]/3</f>
        <v>34.722222222222221</v>
      </c>
      <c r="AD1410" s="3" t="s">
        <v>49</v>
      </c>
      <c r="AE1410" s="6">
        <v>45684</v>
      </c>
      <c r="AF1410" s="3" t="s">
        <v>59</v>
      </c>
      <c r="AG1410" s="3" t="s">
        <v>48</v>
      </c>
      <c r="AH1410" s="3">
        <f>YEAR(SrcDB[[#This Row],[Datum_zverejnenia]])</f>
        <v>2024</v>
      </c>
      <c r="AI1410" s="3" cm="1">
        <f t="array" ref="AI1410">COUNT(_xlfn.UNIQUE(_xlfn._xlws.FILTER(SrcDB[ID],SrcDB[Objednavatel_ICO]=$H1410)))</f>
        <v>2</v>
      </c>
      <c r="AJ1410" s="3" cm="1">
        <f t="array" ref="AJ1410">COUNT(_xlfn.UNIQUE(_xlfn._xlws.FILTER(SrcDB[ID],SrcDB[Dodavatel_ICO]=$K1410)))</f>
        <v>8</v>
      </c>
      <c r="AK1410" s="3" t="e">
        <f>IF(#REF!&lt;&gt;$H1410,1,IF(#REF!&lt;&gt;$B1410,1,0))</f>
        <v>#REF!</v>
      </c>
      <c r="AL1410" s="3" t="e">
        <f>IF(#REF!&lt;&gt;$K1410,1,IF(#REF!&lt;&gt;$B1410,1,0))</f>
        <v>#REF!</v>
      </c>
      <c r="AM1410" s="17" t="str">
        <f>IF(SrcDB[[#This Row],[Pocet zmluv objednavatela]]&gt;3,SrcDB[[#This Row],[Objednavatel]],"Ostatné")</f>
        <v>Ostatné</v>
      </c>
      <c r="AN1410" s="17" t="str">
        <f>IF(SrcDB[[#This Row],[Pocet zmluv dodavatela]]&gt;3,SrcDB[[#This Row],[Dodavatel]],"Ostatné")</f>
        <v>InterWay, a.s.</v>
      </c>
    </row>
    <row r="1411" spans="1:40" x14ac:dyDescent="0.3">
      <c r="A1411" s="2" t="s">
        <v>1787</v>
      </c>
      <c r="B1411" s="2">
        <v>8890595</v>
      </c>
      <c r="C1411" s="3" t="str">
        <f t="shared" si="1563"/>
        <v>Nejasné</v>
      </c>
      <c r="D1411" s="3" t="str">
        <f t="shared" si="1564"/>
        <v>Nejasné</v>
      </c>
      <c r="E1411" s="3" t="s">
        <v>48</v>
      </c>
      <c r="F1411" s="3" t="s">
        <v>49</v>
      </c>
      <c r="G1411" s="2" t="str">
        <f t="shared" si="1565"/>
        <v>Malé zmluvy</v>
      </c>
      <c r="H1411" s="5" t="s">
        <v>1759</v>
      </c>
      <c r="I1411" s="2" t="s">
        <v>1760</v>
      </c>
      <c r="J1411" s="2" t="s">
        <v>966</v>
      </c>
      <c r="K1411" s="5">
        <v>35728531</v>
      </c>
      <c r="L1411" s="2" t="s">
        <v>310</v>
      </c>
      <c r="M1411" s="2" t="s">
        <v>311</v>
      </c>
      <c r="N1411" s="6">
        <v>45323</v>
      </c>
      <c r="O1411" s="4">
        <v>842818.18</v>
      </c>
      <c r="P1411" s="2">
        <v>360085</v>
      </c>
      <c r="Q1411" s="2" t="s">
        <v>1788</v>
      </c>
      <c r="R1411" s="2" t="s">
        <v>1789</v>
      </c>
      <c r="S1411" s="2" t="s">
        <v>56</v>
      </c>
      <c r="T1411" s="2" t="s">
        <v>1765</v>
      </c>
      <c r="U1411" s="2" t="s">
        <v>449</v>
      </c>
      <c r="W1411" s="4">
        <v>280</v>
      </c>
      <c r="X1411" s="4">
        <f>SrcDB[[#This Row],[Cena bez DPH]]*1.2</f>
        <v>336</v>
      </c>
      <c r="Y1411" s="4">
        <f t="shared" ref="Y1411" si="1589">INDEX(InternalRates,MATCH($S1411,InternalRates01,FALSE),2)</f>
        <v>278.98333333333335</v>
      </c>
      <c r="Z1411" s="3" t="str">
        <f t="shared" si="1585"/>
        <v>Nie</v>
      </c>
      <c r="AA1411" s="3" t="str">
        <f t="shared" si="1586"/>
        <v>SLA</v>
      </c>
      <c r="AB1411" s="4">
        <f t="shared" si="1587"/>
        <v>104.16666666666667</v>
      </c>
      <c r="AC1411" s="4">
        <f>SrcDB[[#This Row],[Množstvo práce]]/3</f>
        <v>34.722222222222221</v>
      </c>
      <c r="AD1411" s="3" t="s">
        <v>49</v>
      </c>
      <c r="AE1411" s="6">
        <v>45684</v>
      </c>
      <c r="AF1411" s="3" t="s">
        <v>59</v>
      </c>
      <c r="AG1411" s="3" t="s">
        <v>48</v>
      </c>
      <c r="AH1411" s="3">
        <f>YEAR(SrcDB[[#This Row],[Datum_zverejnenia]])</f>
        <v>2024</v>
      </c>
      <c r="AI1411" s="3" cm="1">
        <f t="array" ref="AI1411">COUNT(_xlfn.UNIQUE(_xlfn._xlws.FILTER(SrcDB[ID],SrcDB[Objednavatel_ICO]=$H1411)))</f>
        <v>2</v>
      </c>
      <c r="AJ1411" s="3" cm="1">
        <f t="array" ref="AJ1411">COUNT(_xlfn.UNIQUE(_xlfn._xlws.FILTER(SrcDB[ID],SrcDB[Dodavatel_ICO]=$K1411)))</f>
        <v>8</v>
      </c>
      <c r="AK1411" s="3">
        <f t="shared" si="1569"/>
        <v>0</v>
      </c>
      <c r="AL1411" s="3">
        <f t="shared" si="1570"/>
        <v>0</v>
      </c>
      <c r="AM1411" s="17" t="str">
        <f>IF(SrcDB[[#This Row],[Pocet zmluv objednavatela]]&gt;3,SrcDB[[#This Row],[Objednavatel]],"Ostatné")</f>
        <v>Ostatné</v>
      </c>
      <c r="AN1411" s="17" t="str">
        <f>IF(SrcDB[[#This Row],[Pocet zmluv dodavatela]]&gt;3,SrcDB[[#This Row],[Dodavatel]],"Ostatné")</f>
        <v>InterWay, a.s.</v>
      </c>
    </row>
    <row r="1412" spans="1:40" x14ac:dyDescent="0.3">
      <c r="A1412" s="2" t="s">
        <v>1787</v>
      </c>
      <c r="B1412" s="2">
        <v>8890595</v>
      </c>
      <c r="C1412" s="3" t="str">
        <f t="shared" si="1563"/>
        <v>Nejasné</v>
      </c>
      <c r="D1412" s="3" t="str">
        <f t="shared" si="1564"/>
        <v>Nejasné</v>
      </c>
      <c r="E1412" s="3" t="s">
        <v>48</v>
      </c>
      <c r="F1412" s="3" t="s">
        <v>49</v>
      </c>
      <c r="G1412" s="2" t="str">
        <f t="shared" si="1565"/>
        <v>Malé zmluvy</v>
      </c>
      <c r="H1412" s="5" t="s">
        <v>1759</v>
      </c>
      <c r="I1412" s="2" t="s">
        <v>1760</v>
      </c>
      <c r="J1412" s="2" t="s">
        <v>966</v>
      </c>
      <c r="K1412" s="5">
        <v>35728531</v>
      </c>
      <c r="L1412" s="2" t="s">
        <v>310</v>
      </c>
      <c r="M1412" s="2" t="s">
        <v>311</v>
      </c>
      <c r="N1412" s="6">
        <v>45323</v>
      </c>
      <c r="O1412" s="4">
        <v>842818.18</v>
      </c>
      <c r="P1412" s="2">
        <v>360085</v>
      </c>
      <c r="Q1412" s="2" t="s">
        <v>1788</v>
      </c>
      <c r="R1412" s="2" t="s">
        <v>1789</v>
      </c>
      <c r="S1412" s="2" t="s">
        <v>56</v>
      </c>
      <c r="T1412" s="2" t="s">
        <v>522</v>
      </c>
      <c r="U1412" s="2" t="s">
        <v>289</v>
      </c>
      <c r="W1412" s="4">
        <v>280</v>
      </c>
      <c r="X1412" s="4">
        <f>SrcDB[[#This Row],[Cena bez DPH]]*1.2</f>
        <v>336</v>
      </c>
      <c r="Y1412" s="4">
        <f t="shared" ref="Y1412" si="1590">INDEX(InternalRates,MATCH($S1412,InternalRates01,FALSE),2)</f>
        <v>278.98333333333335</v>
      </c>
      <c r="Z1412" s="3" t="str">
        <f t="shared" si="1585"/>
        <v>Nie</v>
      </c>
      <c r="AA1412" s="3" t="str">
        <f t="shared" si="1586"/>
        <v>SLA</v>
      </c>
      <c r="AB1412" s="4">
        <f t="shared" si="1587"/>
        <v>104.16666666666667</v>
      </c>
      <c r="AC1412" s="4">
        <f>SrcDB[[#This Row],[Množstvo práce]]/3</f>
        <v>34.722222222222221</v>
      </c>
      <c r="AD1412" s="3" t="s">
        <v>49</v>
      </c>
      <c r="AE1412" s="6">
        <v>45684</v>
      </c>
      <c r="AF1412" s="3" t="s">
        <v>59</v>
      </c>
      <c r="AG1412" s="3" t="s">
        <v>48</v>
      </c>
      <c r="AH1412" s="3">
        <f>YEAR(SrcDB[[#This Row],[Datum_zverejnenia]])</f>
        <v>2024</v>
      </c>
      <c r="AI1412" s="3" cm="1">
        <f t="array" ref="AI1412">COUNT(_xlfn.UNIQUE(_xlfn._xlws.FILTER(SrcDB[ID],SrcDB[Objednavatel_ICO]=$H1412)))</f>
        <v>2</v>
      </c>
      <c r="AJ1412" s="3" cm="1">
        <f t="array" ref="AJ1412">COUNT(_xlfn.UNIQUE(_xlfn._xlws.FILTER(SrcDB[ID],SrcDB[Dodavatel_ICO]=$K1412)))</f>
        <v>8</v>
      </c>
      <c r="AK1412" s="3">
        <f t="shared" si="1569"/>
        <v>0</v>
      </c>
      <c r="AL1412" s="3">
        <f t="shared" si="1570"/>
        <v>0</v>
      </c>
      <c r="AM1412" s="17" t="str">
        <f>IF(SrcDB[[#This Row],[Pocet zmluv objednavatela]]&gt;3,SrcDB[[#This Row],[Objednavatel]],"Ostatné")</f>
        <v>Ostatné</v>
      </c>
      <c r="AN1412" s="17" t="str">
        <f>IF(SrcDB[[#This Row],[Pocet zmluv dodavatela]]&gt;3,SrcDB[[#This Row],[Dodavatel]],"Ostatné")</f>
        <v>InterWay, a.s.</v>
      </c>
    </row>
    <row r="1413" spans="1:40" x14ac:dyDescent="0.3">
      <c r="A1413" s="2" t="s">
        <v>1787</v>
      </c>
      <c r="B1413" s="2">
        <v>8890595</v>
      </c>
      <c r="C1413" s="3" t="str">
        <f t="shared" si="1563"/>
        <v>Nejasné</v>
      </c>
      <c r="D1413" s="3" t="str">
        <f t="shared" si="1564"/>
        <v>Nejasné</v>
      </c>
      <c r="E1413" s="3" t="s">
        <v>48</v>
      </c>
      <c r="F1413" s="3" t="s">
        <v>49</v>
      </c>
      <c r="G1413" s="2" t="str">
        <f t="shared" si="1565"/>
        <v>Malé zmluvy</v>
      </c>
      <c r="H1413" s="5" t="s">
        <v>1759</v>
      </c>
      <c r="I1413" s="2" t="s">
        <v>1760</v>
      </c>
      <c r="J1413" s="2" t="s">
        <v>966</v>
      </c>
      <c r="K1413" s="5">
        <v>35728531</v>
      </c>
      <c r="L1413" s="2" t="s">
        <v>310</v>
      </c>
      <c r="M1413" s="2" t="s">
        <v>311</v>
      </c>
      <c r="N1413" s="6">
        <v>45323</v>
      </c>
      <c r="O1413" s="4">
        <v>842818.18</v>
      </c>
      <c r="P1413" s="2">
        <v>360085</v>
      </c>
      <c r="Q1413" s="2" t="s">
        <v>1788</v>
      </c>
      <c r="R1413" s="2" t="s">
        <v>1789</v>
      </c>
      <c r="S1413" s="2" t="s">
        <v>56</v>
      </c>
      <c r="T1413" s="2" t="s">
        <v>1112</v>
      </c>
      <c r="U1413" s="2" t="s">
        <v>76</v>
      </c>
      <c r="W1413" s="4">
        <v>280</v>
      </c>
      <c r="X1413" s="4">
        <f>SrcDB[[#This Row],[Cena bez DPH]]*1.2</f>
        <v>336</v>
      </c>
      <c r="Y1413" s="4">
        <f t="shared" ref="Y1413" si="1591">INDEX(InternalRates,MATCH($S1413,InternalRates01,FALSE),2)</f>
        <v>278.98333333333335</v>
      </c>
      <c r="Z1413" s="3" t="str">
        <f t="shared" si="1585"/>
        <v>Nie</v>
      </c>
      <c r="AA1413" s="3" t="str">
        <f t="shared" si="1586"/>
        <v>SLA</v>
      </c>
      <c r="AB1413" s="4">
        <f t="shared" si="1587"/>
        <v>104.16666666666667</v>
      </c>
      <c r="AC1413" s="4">
        <f>SrcDB[[#This Row],[Množstvo práce]]/3</f>
        <v>34.722222222222221</v>
      </c>
      <c r="AD1413" s="3" t="s">
        <v>49</v>
      </c>
      <c r="AE1413" s="6">
        <v>45684</v>
      </c>
      <c r="AF1413" s="3" t="s">
        <v>59</v>
      </c>
      <c r="AG1413" s="3" t="s">
        <v>48</v>
      </c>
      <c r="AH1413" s="3">
        <f>YEAR(SrcDB[[#This Row],[Datum_zverejnenia]])</f>
        <v>2024</v>
      </c>
      <c r="AI1413" s="3" cm="1">
        <f t="array" ref="AI1413">COUNT(_xlfn.UNIQUE(_xlfn._xlws.FILTER(SrcDB[ID],SrcDB[Objednavatel_ICO]=$H1413)))</f>
        <v>2</v>
      </c>
      <c r="AJ1413" s="3" cm="1">
        <f t="array" ref="AJ1413">COUNT(_xlfn.UNIQUE(_xlfn._xlws.FILTER(SrcDB[ID],SrcDB[Dodavatel_ICO]=$K1413)))</f>
        <v>8</v>
      </c>
      <c r="AK1413" s="3">
        <f t="shared" si="1569"/>
        <v>0</v>
      </c>
      <c r="AL1413" s="3">
        <f t="shared" si="1570"/>
        <v>0</v>
      </c>
      <c r="AM1413" s="17" t="str">
        <f>IF(SrcDB[[#This Row],[Pocet zmluv objednavatela]]&gt;3,SrcDB[[#This Row],[Objednavatel]],"Ostatné")</f>
        <v>Ostatné</v>
      </c>
      <c r="AN1413" s="17" t="str">
        <f>IF(SrcDB[[#This Row],[Pocet zmluv dodavatela]]&gt;3,SrcDB[[#This Row],[Dodavatel]],"Ostatné")</f>
        <v>InterWay, a.s.</v>
      </c>
    </row>
    <row r="1414" spans="1:40" x14ac:dyDescent="0.3">
      <c r="A1414" s="2" t="s">
        <v>1787</v>
      </c>
      <c r="B1414" s="2">
        <v>8890595</v>
      </c>
      <c r="C1414" s="3" t="str">
        <f t="shared" si="1563"/>
        <v>Nejasné</v>
      </c>
      <c r="D1414" s="3" t="str">
        <f t="shared" si="1564"/>
        <v>Nejasné</v>
      </c>
      <c r="E1414" s="3" t="s">
        <v>48</v>
      </c>
      <c r="F1414" s="3" t="s">
        <v>49</v>
      </c>
      <c r="G1414" s="2" t="str">
        <f t="shared" si="1565"/>
        <v>Malé zmluvy</v>
      </c>
      <c r="H1414" s="5" t="s">
        <v>1759</v>
      </c>
      <c r="I1414" s="2" t="s">
        <v>1760</v>
      </c>
      <c r="J1414" s="2" t="s">
        <v>966</v>
      </c>
      <c r="K1414" s="5">
        <v>35728531</v>
      </c>
      <c r="L1414" s="2" t="s">
        <v>310</v>
      </c>
      <c r="M1414" s="2" t="s">
        <v>311</v>
      </c>
      <c r="N1414" s="6">
        <v>45323</v>
      </c>
      <c r="O1414" s="4">
        <v>842818.18</v>
      </c>
      <c r="P1414" s="2">
        <v>360085</v>
      </c>
      <c r="Q1414" s="2" t="s">
        <v>1788</v>
      </c>
      <c r="R1414" s="2" t="s">
        <v>1789</v>
      </c>
      <c r="S1414" s="2" t="s">
        <v>56</v>
      </c>
      <c r="T1414" s="2" t="s">
        <v>1790</v>
      </c>
      <c r="U1414" s="2" t="s">
        <v>97</v>
      </c>
      <c r="W1414" s="4">
        <v>280</v>
      </c>
      <c r="X1414" s="4">
        <f>SrcDB[[#This Row],[Cena bez DPH]]*1.2</f>
        <v>336</v>
      </c>
      <c r="Y1414" s="4">
        <f t="shared" ref="Y1414" si="1592">INDEX(InternalRates,MATCH($S1414,InternalRates01,FALSE),2)</f>
        <v>278.98333333333335</v>
      </c>
      <c r="Z1414" s="3" t="str">
        <f t="shared" si="1585"/>
        <v>Nie</v>
      </c>
      <c r="AA1414" s="3" t="str">
        <f t="shared" si="1586"/>
        <v>SLA</v>
      </c>
      <c r="AB1414" s="4">
        <f t="shared" si="1587"/>
        <v>104.16666666666667</v>
      </c>
      <c r="AC1414" s="4">
        <f>SrcDB[[#This Row],[Množstvo práce]]/3</f>
        <v>34.722222222222221</v>
      </c>
      <c r="AD1414" s="3" t="s">
        <v>49</v>
      </c>
      <c r="AE1414" s="6">
        <v>45684</v>
      </c>
      <c r="AF1414" s="3" t="s">
        <v>59</v>
      </c>
      <c r="AG1414" s="3" t="s">
        <v>48</v>
      </c>
      <c r="AH1414" s="3">
        <f>YEAR(SrcDB[[#This Row],[Datum_zverejnenia]])</f>
        <v>2024</v>
      </c>
      <c r="AI1414" s="3" cm="1">
        <f t="array" ref="AI1414">COUNT(_xlfn.UNIQUE(_xlfn._xlws.FILTER(SrcDB[ID],SrcDB[Objednavatel_ICO]=$H1414)))</f>
        <v>2</v>
      </c>
      <c r="AJ1414" s="3" cm="1">
        <f t="array" ref="AJ1414">COUNT(_xlfn.UNIQUE(_xlfn._xlws.FILTER(SrcDB[ID],SrcDB[Dodavatel_ICO]=$K1414)))</f>
        <v>8</v>
      </c>
      <c r="AK1414" s="3">
        <f t="shared" si="1569"/>
        <v>0</v>
      </c>
      <c r="AL1414" s="3">
        <f t="shared" si="1570"/>
        <v>0</v>
      </c>
      <c r="AM1414" s="17" t="str">
        <f>IF(SrcDB[[#This Row],[Pocet zmluv objednavatela]]&gt;3,SrcDB[[#This Row],[Objednavatel]],"Ostatné")</f>
        <v>Ostatné</v>
      </c>
      <c r="AN1414" s="17" t="str">
        <f>IF(SrcDB[[#This Row],[Pocet zmluv dodavatela]]&gt;3,SrcDB[[#This Row],[Dodavatel]],"Ostatné")</f>
        <v>InterWay, a.s.</v>
      </c>
    </row>
    <row r="1415" spans="1:40" x14ac:dyDescent="0.3">
      <c r="A1415" s="2" t="s">
        <v>1787</v>
      </c>
      <c r="B1415" s="2">
        <v>8890595</v>
      </c>
      <c r="C1415" s="3" t="str">
        <f t="shared" si="1563"/>
        <v>Nejasné</v>
      </c>
      <c r="D1415" s="3" t="str">
        <f t="shared" si="1564"/>
        <v>Nejasné</v>
      </c>
      <c r="E1415" s="3" t="s">
        <v>48</v>
      </c>
      <c r="F1415" s="3" t="s">
        <v>49</v>
      </c>
      <c r="G1415" s="2" t="str">
        <f t="shared" si="1565"/>
        <v>Malé zmluvy</v>
      </c>
      <c r="H1415" s="5" t="s">
        <v>1759</v>
      </c>
      <c r="I1415" s="2" t="s">
        <v>1760</v>
      </c>
      <c r="J1415" s="2" t="s">
        <v>966</v>
      </c>
      <c r="K1415" s="5">
        <v>35728531</v>
      </c>
      <c r="L1415" s="2" t="s">
        <v>310</v>
      </c>
      <c r="M1415" s="2" t="s">
        <v>311</v>
      </c>
      <c r="N1415" s="6">
        <v>45323</v>
      </c>
      <c r="O1415" s="4">
        <v>842818.18</v>
      </c>
      <c r="P1415" s="2">
        <v>360085</v>
      </c>
      <c r="Q1415" s="2" t="s">
        <v>1788</v>
      </c>
      <c r="R1415" s="2" t="s">
        <v>1789</v>
      </c>
      <c r="S1415" s="2" t="s">
        <v>102</v>
      </c>
      <c r="T1415" s="2" t="s">
        <v>1766</v>
      </c>
      <c r="W1415" s="4">
        <v>280</v>
      </c>
      <c r="X1415" s="4">
        <f>SrcDB[[#This Row],[Cena bez DPH]]*1.2</f>
        <v>336</v>
      </c>
      <c r="Y1415" s="4">
        <f t="shared" ref="Y1415" si="1593">INDEX(InternalRates,MATCH($S1415,InternalRates01,FALSE),2)</f>
        <v>278.98333333333335</v>
      </c>
      <c r="Z1415" s="3" t="str">
        <f t="shared" si="1585"/>
        <v>Nie</v>
      </c>
      <c r="AA1415" s="3" t="str">
        <f t="shared" si="1586"/>
        <v>SLA</v>
      </c>
      <c r="AB1415" s="4">
        <f t="shared" si="1587"/>
        <v>104.16666666666667</v>
      </c>
      <c r="AC1415" s="4">
        <f>SrcDB[[#This Row],[Množstvo práce]]/3</f>
        <v>34.722222222222221</v>
      </c>
      <c r="AD1415" s="3" t="s">
        <v>49</v>
      </c>
      <c r="AE1415" s="6">
        <v>45684</v>
      </c>
      <c r="AF1415" s="3" t="s">
        <v>59</v>
      </c>
      <c r="AG1415" s="3" t="s">
        <v>48</v>
      </c>
      <c r="AH1415" s="3">
        <f>YEAR(SrcDB[[#This Row],[Datum_zverejnenia]])</f>
        <v>2024</v>
      </c>
      <c r="AI1415" s="3" cm="1">
        <f t="array" ref="AI1415">COUNT(_xlfn.UNIQUE(_xlfn._xlws.FILTER(SrcDB[ID],SrcDB[Objednavatel_ICO]=$H1415)))</f>
        <v>2</v>
      </c>
      <c r="AJ1415" s="3" cm="1">
        <f t="array" ref="AJ1415">COUNT(_xlfn.UNIQUE(_xlfn._xlws.FILTER(SrcDB[ID],SrcDB[Dodavatel_ICO]=$K1415)))</f>
        <v>8</v>
      </c>
      <c r="AK1415" s="3" t="e">
        <f>IF(#REF!&lt;&gt;$H1415,1,IF(#REF!&lt;&gt;$B1415,1,0))</f>
        <v>#REF!</v>
      </c>
      <c r="AL1415" s="3" t="e">
        <f>IF(#REF!&lt;&gt;$K1415,1,IF(#REF!&lt;&gt;$B1415,1,0))</f>
        <v>#REF!</v>
      </c>
      <c r="AM1415" s="17" t="str">
        <f>IF(SrcDB[[#This Row],[Pocet zmluv objednavatela]]&gt;3,SrcDB[[#This Row],[Objednavatel]],"Ostatné")</f>
        <v>Ostatné</v>
      </c>
      <c r="AN1415" s="17" t="str">
        <f>IF(SrcDB[[#This Row],[Pocet zmluv dodavatela]]&gt;3,SrcDB[[#This Row],[Dodavatel]],"Ostatné")</f>
        <v>InterWay, a.s.</v>
      </c>
    </row>
    <row r="1416" spans="1:40" x14ac:dyDescent="0.3">
      <c r="A1416" s="2" t="s">
        <v>1787</v>
      </c>
      <c r="B1416" s="2">
        <v>8890595</v>
      </c>
      <c r="C1416" s="3" t="str">
        <f t="shared" si="1563"/>
        <v>Nejasné</v>
      </c>
      <c r="D1416" s="3" t="str">
        <f t="shared" si="1564"/>
        <v>Nejasné</v>
      </c>
      <c r="E1416" s="3" t="s">
        <v>48</v>
      </c>
      <c r="F1416" s="3" t="s">
        <v>49</v>
      </c>
      <c r="G1416" s="2" t="str">
        <f t="shared" si="1565"/>
        <v>Malé zmluvy</v>
      </c>
      <c r="H1416" s="5" t="s">
        <v>1759</v>
      </c>
      <c r="I1416" s="2" t="s">
        <v>1760</v>
      </c>
      <c r="J1416" s="2" t="s">
        <v>966</v>
      </c>
      <c r="K1416" s="5">
        <v>35728531</v>
      </c>
      <c r="L1416" s="2" t="s">
        <v>310</v>
      </c>
      <c r="M1416" s="2" t="s">
        <v>311</v>
      </c>
      <c r="N1416" s="6">
        <v>45323</v>
      </c>
      <c r="O1416" s="4">
        <v>842818.18</v>
      </c>
      <c r="P1416" s="2">
        <v>360085</v>
      </c>
      <c r="Q1416" s="2" t="s">
        <v>1788</v>
      </c>
      <c r="R1416" s="2" t="s">
        <v>1789</v>
      </c>
      <c r="S1416" s="2" t="s">
        <v>183</v>
      </c>
      <c r="T1416" s="2" t="s">
        <v>1767</v>
      </c>
      <c r="W1416" s="4">
        <v>279.08999999999997</v>
      </c>
      <c r="X1416" s="4">
        <f>SrcDB[[#This Row],[Cena bez DPH]]*1.2</f>
        <v>334.90799999999996</v>
      </c>
      <c r="Y1416" s="4">
        <f t="shared" ref="Y1416" si="1594">INDEX(InternalRates,MATCH($S1416,InternalRates01,FALSE),2)</f>
        <v>278.98333333333335</v>
      </c>
      <c r="Z1416" s="3" t="str">
        <f t="shared" si="1585"/>
        <v>Nie</v>
      </c>
      <c r="AA1416" s="3" t="str">
        <f t="shared" si="1586"/>
        <v>SLA</v>
      </c>
      <c r="AB1416" s="4">
        <f t="shared" si="1587"/>
        <v>104.16666666666667</v>
      </c>
      <c r="AC1416" s="4">
        <f>SrcDB[[#This Row],[Množstvo práce]]/3</f>
        <v>34.722222222222221</v>
      </c>
      <c r="AD1416" s="3" t="s">
        <v>49</v>
      </c>
      <c r="AE1416" s="6">
        <v>45684</v>
      </c>
      <c r="AF1416" s="3" t="s">
        <v>59</v>
      </c>
      <c r="AG1416" s="3" t="s">
        <v>48</v>
      </c>
      <c r="AH1416" s="3">
        <f>YEAR(SrcDB[[#This Row],[Datum_zverejnenia]])</f>
        <v>2024</v>
      </c>
      <c r="AI1416" s="3" cm="1">
        <f t="array" ref="AI1416">COUNT(_xlfn.UNIQUE(_xlfn._xlws.FILTER(SrcDB[ID],SrcDB[Objednavatel_ICO]=$H1416)))</f>
        <v>2</v>
      </c>
      <c r="AJ1416" s="3" cm="1">
        <f t="array" ref="AJ1416">COUNT(_xlfn.UNIQUE(_xlfn._xlws.FILTER(SrcDB[ID],SrcDB[Dodavatel_ICO]=$K1416)))</f>
        <v>8</v>
      </c>
      <c r="AK1416" s="3">
        <f t="shared" si="1569"/>
        <v>0</v>
      </c>
      <c r="AL1416" s="3">
        <f t="shared" si="1570"/>
        <v>0</v>
      </c>
      <c r="AM1416" s="17" t="str">
        <f>IF(SrcDB[[#This Row],[Pocet zmluv objednavatela]]&gt;3,SrcDB[[#This Row],[Objednavatel]],"Ostatné")</f>
        <v>Ostatné</v>
      </c>
      <c r="AN1416" s="17" t="str">
        <f>IF(SrcDB[[#This Row],[Pocet zmluv dodavatela]]&gt;3,SrcDB[[#This Row],[Dodavatel]],"Ostatné")</f>
        <v>InterWay, a.s.</v>
      </c>
    </row>
    <row r="1417" spans="1:40" x14ac:dyDescent="0.3">
      <c r="A1417" s="2" t="s">
        <v>1791</v>
      </c>
      <c r="B1417" s="2">
        <v>9170753</v>
      </c>
      <c r="C1417" s="3" t="str">
        <f t="shared" si="1563"/>
        <v>Nie</v>
      </c>
      <c r="D1417" s="3" t="str">
        <f t="shared" si="1564"/>
        <v>Áno</v>
      </c>
      <c r="E1417" s="3" t="s">
        <v>48</v>
      </c>
      <c r="F1417" s="3" t="s">
        <v>49</v>
      </c>
      <c r="G1417" s="2" t="str">
        <f t="shared" si="1565"/>
        <v>Malé zmluvy</v>
      </c>
      <c r="H1417" s="5" t="s">
        <v>1792</v>
      </c>
      <c r="I1417" s="2" t="s">
        <v>1793</v>
      </c>
      <c r="J1417" s="2" t="s">
        <v>1794</v>
      </c>
      <c r="K1417" s="5" t="s">
        <v>1795</v>
      </c>
      <c r="L1417" s="2" t="s">
        <v>1796</v>
      </c>
      <c r="M1417" s="2" t="s">
        <v>1797</v>
      </c>
      <c r="N1417" s="6">
        <v>45398</v>
      </c>
      <c r="O1417" s="4">
        <v>226800</v>
      </c>
      <c r="P1417" s="2">
        <v>6215909</v>
      </c>
      <c r="Q1417" s="2" t="s">
        <v>1798</v>
      </c>
      <c r="R1417" s="2" t="s">
        <v>1799</v>
      </c>
      <c r="S1417" s="2" t="s">
        <v>69</v>
      </c>
      <c r="T1417" s="2" t="s">
        <v>1800</v>
      </c>
      <c r="W1417" s="4">
        <v>480</v>
      </c>
      <c r="X1417" s="4">
        <f>SrcDB[[#This Row],[Cena bez DPH]]*1.2</f>
        <v>576</v>
      </c>
      <c r="Y1417" s="4">
        <f t="shared" ref="Y1417" si="1595">INDEX(InternalRates,MATCH($S1417,InternalRates01,FALSE),2)</f>
        <v>278.98333333333335</v>
      </c>
      <c r="Z1417" s="3" t="str">
        <f>IF(W1417&gt;0,IF(Y1417&gt;W1417,"Áno","Nie"),"Nie")</f>
        <v>Nie</v>
      </c>
      <c r="AA1417" s="3" t="str">
        <f>IF(E1417="Nie","SLA",IF(F1417="Nie","ZoD","SLA+ZoD"))</f>
        <v>SLA</v>
      </c>
      <c r="AD1417" s="3" t="s">
        <v>49</v>
      </c>
      <c r="AE1417" s="6">
        <v>45684</v>
      </c>
      <c r="AF1417" s="3" t="s">
        <v>59</v>
      </c>
      <c r="AG1417" s="3" t="s">
        <v>60</v>
      </c>
      <c r="AH1417" s="3">
        <f>YEAR(SrcDB[[#This Row],[Datum_zverejnenia]])</f>
        <v>2024</v>
      </c>
      <c r="AI1417" s="3" cm="1">
        <f t="array" ref="AI1417">COUNT(_xlfn.UNIQUE(_xlfn._xlws.FILTER(SrcDB[ID],SrcDB[Objednavatel_ICO]=$H1417)))</f>
        <v>1</v>
      </c>
      <c r="AJ1417" s="3" cm="1">
        <f t="array" ref="AJ1417">COUNT(_xlfn.UNIQUE(_xlfn._xlws.FILTER(SrcDB[ID],SrcDB[Dodavatel_ICO]=$K1417)))</f>
        <v>1</v>
      </c>
      <c r="AK1417" s="3">
        <f t="shared" si="1569"/>
        <v>1</v>
      </c>
      <c r="AL1417" s="3">
        <f t="shared" si="1570"/>
        <v>1</v>
      </c>
      <c r="AM1417" s="17" t="str">
        <f>IF(SrcDB[[#This Row],[Pocet zmluv objednavatela]]&gt;3,SrcDB[[#This Row],[Objednavatel]],"Ostatné")</f>
        <v>Ostatné</v>
      </c>
      <c r="AN1417" s="17" t="str">
        <f>IF(SrcDB[[#This Row],[Pocet zmluv dodavatela]]&gt;3,SrcDB[[#This Row],[Dodavatel]],"Ostatné")</f>
        <v>Ostatné</v>
      </c>
    </row>
    <row r="1418" spans="1:40" x14ac:dyDescent="0.3">
      <c r="A1418" s="2" t="s">
        <v>1791</v>
      </c>
      <c r="B1418" s="2">
        <v>9170753</v>
      </c>
      <c r="C1418" s="3" t="str">
        <f t="shared" si="1563"/>
        <v>Nie</v>
      </c>
      <c r="D1418" s="3" t="str">
        <f t="shared" si="1564"/>
        <v>Áno</v>
      </c>
      <c r="E1418" s="3" t="s">
        <v>48</v>
      </c>
      <c r="F1418" s="3" t="s">
        <v>49</v>
      </c>
      <c r="G1418" s="2" t="str">
        <f t="shared" si="1565"/>
        <v>Malé zmluvy</v>
      </c>
      <c r="H1418" s="5" t="s">
        <v>1792</v>
      </c>
      <c r="I1418" s="2" t="s">
        <v>1793</v>
      </c>
      <c r="J1418" s="2" t="s">
        <v>1794</v>
      </c>
      <c r="K1418" s="5" t="s">
        <v>1795</v>
      </c>
      <c r="L1418" s="2" t="s">
        <v>1796</v>
      </c>
      <c r="M1418" s="2" t="s">
        <v>1797</v>
      </c>
      <c r="N1418" s="6">
        <v>45398</v>
      </c>
      <c r="O1418" s="4">
        <v>226800</v>
      </c>
      <c r="P1418" s="2">
        <v>6215909</v>
      </c>
      <c r="Q1418" s="2" t="s">
        <v>1798</v>
      </c>
      <c r="R1418" s="2" t="s">
        <v>1799</v>
      </c>
      <c r="S1418" s="2" t="s">
        <v>98</v>
      </c>
      <c r="T1418" s="2" t="s">
        <v>1801</v>
      </c>
      <c r="W1418" s="4">
        <v>480</v>
      </c>
      <c r="X1418" s="4">
        <f>SrcDB[[#This Row],[Cena bez DPH]]*1.2</f>
        <v>576</v>
      </c>
      <c r="Y1418" s="4">
        <f t="shared" ref="Y1418" si="1596">INDEX(InternalRates,MATCH($S1418,InternalRates01,FALSE),2)</f>
        <v>278.98333333333335</v>
      </c>
      <c r="Z1418" s="3" t="str">
        <f t="shared" ref="Z1418:Z1453" si="1597">IF(W1418&gt;0,IF(Y1418&gt;W1418,"Áno","Nie"),"Nie")</f>
        <v>Nie</v>
      </c>
      <c r="AA1418" s="3" t="str">
        <f t="shared" ref="AA1418:AA1453" si="1598">IF(E1418="Nie","SLA",IF(F1418="Nie","ZoD","SLA+ZoD"))</f>
        <v>SLA</v>
      </c>
      <c r="AD1418" s="3" t="s">
        <v>48</v>
      </c>
      <c r="AE1418" s="6">
        <v>45684</v>
      </c>
      <c r="AF1418" s="3" t="s">
        <v>59</v>
      </c>
      <c r="AG1418" s="3" t="s">
        <v>60</v>
      </c>
      <c r="AH1418" s="3">
        <f>YEAR(SrcDB[[#This Row],[Datum_zverejnenia]])</f>
        <v>2024</v>
      </c>
      <c r="AI1418" s="3" cm="1">
        <f t="array" ref="AI1418">COUNT(_xlfn.UNIQUE(_xlfn._xlws.FILTER(SrcDB[ID],SrcDB[Objednavatel_ICO]=$H1418)))</f>
        <v>1</v>
      </c>
      <c r="AJ1418" s="3" cm="1">
        <f t="array" ref="AJ1418">COUNT(_xlfn.UNIQUE(_xlfn._xlws.FILTER(SrcDB[ID],SrcDB[Dodavatel_ICO]=$K1418)))</f>
        <v>1</v>
      </c>
      <c r="AK1418" s="3">
        <f t="shared" si="1569"/>
        <v>0</v>
      </c>
      <c r="AL1418" s="3">
        <f t="shared" si="1570"/>
        <v>0</v>
      </c>
      <c r="AM1418" s="17" t="str">
        <f>IF(SrcDB[[#This Row],[Pocet zmluv objednavatela]]&gt;3,SrcDB[[#This Row],[Objednavatel]],"Ostatné")</f>
        <v>Ostatné</v>
      </c>
      <c r="AN1418" s="17" t="str">
        <f>IF(SrcDB[[#This Row],[Pocet zmluv dodavatela]]&gt;3,SrcDB[[#This Row],[Dodavatel]],"Ostatné")</f>
        <v>Ostatné</v>
      </c>
    </row>
    <row r="1419" spans="1:40" x14ac:dyDescent="0.3">
      <c r="A1419" s="2" t="s">
        <v>1791</v>
      </c>
      <c r="B1419" s="2">
        <v>9170753</v>
      </c>
      <c r="C1419" s="3" t="str">
        <f t="shared" si="1563"/>
        <v>Nie</v>
      </c>
      <c r="D1419" s="3" t="str">
        <f t="shared" si="1564"/>
        <v>Áno</v>
      </c>
      <c r="E1419" s="3" t="s">
        <v>48</v>
      </c>
      <c r="F1419" s="3" t="s">
        <v>49</v>
      </c>
      <c r="G1419" s="2" t="str">
        <f t="shared" si="1565"/>
        <v>Malé zmluvy</v>
      </c>
      <c r="H1419" s="5" t="s">
        <v>1792</v>
      </c>
      <c r="I1419" s="2" t="s">
        <v>1793</v>
      </c>
      <c r="J1419" s="2" t="s">
        <v>1794</v>
      </c>
      <c r="K1419" s="5" t="s">
        <v>1795</v>
      </c>
      <c r="L1419" s="2" t="s">
        <v>1796</v>
      </c>
      <c r="M1419" s="2" t="s">
        <v>1797</v>
      </c>
      <c r="N1419" s="6">
        <v>45398</v>
      </c>
      <c r="O1419" s="4">
        <v>226800</v>
      </c>
      <c r="P1419" s="2">
        <v>6215909</v>
      </c>
      <c r="Q1419" s="2" t="s">
        <v>1798</v>
      </c>
      <c r="R1419" s="2" t="s">
        <v>1799</v>
      </c>
      <c r="S1419" s="2" t="s">
        <v>162</v>
      </c>
      <c r="T1419" s="2" t="s">
        <v>1802</v>
      </c>
      <c r="W1419" s="4">
        <v>400</v>
      </c>
      <c r="X1419" s="4">
        <f>SrcDB[[#This Row],[Cena bez DPH]]*1.2</f>
        <v>480</v>
      </c>
      <c r="Y1419" s="4">
        <f t="shared" ref="Y1419" si="1599">INDEX(InternalRates,MATCH($S1419,InternalRates01,FALSE),2)</f>
        <v>231.85833333333335</v>
      </c>
      <c r="Z1419" s="3" t="str">
        <f t="shared" si="1597"/>
        <v>Nie</v>
      </c>
      <c r="AA1419" s="3" t="str">
        <f t="shared" si="1598"/>
        <v>SLA</v>
      </c>
      <c r="AD1419" s="3" t="s">
        <v>48</v>
      </c>
      <c r="AE1419" s="6">
        <v>45684</v>
      </c>
      <c r="AF1419" s="3" t="s">
        <v>59</v>
      </c>
      <c r="AG1419" s="3" t="s">
        <v>60</v>
      </c>
      <c r="AH1419" s="3">
        <f>YEAR(SrcDB[[#This Row],[Datum_zverejnenia]])</f>
        <v>2024</v>
      </c>
      <c r="AI1419" s="3" cm="1">
        <f t="array" ref="AI1419">COUNT(_xlfn.UNIQUE(_xlfn._xlws.FILTER(SrcDB[ID],SrcDB[Objednavatel_ICO]=$H1419)))</f>
        <v>1</v>
      </c>
      <c r="AJ1419" s="3" cm="1">
        <f t="array" ref="AJ1419">COUNT(_xlfn.UNIQUE(_xlfn._xlws.FILTER(SrcDB[ID],SrcDB[Dodavatel_ICO]=$K1419)))</f>
        <v>1</v>
      </c>
      <c r="AK1419" s="3">
        <f t="shared" si="1569"/>
        <v>0</v>
      </c>
      <c r="AL1419" s="3">
        <f t="shared" si="1570"/>
        <v>0</v>
      </c>
      <c r="AM1419" s="17" t="str">
        <f>IF(SrcDB[[#This Row],[Pocet zmluv objednavatela]]&gt;3,SrcDB[[#This Row],[Objednavatel]],"Ostatné")</f>
        <v>Ostatné</v>
      </c>
      <c r="AN1419" s="17" t="str">
        <f>IF(SrcDB[[#This Row],[Pocet zmluv dodavatela]]&gt;3,SrcDB[[#This Row],[Dodavatel]],"Ostatné")</f>
        <v>Ostatné</v>
      </c>
    </row>
    <row r="1420" spans="1:40" x14ac:dyDescent="0.3">
      <c r="A1420" s="2" t="s">
        <v>1791</v>
      </c>
      <c r="B1420" s="2">
        <v>9170753</v>
      </c>
      <c r="C1420" s="3" t="str">
        <f t="shared" si="1563"/>
        <v>Nie</v>
      </c>
      <c r="D1420" s="3" t="str">
        <f t="shared" si="1564"/>
        <v>Áno</v>
      </c>
      <c r="E1420" s="3" t="s">
        <v>48</v>
      </c>
      <c r="F1420" s="3" t="s">
        <v>49</v>
      </c>
      <c r="G1420" s="2" t="str">
        <f t="shared" si="1565"/>
        <v>Malé zmluvy</v>
      </c>
      <c r="H1420" s="5" t="s">
        <v>1792</v>
      </c>
      <c r="I1420" s="2" t="s">
        <v>1793</v>
      </c>
      <c r="J1420" s="2" t="s">
        <v>1794</v>
      </c>
      <c r="K1420" s="5" t="s">
        <v>1795</v>
      </c>
      <c r="L1420" s="2" t="s">
        <v>1796</v>
      </c>
      <c r="M1420" s="2" t="s">
        <v>1797</v>
      </c>
      <c r="N1420" s="6">
        <v>45398</v>
      </c>
      <c r="O1420" s="4">
        <v>226800</v>
      </c>
      <c r="P1420" s="2">
        <v>6215909</v>
      </c>
      <c r="Q1420" s="2" t="s">
        <v>1798</v>
      </c>
      <c r="R1420" s="2" t="s">
        <v>1799</v>
      </c>
      <c r="S1420" s="2" t="s">
        <v>123</v>
      </c>
      <c r="T1420" s="2" t="s">
        <v>1803</v>
      </c>
      <c r="V1420" s="2" t="s">
        <v>175</v>
      </c>
      <c r="W1420" s="4">
        <v>400</v>
      </c>
      <c r="X1420" s="4">
        <f>SrcDB[[#This Row],[Cena bez DPH]]*1.2</f>
        <v>480</v>
      </c>
      <c r="Y1420" s="4">
        <f t="shared" ref="Y1420" si="1600">INDEX(InternalRates,MATCH($S1420,InternalRates01,FALSE),2)</f>
        <v>231.85833333333335</v>
      </c>
      <c r="Z1420" s="3" t="str">
        <f t="shared" si="1597"/>
        <v>Nie</v>
      </c>
      <c r="AA1420" s="3" t="str">
        <f t="shared" si="1598"/>
        <v>SLA</v>
      </c>
      <c r="AD1420" s="3" t="s">
        <v>48</v>
      </c>
      <c r="AE1420" s="6">
        <v>45684</v>
      </c>
      <c r="AF1420" s="3" t="s">
        <v>59</v>
      </c>
      <c r="AG1420" s="3" t="s">
        <v>60</v>
      </c>
      <c r="AH1420" s="3">
        <f>YEAR(SrcDB[[#This Row],[Datum_zverejnenia]])</f>
        <v>2024</v>
      </c>
      <c r="AI1420" s="3" cm="1">
        <f t="array" ref="AI1420">COUNT(_xlfn.UNIQUE(_xlfn._xlws.FILTER(SrcDB[ID],SrcDB[Objednavatel_ICO]=$H1420)))</f>
        <v>1</v>
      </c>
      <c r="AJ1420" s="3" cm="1">
        <f t="array" ref="AJ1420">COUNT(_xlfn.UNIQUE(_xlfn._xlws.FILTER(SrcDB[ID],SrcDB[Dodavatel_ICO]=$K1420)))</f>
        <v>1</v>
      </c>
      <c r="AK1420" s="3">
        <f t="shared" si="1569"/>
        <v>0</v>
      </c>
      <c r="AL1420" s="3">
        <f t="shared" si="1570"/>
        <v>0</v>
      </c>
      <c r="AM1420" s="17" t="str">
        <f>IF(SrcDB[[#This Row],[Pocet zmluv objednavatela]]&gt;3,SrcDB[[#This Row],[Objednavatel]],"Ostatné")</f>
        <v>Ostatné</v>
      </c>
      <c r="AN1420" s="17" t="str">
        <f>IF(SrcDB[[#This Row],[Pocet zmluv dodavatela]]&gt;3,SrcDB[[#This Row],[Dodavatel]],"Ostatné")</f>
        <v>Ostatné</v>
      </c>
    </row>
    <row r="1421" spans="1:40" x14ac:dyDescent="0.3">
      <c r="A1421" s="2" t="s">
        <v>1791</v>
      </c>
      <c r="B1421" s="2">
        <v>9170753</v>
      </c>
      <c r="C1421" s="3" t="str">
        <f t="shared" si="1563"/>
        <v>Nie</v>
      </c>
      <c r="D1421" s="3" t="str">
        <f t="shared" si="1564"/>
        <v>Áno</v>
      </c>
      <c r="E1421" s="3" t="s">
        <v>48</v>
      </c>
      <c r="F1421" s="3" t="s">
        <v>49</v>
      </c>
      <c r="G1421" s="2" t="str">
        <f t="shared" si="1565"/>
        <v>Malé zmluvy</v>
      </c>
      <c r="H1421" s="5" t="s">
        <v>1792</v>
      </c>
      <c r="I1421" s="2" t="s">
        <v>1793</v>
      </c>
      <c r="J1421" s="2" t="s">
        <v>1794</v>
      </c>
      <c r="K1421" s="5" t="s">
        <v>1795</v>
      </c>
      <c r="L1421" s="2" t="s">
        <v>1796</v>
      </c>
      <c r="M1421" s="2" t="s">
        <v>1797</v>
      </c>
      <c r="N1421" s="6">
        <v>45398</v>
      </c>
      <c r="O1421" s="4">
        <v>226800</v>
      </c>
      <c r="P1421" s="2">
        <v>6215909</v>
      </c>
      <c r="Q1421" s="2" t="s">
        <v>1798</v>
      </c>
      <c r="R1421" s="2" t="s">
        <v>1799</v>
      </c>
      <c r="S1421" s="2" t="s">
        <v>123</v>
      </c>
      <c r="T1421" s="2" t="s">
        <v>1804</v>
      </c>
      <c r="V1421" s="2" t="s">
        <v>583</v>
      </c>
      <c r="W1421" s="4">
        <v>400</v>
      </c>
      <c r="X1421" s="4">
        <f>SrcDB[[#This Row],[Cena bez DPH]]*1.2</f>
        <v>480</v>
      </c>
      <c r="Y1421" s="4">
        <f t="shared" ref="Y1421" si="1601">INDEX(InternalRates,MATCH($S1421,InternalRates01,FALSE),2)</f>
        <v>231.85833333333335</v>
      </c>
      <c r="Z1421" s="3" t="str">
        <f t="shared" si="1597"/>
        <v>Nie</v>
      </c>
      <c r="AA1421" s="3" t="str">
        <f t="shared" si="1598"/>
        <v>SLA</v>
      </c>
      <c r="AD1421" s="3" t="s">
        <v>48</v>
      </c>
      <c r="AE1421" s="6">
        <v>45684</v>
      </c>
      <c r="AF1421" s="3" t="s">
        <v>59</v>
      </c>
      <c r="AG1421" s="3" t="s">
        <v>60</v>
      </c>
      <c r="AH1421" s="3">
        <f>YEAR(SrcDB[[#This Row],[Datum_zverejnenia]])</f>
        <v>2024</v>
      </c>
      <c r="AI1421" s="3" cm="1">
        <f t="array" ref="AI1421">COUNT(_xlfn.UNIQUE(_xlfn._xlws.FILTER(SrcDB[ID],SrcDB[Objednavatel_ICO]=$H1421)))</f>
        <v>1</v>
      </c>
      <c r="AJ1421" s="3" cm="1">
        <f t="array" ref="AJ1421">COUNT(_xlfn.UNIQUE(_xlfn._xlws.FILTER(SrcDB[ID],SrcDB[Dodavatel_ICO]=$K1421)))</f>
        <v>1</v>
      </c>
      <c r="AK1421" s="3">
        <f t="shared" si="1569"/>
        <v>0</v>
      </c>
      <c r="AL1421" s="3">
        <f t="shared" si="1570"/>
        <v>0</v>
      </c>
      <c r="AM1421" s="17" t="str">
        <f>IF(SrcDB[[#This Row],[Pocet zmluv objednavatela]]&gt;3,SrcDB[[#This Row],[Objednavatel]],"Ostatné")</f>
        <v>Ostatné</v>
      </c>
      <c r="AN1421" s="17" t="str">
        <f>IF(SrcDB[[#This Row],[Pocet zmluv dodavatela]]&gt;3,SrcDB[[#This Row],[Dodavatel]],"Ostatné")</f>
        <v>Ostatné</v>
      </c>
    </row>
    <row r="1422" spans="1:40" x14ac:dyDescent="0.3">
      <c r="A1422" s="2" t="s">
        <v>1791</v>
      </c>
      <c r="B1422" s="2">
        <v>9170753</v>
      </c>
      <c r="C1422" s="3" t="str">
        <f t="shared" si="1563"/>
        <v>Nie</v>
      </c>
      <c r="D1422" s="3" t="str">
        <f t="shared" si="1564"/>
        <v>Áno</v>
      </c>
      <c r="E1422" s="3" t="s">
        <v>48</v>
      </c>
      <c r="F1422" s="3" t="s">
        <v>49</v>
      </c>
      <c r="G1422" s="2" t="str">
        <f t="shared" si="1565"/>
        <v>Malé zmluvy</v>
      </c>
      <c r="H1422" s="5" t="s">
        <v>1792</v>
      </c>
      <c r="I1422" s="2" t="s">
        <v>1793</v>
      </c>
      <c r="J1422" s="2" t="s">
        <v>1794</v>
      </c>
      <c r="K1422" s="5" t="s">
        <v>1795</v>
      </c>
      <c r="L1422" s="2" t="s">
        <v>1796</v>
      </c>
      <c r="M1422" s="2" t="s">
        <v>1797</v>
      </c>
      <c r="N1422" s="6">
        <v>45398</v>
      </c>
      <c r="O1422" s="4">
        <v>226800</v>
      </c>
      <c r="P1422" s="2">
        <v>6215909</v>
      </c>
      <c r="Q1422" s="2" t="s">
        <v>1798</v>
      </c>
      <c r="R1422" s="2" t="s">
        <v>1799</v>
      </c>
      <c r="S1422" s="2" t="s">
        <v>77</v>
      </c>
      <c r="T1422" s="2" t="s">
        <v>1805</v>
      </c>
      <c r="W1422" s="4">
        <v>560</v>
      </c>
      <c r="X1422" s="4">
        <f>SrcDB[[#This Row],[Cena bez DPH]]*1.2</f>
        <v>672</v>
      </c>
      <c r="Y1422" s="4">
        <f t="shared" ref="Y1422" si="1602">INDEX(InternalRates,MATCH($S1422,InternalRates01,FALSE),2)</f>
        <v>278.98333333333335</v>
      </c>
      <c r="Z1422" s="3" t="str">
        <f t="shared" si="1597"/>
        <v>Nie</v>
      </c>
      <c r="AA1422" s="3" t="str">
        <f t="shared" si="1598"/>
        <v>SLA</v>
      </c>
      <c r="AD1422" s="3" t="s">
        <v>48</v>
      </c>
      <c r="AE1422" s="6">
        <v>45684</v>
      </c>
      <c r="AF1422" s="3" t="s">
        <v>59</v>
      </c>
      <c r="AG1422" s="3" t="s">
        <v>60</v>
      </c>
      <c r="AH1422" s="3">
        <f>YEAR(SrcDB[[#This Row],[Datum_zverejnenia]])</f>
        <v>2024</v>
      </c>
      <c r="AI1422" s="3" cm="1">
        <f t="array" ref="AI1422">COUNT(_xlfn.UNIQUE(_xlfn._xlws.FILTER(SrcDB[ID],SrcDB[Objednavatel_ICO]=$H1422)))</f>
        <v>1</v>
      </c>
      <c r="AJ1422" s="3" cm="1">
        <f t="array" ref="AJ1422">COUNT(_xlfn.UNIQUE(_xlfn._xlws.FILTER(SrcDB[ID],SrcDB[Dodavatel_ICO]=$K1422)))</f>
        <v>1</v>
      </c>
      <c r="AK1422" s="3">
        <f t="shared" si="1569"/>
        <v>0</v>
      </c>
      <c r="AL1422" s="3">
        <f t="shared" si="1570"/>
        <v>0</v>
      </c>
      <c r="AM1422" s="17" t="str">
        <f>IF(SrcDB[[#This Row],[Pocet zmluv objednavatela]]&gt;3,SrcDB[[#This Row],[Objednavatel]],"Ostatné")</f>
        <v>Ostatné</v>
      </c>
      <c r="AN1422" s="17" t="str">
        <f>IF(SrcDB[[#This Row],[Pocet zmluv dodavatela]]&gt;3,SrcDB[[#This Row],[Dodavatel]],"Ostatné")</f>
        <v>Ostatné</v>
      </c>
    </row>
    <row r="1423" spans="1:40" x14ac:dyDescent="0.3">
      <c r="A1423" s="2" t="s">
        <v>1791</v>
      </c>
      <c r="B1423" s="2">
        <v>9170753</v>
      </c>
      <c r="C1423" s="3" t="str">
        <f t="shared" si="1563"/>
        <v>Nie</v>
      </c>
      <c r="D1423" s="3" t="str">
        <f t="shared" si="1564"/>
        <v>Áno</v>
      </c>
      <c r="E1423" s="3" t="s">
        <v>48</v>
      </c>
      <c r="F1423" s="3" t="s">
        <v>49</v>
      </c>
      <c r="G1423" s="2" t="str">
        <f t="shared" si="1565"/>
        <v>Malé zmluvy</v>
      </c>
      <c r="H1423" s="5" t="s">
        <v>1792</v>
      </c>
      <c r="I1423" s="2" t="s">
        <v>1793</v>
      </c>
      <c r="J1423" s="2" t="s">
        <v>1794</v>
      </c>
      <c r="K1423" s="5" t="s">
        <v>1795</v>
      </c>
      <c r="L1423" s="2" t="s">
        <v>1796</v>
      </c>
      <c r="M1423" s="2" t="s">
        <v>1797</v>
      </c>
      <c r="N1423" s="6">
        <v>45398</v>
      </c>
      <c r="O1423" s="4">
        <v>226800</v>
      </c>
      <c r="P1423" s="2">
        <v>6215909</v>
      </c>
      <c r="Q1423" s="2" t="s">
        <v>1798</v>
      </c>
      <c r="R1423" s="2" t="s">
        <v>1799</v>
      </c>
      <c r="S1423" s="2" t="s">
        <v>73</v>
      </c>
      <c r="T1423" s="2" t="s">
        <v>1806</v>
      </c>
      <c r="W1423" s="4">
        <v>720</v>
      </c>
      <c r="X1423" s="4">
        <f>SrcDB[[#This Row],[Cena bez DPH]]*1.2</f>
        <v>864</v>
      </c>
      <c r="Y1423" s="4">
        <f t="shared" ref="Y1423" si="1603">INDEX(InternalRates,MATCH($S1423,InternalRates01,FALSE),2)</f>
        <v>278.98333333333335</v>
      </c>
      <c r="Z1423" s="3" t="str">
        <f t="shared" si="1597"/>
        <v>Nie</v>
      </c>
      <c r="AA1423" s="3" t="str">
        <f t="shared" si="1598"/>
        <v>SLA</v>
      </c>
      <c r="AD1423" s="3" t="s">
        <v>48</v>
      </c>
      <c r="AE1423" s="6">
        <v>45684</v>
      </c>
      <c r="AF1423" s="3" t="s">
        <v>59</v>
      </c>
      <c r="AG1423" s="3" t="s">
        <v>60</v>
      </c>
      <c r="AH1423" s="3">
        <f>YEAR(SrcDB[[#This Row],[Datum_zverejnenia]])</f>
        <v>2024</v>
      </c>
      <c r="AI1423" s="3" cm="1">
        <f t="array" ref="AI1423">COUNT(_xlfn.UNIQUE(_xlfn._xlws.FILTER(SrcDB[ID],SrcDB[Objednavatel_ICO]=$H1423)))</f>
        <v>1</v>
      </c>
      <c r="AJ1423" s="3" cm="1">
        <f t="array" ref="AJ1423">COUNT(_xlfn.UNIQUE(_xlfn._xlws.FILTER(SrcDB[ID],SrcDB[Dodavatel_ICO]=$K1423)))</f>
        <v>1</v>
      </c>
      <c r="AK1423" s="3">
        <f t="shared" si="1569"/>
        <v>0</v>
      </c>
      <c r="AL1423" s="3">
        <f t="shared" si="1570"/>
        <v>0</v>
      </c>
      <c r="AM1423" s="17" t="str">
        <f>IF(SrcDB[[#This Row],[Pocet zmluv objednavatela]]&gt;3,SrcDB[[#This Row],[Objednavatel]],"Ostatné")</f>
        <v>Ostatné</v>
      </c>
      <c r="AN1423" s="17" t="str">
        <f>IF(SrcDB[[#This Row],[Pocet zmluv dodavatela]]&gt;3,SrcDB[[#This Row],[Dodavatel]],"Ostatné")</f>
        <v>Ostatné</v>
      </c>
    </row>
    <row r="1424" spans="1:40" x14ac:dyDescent="0.3">
      <c r="A1424" s="2" t="s">
        <v>1791</v>
      </c>
      <c r="B1424" s="2">
        <v>9170753</v>
      </c>
      <c r="C1424" s="3" t="str">
        <f t="shared" si="1563"/>
        <v>Nie</v>
      </c>
      <c r="D1424" s="3" t="str">
        <f t="shared" si="1564"/>
        <v>Áno</v>
      </c>
      <c r="E1424" s="3" t="s">
        <v>48</v>
      </c>
      <c r="F1424" s="3" t="s">
        <v>49</v>
      </c>
      <c r="G1424" s="2" t="str">
        <f t="shared" si="1565"/>
        <v>Malé zmluvy</v>
      </c>
      <c r="H1424" s="5" t="s">
        <v>1792</v>
      </c>
      <c r="I1424" s="2" t="s">
        <v>1793</v>
      </c>
      <c r="J1424" s="2" t="s">
        <v>1794</v>
      </c>
      <c r="K1424" s="5" t="s">
        <v>1795</v>
      </c>
      <c r="L1424" s="2" t="s">
        <v>1796</v>
      </c>
      <c r="M1424" s="2" t="s">
        <v>1797</v>
      </c>
      <c r="N1424" s="6">
        <v>45398</v>
      </c>
      <c r="O1424" s="4">
        <v>226800</v>
      </c>
      <c r="P1424" s="2">
        <v>6215909</v>
      </c>
      <c r="Q1424" s="2" t="s">
        <v>1798</v>
      </c>
      <c r="R1424" s="2" t="s">
        <v>1799</v>
      </c>
      <c r="S1424" s="2" t="s">
        <v>100</v>
      </c>
      <c r="T1424" s="2" t="s">
        <v>1807</v>
      </c>
      <c r="W1424" s="4">
        <f>50*8</f>
        <v>400</v>
      </c>
      <c r="X1424" s="4">
        <f>SrcDB[[#This Row],[Cena bez DPH]]*1.2</f>
        <v>480</v>
      </c>
      <c r="Y1424" s="4">
        <f t="shared" ref="Y1424" si="1604">INDEX(InternalRates,MATCH($S1424,InternalRates01,FALSE),2)</f>
        <v>278.98333333333335</v>
      </c>
      <c r="Z1424" s="3" t="str">
        <f t="shared" si="1597"/>
        <v>Nie</v>
      </c>
      <c r="AA1424" s="3" t="str">
        <f t="shared" si="1598"/>
        <v>SLA</v>
      </c>
      <c r="AD1424" s="3" t="s">
        <v>48</v>
      </c>
      <c r="AE1424" s="6">
        <v>45684</v>
      </c>
      <c r="AF1424" s="3" t="s">
        <v>59</v>
      </c>
      <c r="AG1424" s="3" t="s">
        <v>60</v>
      </c>
      <c r="AH1424" s="3">
        <f>YEAR(SrcDB[[#This Row],[Datum_zverejnenia]])</f>
        <v>2024</v>
      </c>
      <c r="AI1424" s="3" cm="1">
        <f t="array" ref="AI1424">COUNT(_xlfn.UNIQUE(_xlfn._xlws.FILTER(SrcDB[ID],SrcDB[Objednavatel_ICO]=$H1424)))</f>
        <v>1</v>
      </c>
      <c r="AJ1424" s="3" cm="1">
        <f t="array" ref="AJ1424">COUNT(_xlfn.UNIQUE(_xlfn._xlws.FILTER(SrcDB[ID],SrcDB[Dodavatel_ICO]=$K1424)))</f>
        <v>1</v>
      </c>
      <c r="AK1424" s="3">
        <f t="shared" si="1569"/>
        <v>0</v>
      </c>
      <c r="AL1424" s="3">
        <f t="shared" si="1570"/>
        <v>0</v>
      </c>
      <c r="AM1424" s="17" t="str">
        <f>IF(SrcDB[[#This Row],[Pocet zmluv objednavatela]]&gt;3,SrcDB[[#This Row],[Objednavatel]],"Ostatné")</f>
        <v>Ostatné</v>
      </c>
      <c r="AN1424" s="17" t="str">
        <f>IF(SrcDB[[#This Row],[Pocet zmluv dodavatela]]&gt;3,SrcDB[[#This Row],[Dodavatel]],"Ostatné")</f>
        <v>Ostatné</v>
      </c>
    </row>
    <row r="1425" spans="1:40" x14ac:dyDescent="0.3">
      <c r="A1425" s="2" t="s">
        <v>1791</v>
      </c>
      <c r="B1425" s="2">
        <v>9170753</v>
      </c>
      <c r="C1425" s="3" t="str">
        <f t="shared" si="1563"/>
        <v>Nie</v>
      </c>
      <c r="D1425" s="3" t="str">
        <f t="shared" si="1564"/>
        <v>Áno</v>
      </c>
      <c r="E1425" s="3" t="s">
        <v>48</v>
      </c>
      <c r="F1425" s="3" t="s">
        <v>49</v>
      </c>
      <c r="G1425" s="2" t="str">
        <f t="shared" si="1565"/>
        <v>Malé zmluvy</v>
      </c>
      <c r="H1425" s="5" t="s">
        <v>1792</v>
      </c>
      <c r="I1425" s="2" t="s">
        <v>1793</v>
      </c>
      <c r="J1425" s="2" t="s">
        <v>1794</v>
      </c>
      <c r="K1425" s="5" t="s">
        <v>1795</v>
      </c>
      <c r="L1425" s="2" t="s">
        <v>1796</v>
      </c>
      <c r="M1425" s="2" t="s">
        <v>1797</v>
      </c>
      <c r="N1425" s="6">
        <v>45398</v>
      </c>
      <c r="O1425" s="4">
        <v>226800</v>
      </c>
      <c r="P1425" s="2">
        <v>6215909</v>
      </c>
      <c r="Q1425" s="2" t="s">
        <v>1798</v>
      </c>
      <c r="R1425" s="2" t="s">
        <v>1799</v>
      </c>
      <c r="S1425" s="2" t="s">
        <v>160</v>
      </c>
      <c r="T1425" s="2" t="s">
        <v>1808</v>
      </c>
      <c r="W1425" s="4">
        <f>80*8</f>
        <v>640</v>
      </c>
      <c r="X1425" s="4">
        <f>SrcDB[[#This Row],[Cena bez DPH]]*1.2</f>
        <v>768</v>
      </c>
      <c r="Y1425" s="4">
        <f t="shared" ref="Y1425" si="1605">INDEX(InternalRates,MATCH($S1425,InternalRates01,FALSE),2)</f>
        <v>231.85833333333335</v>
      </c>
      <c r="Z1425" s="3" t="str">
        <f t="shared" si="1597"/>
        <v>Nie</v>
      </c>
      <c r="AA1425" s="3" t="str">
        <f t="shared" si="1598"/>
        <v>SLA</v>
      </c>
      <c r="AD1425" s="3" t="s">
        <v>48</v>
      </c>
      <c r="AE1425" s="6">
        <v>45684</v>
      </c>
      <c r="AF1425" s="3" t="s">
        <v>59</v>
      </c>
      <c r="AG1425" s="3" t="s">
        <v>60</v>
      </c>
      <c r="AH1425" s="3">
        <f>YEAR(SrcDB[[#This Row],[Datum_zverejnenia]])</f>
        <v>2024</v>
      </c>
      <c r="AI1425" s="3" cm="1">
        <f t="array" ref="AI1425">COUNT(_xlfn.UNIQUE(_xlfn._xlws.FILTER(SrcDB[ID],SrcDB[Objednavatel_ICO]=$H1425)))</f>
        <v>1</v>
      </c>
      <c r="AJ1425" s="3" cm="1">
        <f t="array" ref="AJ1425">COUNT(_xlfn.UNIQUE(_xlfn._xlws.FILTER(SrcDB[ID],SrcDB[Dodavatel_ICO]=$K1425)))</f>
        <v>1</v>
      </c>
      <c r="AK1425" s="3">
        <f t="shared" si="1569"/>
        <v>0</v>
      </c>
      <c r="AL1425" s="3">
        <f t="shared" si="1570"/>
        <v>0</v>
      </c>
      <c r="AM1425" s="17" t="str">
        <f>IF(SrcDB[[#This Row],[Pocet zmluv objednavatela]]&gt;3,SrcDB[[#This Row],[Objednavatel]],"Ostatné")</f>
        <v>Ostatné</v>
      </c>
      <c r="AN1425" s="17" t="str">
        <f>IF(SrcDB[[#This Row],[Pocet zmluv dodavatela]]&gt;3,SrcDB[[#This Row],[Dodavatel]],"Ostatné")</f>
        <v>Ostatné</v>
      </c>
    </row>
    <row r="1426" spans="1:40" x14ac:dyDescent="0.3">
      <c r="A1426" s="2" t="s">
        <v>564</v>
      </c>
      <c r="B1426" s="2">
        <v>9451157</v>
      </c>
      <c r="C1426" s="3" t="str">
        <f t="shared" si="1563"/>
        <v>Nejasné</v>
      </c>
      <c r="D1426" s="3" t="str">
        <f t="shared" si="1564"/>
        <v>Nejasné</v>
      </c>
      <c r="E1426" s="3" t="s">
        <v>48</v>
      </c>
      <c r="F1426" s="3" t="s">
        <v>49</v>
      </c>
      <c r="G1426" s="2" t="str">
        <f t="shared" si="1565"/>
        <v>Malé zmluvy</v>
      </c>
      <c r="H1426" s="5">
        <v>31364501</v>
      </c>
      <c r="I1426" s="2" t="s">
        <v>220</v>
      </c>
      <c r="J1426" s="2" t="s">
        <v>726</v>
      </c>
      <c r="K1426" s="5" t="s">
        <v>420</v>
      </c>
      <c r="L1426" s="2" t="s">
        <v>421</v>
      </c>
      <c r="M1426" s="2" t="s">
        <v>422</v>
      </c>
      <c r="N1426" s="6">
        <v>45471</v>
      </c>
      <c r="O1426" s="4">
        <v>415200</v>
      </c>
      <c r="P1426" s="2">
        <v>114573</v>
      </c>
      <c r="Q1426" s="2" t="s">
        <v>1809</v>
      </c>
      <c r="R1426" s="2" t="s">
        <v>1810</v>
      </c>
      <c r="S1426" s="2" t="s">
        <v>183</v>
      </c>
      <c r="T1426" s="2" t="s">
        <v>1811</v>
      </c>
      <c r="W1426" s="4">
        <f>80*8</f>
        <v>640</v>
      </c>
      <c r="X1426" s="4">
        <f>SrcDB[[#This Row],[Cena bez DPH]]*1.2</f>
        <v>768</v>
      </c>
      <c r="Y1426" s="4">
        <f t="shared" ref="Y1426" si="1606">INDEX(InternalRates,MATCH($S1426,InternalRates01,FALSE),2)</f>
        <v>278.98333333333335</v>
      </c>
      <c r="Z1426" s="3" t="str">
        <f t="shared" si="1597"/>
        <v>Nie</v>
      </c>
      <c r="AA1426" s="3" t="str">
        <f t="shared" si="1598"/>
        <v>SLA</v>
      </c>
      <c r="AD1426" s="3" t="s">
        <v>49</v>
      </c>
      <c r="AE1426" s="6">
        <v>45684</v>
      </c>
      <c r="AF1426" s="3" t="s">
        <v>59</v>
      </c>
      <c r="AG1426" s="3" t="s">
        <v>48</v>
      </c>
      <c r="AH1426" s="3">
        <f>YEAR(SrcDB[[#This Row],[Datum_zverejnenia]])</f>
        <v>2024</v>
      </c>
      <c r="AI1426" s="3" cm="1">
        <f t="array" ref="AI1426">COUNT(_xlfn.UNIQUE(_xlfn._xlws.FILTER(SrcDB[ID],SrcDB[Objednavatel_ICO]=$H1426)))</f>
        <v>24</v>
      </c>
      <c r="AJ1426" s="3" cm="1">
        <f t="array" ref="AJ1426">COUNT(_xlfn.UNIQUE(_xlfn._xlws.FILTER(SrcDB[ID],SrcDB[Dodavatel_ICO]=$K1426)))</f>
        <v>6</v>
      </c>
      <c r="AK1426" s="3">
        <f t="shared" si="1569"/>
        <v>1</v>
      </c>
      <c r="AL1426" s="3">
        <f t="shared" si="1570"/>
        <v>1</v>
      </c>
      <c r="AM1426" s="17" t="str">
        <f>IF(SrcDB[[#This Row],[Pocet zmluv objednavatela]]&gt;3,SrcDB[[#This Row],[Objednavatel]],"Ostatné")</f>
        <v>Železnice Slovenskej republiky</v>
      </c>
      <c r="AN1426" s="17" t="str">
        <f>IF(SrcDB[[#This Row],[Pocet zmluv dodavatela]]&gt;3,SrcDB[[#This Row],[Dodavatel]],"Ostatné")</f>
        <v>NESS Slovensko, a.s.</v>
      </c>
    </row>
    <row r="1427" spans="1:40" x14ac:dyDescent="0.3">
      <c r="A1427" s="2" t="s">
        <v>564</v>
      </c>
      <c r="B1427" s="2">
        <v>10207575</v>
      </c>
      <c r="C1427" s="3" t="str">
        <f t="shared" si="1563"/>
        <v>Nejasné</v>
      </c>
      <c r="D1427" s="3" t="str">
        <f t="shared" si="1564"/>
        <v>Nejasné</v>
      </c>
      <c r="E1427" s="3" t="s">
        <v>48</v>
      </c>
      <c r="F1427" s="3" t="s">
        <v>49</v>
      </c>
      <c r="G1427" s="2" t="str">
        <f t="shared" si="1565"/>
        <v>Malé zmluvy</v>
      </c>
      <c r="H1427" s="5">
        <v>31364501</v>
      </c>
      <c r="I1427" s="2" t="s">
        <v>220</v>
      </c>
      <c r="J1427" s="2" t="s">
        <v>726</v>
      </c>
      <c r="K1427" s="5">
        <v>35757736</v>
      </c>
      <c r="L1427" s="2" t="s">
        <v>1280</v>
      </c>
      <c r="M1427" s="2" t="s">
        <v>1812</v>
      </c>
      <c r="N1427" s="6">
        <v>45645</v>
      </c>
      <c r="O1427" s="4">
        <v>411162</v>
      </c>
      <c r="P1427" s="2">
        <v>114573</v>
      </c>
      <c r="Q1427" s="2" t="s">
        <v>1813</v>
      </c>
      <c r="R1427" s="2" t="s">
        <v>1814</v>
      </c>
      <c r="S1427" s="2" t="s">
        <v>183</v>
      </c>
      <c r="T1427" s="2" t="s">
        <v>1815</v>
      </c>
      <c r="W1427" s="4">
        <f>60*8</f>
        <v>480</v>
      </c>
      <c r="X1427" s="4">
        <f>SrcDB[[#This Row],[Cena bez DPH]]*1.2</f>
        <v>576</v>
      </c>
      <c r="Y1427" s="4">
        <f t="shared" ref="Y1427" si="1607">INDEX(InternalRates,MATCH($S1427,InternalRates01,FALSE),2)</f>
        <v>278.98333333333335</v>
      </c>
      <c r="Z1427" s="3" t="str">
        <f t="shared" si="1597"/>
        <v>Nie</v>
      </c>
      <c r="AA1427" s="3" t="str">
        <f t="shared" si="1598"/>
        <v>SLA</v>
      </c>
      <c r="AB1427" s="4">
        <f>1286/8</f>
        <v>160.75</v>
      </c>
      <c r="AC1427" s="4">
        <f>SrcDB[[#This Row],[Množstvo práce]]*12/10</f>
        <v>192.9</v>
      </c>
      <c r="AD1427" s="3" t="s">
        <v>48</v>
      </c>
      <c r="AE1427" s="6">
        <v>45684</v>
      </c>
      <c r="AF1427" s="3" t="s">
        <v>59</v>
      </c>
      <c r="AG1427" s="3" t="s">
        <v>48</v>
      </c>
      <c r="AH1427" s="3">
        <f>YEAR(SrcDB[[#This Row],[Datum_zverejnenia]])</f>
        <v>2024</v>
      </c>
      <c r="AI1427" s="3" cm="1">
        <f t="array" ref="AI1427">COUNT(_xlfn.UNIQUE(_xlfn._xlws.FILTER(SrcDB[ID],SrcDB[Objednavatel_ICO]=$H1427)))</f>
        <v>24</v>
      </c>
      <c r="AJ1427" s="3" cm="1">
        <f t="array" ref="AJ1427">COUNT(_xlfn.UNIQUE(_xlfn._xlws.FILTER(SrcDB[ID],SrcDB[Dodavatel_ICO]=$K1427)))</f>
        <v>2</v>
      </c>
      <c r="AK1427" s="3">
        <f t="shared" si="1569"/>
        <v>1</v>
      </c>
      <c r="AL1427" s="3">
        <f t="shared" si="1570"/>
        <v>1</v>
      </c>
      <c r="AM1427" s="17" t="str">
        <f>IF(SrcDB[[#This Row],[Pocet zmluv objednavatela]]&gt;3,SrcDB[[#This Row],[Objednavatel]],"Ostatné")</f>
        <v>Železnice Slovenskej republiky</v>
      </c>
      <c r="AN1427" s="17" t="str">
        <f>IF(SrcDB[[#This Row],[Pocet zmluv dodavatela]]&gt;3,SrcDB[[#This Row],[Dodavatel]],"Ostatné")</f>
        <v>Ostatné</v>
      </c>
    </row>
    <row r="1428" spans="1:40" x14ac:dyDescent="0.3">
      <c r="A1428" s="2" t="s">
        <v>1816</v>
      </c>
      <c r="B1428" s="2">
        <v>9193630</v>
      </c>
      <c r="C1428" s="3" t="str">
        <f t="shared" si="1563"/>
        <v>Nejasné</v>
      </c>
      <c r="D1428" s="3" t="str">
        <f t="shared" si="1564"/>
        <v>Nejasné</v>
      </c>
      <c r="E1428" s="3" t="s">
        <v>48</v>
      </c>
      <c r="F1428" s="3" t="s">
        <v>49</v>
      </c>
      <c r="G1428" s="2" t="str">
        <f t="shared" si="1565"/>
        <v>Malé zmluvy</v>
      </c>
      <c r="H1428" s="5" t="s">
        <v>867</v>
      </c>
      <c r="I1428" s="2" t="s">
        <v>868</v>
      </c>
      <c r="J1428" s="2" t="s">
        <v>1817</v>
      </c>
      <c r="K1428" s="5">
        <v>31648410</v>
      </c>
      <c r="L1428" s="2" t="s">
        <v>870</v>
      </c>
      <c r="M1428" s="2" t="s">
        <v>871</v>
      </c>
      <c r="N1428" s="6">
        <v>45404</v>
      </c>
      <c r="O1428" s="4">
        <v>733200</v>
      </c>
      <c r="P1428" s="2">
        <v>117199</v>
      </c>
      <c r="Q1428" s="2" t="s">
        <v>1818</v>
      </c>
      <c r="R1428" s="2" t="s">
        <v>1819</v>
      </c>
      <c r="S1428" s="2" t="s">
        <v>123</v>
      </c>
      <c r="T1428" s="2" t="s">
        <v>1820</v>
      </c>
      <c r="V1428" s="2" t="s">
        <v>175</v>
      </c>
      <c r="W1428" s="4">
        <v>346.67</v>
      </c>
      <c r="X1428" s="4">
        <f>SrcDB[[#This Row],[Cena bez DPH]]*1.2</f>
        <v>416.00400000000002</v>
      </c>
      <c r="Y1428" s="4">
        <f t="shared" ref="Y1428" si="1608">INDEX(InternalRates,MATCH($S1428,InternalRates01,FALSE),2)</f>
        <v>231.85833333333335</v>
      </c>
      <c r="Z1428" s="3" t="str">
        <f t="shared" si="1597"/>
        <v>Nie</v>
      </c>
      <c r="AA1428" s="3" t="str">
        <f t="shared" si="1598"/>
        <v>SLA</v>
      </c>
      <c r="AD1428" s="3" t="s">
        <v>48</v>
      </c>
      <c r="AE1428" s="6">
        <v>45684</v>
      </c>
      <c r="AF1428" s="3" t="s">
        <v>59</v>
      </c>
      <c r="AG1428" s="3" t="s">
        <v>48</v>
      </c>
      <c r="AH1428" s="3">
        <f>YEAR(SrcDB[[#This Row],[Datum_zverejnenia]])</f>
        <v>2024</v>
      </c>
      <c r="AI1428" s="3" cm="1">
        <f t="array" ref="AI1428">COUNT(_xlfn.UNIQUE(_xlfn._xlws.FILTER(SrcDB[ID],SrcDB[Objednavatel_ICO]=$H1428)))</f>
        <v>4</v>
      </c>
      <c r="AJ1428" s="3" cm="1">
        <f t="array" ref="AJ1428">COUNT(_xlfn.UNIQUE(_xlfn._xlws.FILTER(SrcDB[ID],SrcDB[Dodavatel_ICO]=$K1428)))</f>
        <v>4</v>
      </c>
      <c r="AK1428" s="3">
        <f t="shared" si="1569"/>
        <v>1</v>
      </c>
      <c r="AL1428" s="3">
        <f t="shared" si="1570"/>
        <v>1</v>
      </c>
      <c r="AM1428" s="17" t="str">
        <f>IF(SrcDB[[#This Row],[Pocet zmluv objednavatela]]&gt;3,SrcDB[[#This Row],[Objednavatel]],"Ostatné")</f>
        <v>Technická univerzita v Košiciach</v>
      </c>
      <c r="AN1428" s="17" t="str">
        <f>IF(SrcDB[[#This Row],[Pocet zmluv dodavatela]]&gt;3,SrcDB[[#This Row],[Dodavatel]],"Ostatné")</f>
        <v>elfa, s.r.o.</v>
      </c>
    </row>
    <row r="1429" spans="1:40" x14ac:dyDescent="0.3">
      <c r="A1429" s="2" t="s">
        <v>1821</v>
      </c>
      <c r="B1429" s="2">
        <v>8948652</v>
      </c>
      <c r="C1429" s="3" t="str">
        <f t="shared" si="1563"/>
        <v>Nejasné</v>
      </c>
      <c r="D1429" s="3" t="str">
        <f t="shared" si="1564"/>
        <v>Nejasné</v>
      </c>
      <c r="E1429" s="3" t="s">
        <v>48</v>
      </c>
      <c r="F1429" s="3" t="s">
        <v>49</v>
      </c>
      <c r="G1429" s="2" t="str">
        <f t="shared" si="1565"/>
        <v>Malé zmluvy</v>
      </c>
      <c r="H1429" s="5" t="s">
        <v>1822</v>
      </c>
      <c r="I1429" s="2" t="s">
        <v>1823</v>
      </c>
      <c r="J1429" s="2" t="s">
        <v>1824</v>
      </c>
      <c r="K1429" s="5">
        <v>31612989</v>
      </c>
      <c r="L1429" s="2" t="s">
        <v>952</v>
      </c>
      <c r="M1429" s="2" t="s">
        <v>1825</v>
      </c>
      <c r="N1429" s="6">
        <v>45341</v>
      </c>
      <c r="O1429" s="4">
        <v>754828.09</v>
      </c>
      <c r="P1429" s="2">
        <v>6215909</v>
      </c>
      <c r="Q1429" s="2" t="s">
        <v>1826</v>
      </c>
      <c r="R1429" s="2" t="s">
        <v>1827</v>
      </c>
      <c r="S1429" s="2" t="s">
        <v>56</v>
      </c>
      <c r="T1429" s="2" t="s">
        <v>1828</v>
      </c>
      <c r="U1429" s="2" t="s">
        <v>350</v>
      </c>
      <c r="W1429" s="4">
        <v>698.4</v>
      </c>
      <c r="X1429" s="4">
        <f>SrcDB[[#This Row],[Cena bez DPH]]*1.2</f>
        <v>838.07999999999993</v>
      </c>
      <c r="Y1429" s="4">
        <f t="shared" ref="Y1429" si="1609">INDEX(InternalRates,MATCH($S1429,InternalRates01,FALSE),2)</f>
        <v>278.98333333333335</v>
      </c>
      <c r="Z1429" s="3" t="str">
        <f t="shared" si="1597"/>
        <v>Nie</v>
      </c>
      <c r="AA1429" s="3" t="str">
        <f t="shared" si="1598"/>
        <v>SLA</v>
      </c>
      <c r="AB1429" s="4">
        <f>300/8</f>
        <v>37.5</v>
      </c>
      <c r="AC1429" s="4">
        <f>SrcDB[[#This Row],[Množstvo práce]]/4</f>
        <v>9.375</v>
      </c>
      <c r="AD1429" s="3" t="s">
        <v>48</v>
      </c>
      <c r="AE1429" s="6">
        <v>45684</v>
      </c>
      <c r="AF1429" s="3" t="s">
        <v>59</v>
      </c>
      <c r="AG1429" s="3" t="s">
        <v>48</v>
      </c>
      <c r="AH1429" s="3">
        <f>YEAR(SrcDB[[#This Row],[Datum_zverejnenia]])</f>
        <v>2024</v>
      </c>
      <c r="AI1429" s="3" cm="1">
        <f t="array" ref="AI1429">COUNT(_xlfn.UNIQUE(_xlfn._xlws.FILTER(SrcDB[ID],SrcDB[Objednavatel_ICO]=$H1429)))</f>
        <v>1</v>
      </c>
      <c r="AJ1429" s="3" cm="1">
        <f t="array" ref="AJ1429">COUNT(_xlfn.UNIQUE(_xlfn._xlws.FILTER(SrcDB[ID],SrcDB[Dodavatel_ICO]=$K1429)))</f>
        <v>3</v>
      </c>
      <c r="AK1429" s="3">
        <f t="shared" si="1569"/>
        <v>1</v>
      </c>
      <c r="AL1429" s="3">
        <f t="shared" si="1570"/>
        <v>1</v>
      </c>
      <c r="AM1429" s="17" t="str">
        <f>IF(SrcDB[[#This Row],[Pocet zmluv objednavatela]]&gt;3,SrcDB[[#This Row],[Objednavatel]],"Ostatné")</f>
        <v>Ostatné</v>
      </c>
      <c r="AN1429" s="17" t="str">
        <f>IF(SrcDB[[#This Row],[Pocet zmluv dodavatela]]&gt;3,SrcDB[[#This Row],[Dodavatel]],"Ostatné")</f>
        <v>Ostatné</v>
      </c>
    </row>
    <row r="1430" spans="1:40" x14ac:dyDescent="0.3">
      <c r="A1430" s="2" t="s">
        <v>1821</v>
      </c>
      <c r="B1430" s="2">
        <v>8948652</v>
      </c>
      <c r="C1430" s="3" t="str">
        <f t="shared" si="1563"/>
        <v>Nejasné</v>
      </c>
      <c r="D1430" s="3" t="str">
        <f t="shared" si="1564"/>
        <v>Nejasné</v>
      </c>
      <c r="E1430" s="3" t="s">
        <v>48</v>
      </c>
      <c r="F1430" s="3" t="s">
        <v>49</v>
      </c>
      <c r="G1430" s="2" t="str">
        <f t="shared" si="1565"/>
        <v>Malé zmluvy</v>
      </c>
      <c r="H1430" s="5" t="s">
        <v>1822</v>
      </c>
      <c r="I1430" s="2" t="s">
        <v>1823</v>
      </c>
      <c r="J1430" s="2" t="s">
        <v>1824</v>
      </c>
      <c r="K1430" s="5">
        <v>31612989</v>
      </c>
      <c r="L1430" s="2" t="s">
        <v>952</v>
      </c>
      <c r="M1430" s="2" t="s">
        <v>1825</v>
      </c>
      <c r="N1430" s="6">
        <v>45341</v>
      </c>
      <c r="O1430" s="4">
        <v>754828.09</v>
      </c>
      <c r="P1430" s="2">
        <v>6215909</v>
      </c>
      <c r="Q1430" s="2" t="s">
        <v>1826</v>
      </c>
      <c r="R1430" s="2" t="s">
        <v>1827</v>
      </c>
      <c r="S1430" s="2" t="s">
        <v>160</v>
      </c>
      <c r="T1430" s="2" t="s">
        <v>1829</v>
      </c>
      <c r="W1430" s="4">
        <f>(150/8*82.88*8+8*1071.85+12*769.08)/(150/8+8+12)</f>
        <v>780.27767741935486</v>
      </c>
      <c r="X1430" s="4">
        <f>SrcDB[[#This Row],[Cena bez DPH]]*1.2</f>
        <v>936.33321290322579</v>
      </c>
      <c r="Y1430" s="4">
        <f t="shared" ref="Y1430" si="1610">INDEX(InternalRates,MATCH($S1430,InternalRates01,FALSE),2)</f>
        <v>231.85833333333335</v>
      </c>
      <c r="Z1430" s="3" t="str">
        <f t="shared" si="1597"/>
        <v>Nie</v>
      </c>
      <c r="AA1430" s="3" t="str">
        <f t="shared" si="1598"/>
        <v>SLA</v>
      </c>
      <c r="AB1430" s="4">
        <f>(150/8+8+12)</f>
        <v>38.75</v>
      </c>
      <c r="AC1430" s="4">
        <f>SrcDB[[#This Row],[Množstvo práce]]/4</f>
        <v>9.6875</v>
      </c>
      <c r="AD1430" s="3" t="s">
        <v>48</v>
      </c>
      <c r="AE1430" s="6">
        <v>45684</v>
      </c>
      <c r="AF1430" s="3" t="s">
        <v>59</v>
      </c>
      <c r="AG1430" s="3" t="s">
        <v>48</v>
      </c>
      <c r="AH1430" s="3">
        <f>YEAR(SrcDB[[#This Row],[Datum_zverejnenia]])</f>
        <v>2024</v>
      </c>
      <c r="AI1430" s="3" cm="1">
        <f t="array" ref="AI1430">COUNT(_xlfn.UNIQUE(_xlfn._xlws.FILTER(SrcDB[ID],SrcDB[Objednavatel_ICO]=$H1430)))</f>
        <v>1</v>
      </c>
      <c r="AJ1430" s="3" cm="1">
        <f t="array" ref="AJ1430">COUNT(_xlfn.UNIQUE(_xlfn._xlws.FILTER(SrcDB[ID],SrcDB[Dodavatel_ICO]=$K1430)))</f>
        <v>3</v>
      </c>
      <c r="AK1430" s="3">
        <f t="shared" si="1569"/>
        <v>0</v>
      </c>
      <c r="AL1430" s="3">
        <f t="shared" si="1570"/>
        <v>0</v>
      </c>
      <c r="AM1430" s="17" t="str">
        <f>IF(SrcDB[[#This Row],[Pocet zmluv objednavatela]]&gt;3,SrcDB[[#This Row],[Objednavatel]],"Ostatné")</f>
        <v>Ostatné</v>
      </c>
      <c r="AN1430" s="17" t="str">
        <f>IF(SrcDB[[#This Row],[Pocet zmluv dodavatela]]&gt;3,SrcDB[[#This Row],[Dodavatel]],"Ostatné")</f>
        <v>Ostatné</v>
      </c>
    </row>
    <row r="1431" spans="1:40" x14ac:dyDescent="0.3">
      <c r="A1431" s="2" t="s">
        <v>1821</v>
      </c>
      <c r="B1431" s="2">
        <v>8948652</v>
      </c>
      <c r="C1431" s="3" t="str">
        <f t="shared" si="1563"/>
        <v>Nejasné</v>
      </c>
      <c r="D1431" s="3" t="str">
        <f t="shared" si="1564"/>
        <v>Nejasné</v>
      </c>
      <c r="E1431" s="3" t="s">
        <v>48</v>
      </c>
      <c r="F1431" s="3" t="s">
        <v>49</v>
      </c>
      <c r="G1431" s="2" t="str">
        <f t="shared" si="1565"/>
        <v>Malé zmluvy</v>
      </c>
      <c r="H1431" s="5" t="s">
        <v>1822</v>
      </c>
      <c r="I1431" s="2" t="s">
        <v>1823</v>
      </c>
      <c r="J1431" s="2" t="s">
        <v>1824</v>
      </c>
      <c r="K1431" s="5">
        <v>31612989</v>
      </c>
      <c r="L1431" s="2" t="s">
        <v>952</v>
      </c>
      <c r="M1431" s="2" t="s">
        <v>1825</v>
      </c>
      <c r="N1431" s="6">
        <v>45341</v>
      </c>
      <c r="O1431" s="4">
        <v>754828.09</v>
      </c>
      <c r="P1431" s="2">
        <v>6215909</v>
      </c>
      <c r="Q1431" s="2" t="s">
        <v>1826</v>
      </c>
      <c r="R1431" s="2" t="s">
        <v>1827</v>
      </c>
      <c r="S1431" s="2" t="s">
        <v>69</v>
      </c>
      <c r="T1431" s="2" t="s">
        <v>584</v>
      </c>
      <c r="W1431" s="4">
        <f>101.66*8</f>
        <v>813.28</v>
      </c>
      <c r="X1431" s="4">
        <f>SrcDB[[#This Row],[Cena bez DPH]]*1.2</f>
        <v>975.93599999999992</v>
      </c>
      <c r="Y1431" s="4">
        <f t="shared" ref="Y1431" si="1611">INDEX(InternalRates,MATCH($S1431,InternalRates01,FALSE),2)</f>
        <v>278.98333333333335</v>
      </c>
      <c r="Z1431" s="3" t="str">
        <f t="shared" si="1597"/>
        <v>Nie</v>
      </c>
      <c r="AA1431" s="3" t="str">
        <f t="shared" si="1598"/>
        <v>SLA</v>
      </c>
      <c r="AB1431" s="4">
        <f>40/8</f>
        <v>5</v>
      </c>
      <c r="AC1431" s="4">
        <f>SrcDB[[#This Row],[Množstvo práce]]/4</f>
        <v>1.25</v>
      </c>
      <c r="AD1431" s="3" t="s">
        <v>48</v>
      </c>
      <c r="AE1431" s="6">
        <v>45684</v>
      </c>
      <c r="AF1431" s="3" t="s">
        <v>59</v>
      </c>
      <c r="AG1431" s="3" t="s">
        <v>48</v>
      </c>
      <c r="AH1431" s="3">
        <f>YEAR(SrcDB[[#This Row],[Datum_zverejnenia]])</f>
        <v>2024</v>
      </c>
      <c r="AI1431" s="3" cm="1">
        <f t="array" ref="AI1431">COUNT(_xlfn.UNIQUE(_xlfn._xlws.FILTER(SrcDB[ID],SrcDB[Objednavatel_ICO]=$H1431)))</f>
        <v>1</v>
      </c>
      <c r="AJ1431" s="3" cm="1">
        <f t="array" ref="AJ1431">COUNT(_xlfn.UNIQUE(_xlfn._xlws.FILTER(SrcDB[ID],SrcDB[Dodavatel_ICO]=$K1431)))</f>
        <v>3</v>
      </c>
      <c r="AK1431" s="3">
        <f t="shared" si="1569"/>
        <v>0</v>
      </c>
      <c r="AL1431" s="3">
        <f t="shared" si="1570"/>
        <v>0</v>
      </c>
      <c r="AM1431" s="17" t="str">
        <f>IF(SrcDB[[#This Row],[Pocet zmluv objednavatela]]&gt;3,SrcDB[[#This Row],[Objednavatel]],"Ostatné")</f>
        <v>Ostatné</v>
      </c>
      <c r="AN1431" s="17" t="str">
        <f>IF(SrcDB[[#This Row],[Pocet zmluv dodavatela]]&gt;3,SrcDB[[#This Row],[Dodavatel]],"Ostatné")</f>
        <v>Ostatné</v>
      </c>
    </row>
    <row r="1432" spans="1:40" x14ac:dyDescent="0.3">
      <c r="A1432" s="2" t="s">
        <v>1830</v>
      </c>
      <c r="B1432" s="2">
        <v>10197904</v>
      </c>
      <c r="C1432" s="3" t="str">
        <f t="shared" si="1563"/>
        <v>Nie</v>
      </c>
      <c r="D1432" s="3" t="str">
        <f t="shared" si="1564"/>
        <v>Áno</v>
      </c>
      <c r="E1432" s="3" t="s">
        <v>48</v>
      </c>
      <c r="F1432" s="3" t="s">
        <v>49</v>
      </c>
      <c r="G1432" s="2" t="str">
        <f t="shared" si="1565"/>
        <v>Malé zmluvy</v>
      </c>
      <c r="H1432" s="5">
        <v>35778458</v>
      </c>
      <c r="I1432" s="2" t="s">
        <v>1039</v>
      </c>
      <c r="J1432" s="2" t="s">
        <v>1040</v>
      </c>
      <c r="K1432" s="5" t="s">
        <v>1831</v>
      </c>
      <c r="L1432" s="2" t="s">
        <v>1832</v>
      </c>
      <c r="M1432" s="2" t="s">
        <v>1833</v>
      </c>
      <c r="N1432" s="6">
        <v>45644</v>
      </c>
      <c r="O1432" s="4">
        <v>512112</v>
      </c>
      <c r="P1432" s="2">
        <v>114573</v>
      </c>
      <c r="Q1432" s="2" t="s">
        <v>1834</v>
      </c>
      <c r="R1432" s="2" t="s">
        <v>1835</v>
      </c>
      <c r="S1432" s="2" t="s">
        <v>69</v>
      </c>
      <c r="T1432" s="2" t="s">
        <v>1836</v>
      </c>
      <c r="W1432" s="4">
        <f>8*80</f>
        <v>640</v>
      </c>
      <c r="X1432" s="4">
        <f>SrcDB[[#This Row],[Cena bez DPH]]*1.2</f>
        <v>768</v>
      </c>
      <c r="Y1432" s="4">
        <f t="shared" ref="Y1432" si="1612">INDEX(InternalRates,MATCH($S1432,InternalRates01,FALSE),2)</f>
        <v>278.98333333333335</v>
      </c>
      <c r="Z1432" s="3" t="str">
        <f t="shared" si="1597"/>
        <v>Nie</v>
      </c>
      <c r="AA1432" s="3" t="str">
        <f t="shared" si="1598"/>
        <v>SLA</v>
      </c>
      <c r="AD1432" s="3" t="s">
        <v>48</v>
      </c>
      <c r="AE1432" s="6">
        <v>45684</v>
      </c>
      <c r="AF1432" s="3" t="s">
        <v>59</v>
      </c>
      <c r="AG1432" s="3" t="s">
        <v>48</v>
      </c>
      <c r="AH1432" s="3">
        <f>YEAR(SrcDB[[#This Row],[Datum_zverejnenia]])</f>
        <v>2024</v>
      </c>
      <c r="AI1432" s="3" cm="1">
        <f t="array" ref="AI1432">COUNT(_xlfn.UNIQUE(_xlfn._xlws.FILTER(SrcDB[ID],SrcDB[Objednavatel_ICO]=$H1432)))</f>
        <v>3</v>
      </c>
      <c r="AJ1432" s="3" cm="1">
        <f t="array" ref="AJ1432">COUNT(_xlfn.UNIQUE(_xlfn._xlws.FILTER(SrcDB[ID],SrcDB[Dodavatel_ICO]=$K1432)))</f>
        <v>1</v>
      </c>
      <c r="AK1432" s="3">
        <f t="shared" si="1569"/>
        <v>1</v>
      </c>
      <c r="AL1432" s="3">
        <f t="shared" si="1570"/>
        <v>1</v>
      </c>
      <c r="AM1432" s="17" t="str">
        <f>IF(SrcDB[[#This Row],[Pocet zmluv objednavatela]]&gt;3,SrcDB[[#This Row],[Objednavatel]],"Ostatné")</f>
        <v>Ostatné</v>
      </c>
      <c r="AN1432" s="17" t="str">
        <f>IF(SrcDB[[#This Row],[Pocet zmluv dodavatela]]&gt;3,SrcDB[[#This Row],[Dodavatel]],"Ostatné")</f>
        <v>Ostatné</v>
      </c>
    </row>
    <row r="1433" spans="1:40" x14ac:dyDescent="0.3">
      <c r="A1433" s="2" t="s">
        <v>1830</v>
      </c>
      <c r="B1433" s="2">
        <v>10197904</v>
      </c>
      <c r="C1433" s="3" t="str">
        <f t="shared" si="1563"/>
        <v>Nie</v>
      </c>
      <c r="D1433" s="3" t="str">
        <f t="shared" si="1564"/>
        <v>Áno</v>
      </c>
      <c r="E1433" s="3" t="s">
        <v>48</v>
      </c>
      <c r="F1433" s="3" t="s">
        <v>49</v>
      </c>
      <c r="G1433" s="2" t="str">
        <f t="shared" si="1565"/>
        <v>Malé zmluvy</v>
      </c>
      <c r="H1433" s="5">
        <v>35778458</v>
      </c>
      <c r="I1433" s="2" t="s">
        <v>1039</v>
      </c>
      <c r="J1433" s="2" t="s">
        <v>1040</v>
      </c>
      <c r="K1433" s="5" t="s">
        <v>1831</v>
      </c>
      <c r="L1433" s="2" t="s">
        <v>1832</v>
      </c>
      <c r="M1433" s="2" t="s">
        <v>1833</v>
      </c>
      <c r="N1433" s="6">
        <v>45644</v>
      </c>
      <c r="O1433" s="4">
        <v>512112</v>
      </c>
      <c r="P1433" s="2">
        <v>114573</v>
      </c>
      <c r="Q1433" s="2" t="s">
        <v>1834</v>
      </c>
      <c r="R1433" s="2" t="s">
        <v>1835</v>
      </c>
      <c r="S1433" s="2" t="s">
        <v>56</v>
      </c>
      <c r="T1433" s="2" t="s">
        <v>1837</v>
      </c>
      <c r="U1433" s="2" t="s">
        <v>129</v>
      </c>
      <c r="W1433" s="4">
        <f>8*80</f>
        <v>640</v>
      </c>
      <c r="X1433" s="4">
        <f>SrcDB[[#This Row],[Cena bez DPH]]*1.2</f>
        <v>768</v>
      </c>
      <c r="Y1433" s="4">
        <f t="shared" ref="Y1433" si="1613">INDEX(InternalRates,MATCH($S1433,InternalRates01,FALSE),2)</f>
        <v>278.98333333333335</v>
      </c>
      <c r="Z1433" s="3" t="str">
        <f t="shared" si="1597"/>
        <v>Nie</v>
      </c>
      <c r="AA1433" s="3" t="str">
        <f t="shared" si="1598"/>
        <v>SLA</v>
      </c>
      <c r="AD1433" s="3" t="s">
        <v>48</v>
      </c>
      <c r="AE1433" s="6">
        <v>45684</v>
      </c>
      <c r="AF1433" s="3" t="s">
        <v>59</v>
      </c>
      <c r="AG1433" s="3" t="s">
        <v>48</v>
      </c>
      <c r="AH1433" s="3">
        <f>YEAR(SrcDB[[#This Row],[Datum_zverejnenia]])</f>
        <v>2024</v>
      </c>
      <c r="AI1433" s="3" cm="1">
        <f t="array" ref="AI1433">COUNT(_xlfn.UNIQUE(_xlfn._xlws.FILTER(SrcDB[ID],SrcDB[Objednavatel_ICO]=$H1433)))</f>
        <v>3</v>
      </c>
      <c r="AJ1433" s="3" cm="1">
        <f t="array" ref="AJ1433">COUNT(_xlfn.UNIQUE(_xlfn._xlws.FILTER(SrcDB[ID],SrcDB[Dodavatel_ICO]=$K1433)))</f>
        <v>1</v>
      </c>
      <c r="AK1433" s="3">
        <f t="shared" si="1569"/>
        <v>0</v>
      </c>
      <c r="AL1433" s="3">
        <f t="shared" si="1570"/>
        <v>0</v>
      </c>
      <c r="AM1433" s="17" t="str">
        <f>IF(SrcDB[[#This Row],[Pocet zmluv objednavatela]]&gt;3,SrcDB[[#This Row],[Objednavatel]],"Ostatné")</f>
        <v>Ostatné</v>
      </c>
      <c r="AN1433" s="17" t="str">
        <f>IF(SrcDB[[#This Row],[Pocet zmluv dodavatela]]&gt;3,SrcDB[[#This Row],[Dodavatel]],"Ostatné")</f>
        <v>Ostatné</v>
      </c>
    </row>
    <row r="1434" spans="1:40" x14ac:dyDescent="0.3">
      <c r="A1434" s="2" t="s">
        <v>1830</v>
      </c>
      <c r="B1434" s="2">
        <v>10197904</v>
      </c>
      <c r="C1434" s="3" t="str">
        <f t="shared" si="1563"/>
        <v>Nie</v>
      </c>
      <c r="D1434" s="3" t="str">
        <f t="shared" si="1564"/>
        <v>Áno</v>
      </c>
      <c r="E1434" s="3" t="s">
        <v>48</v>
      </c>
      <c r="F1434" s="3" t="s">
        <v>49</v>
      </c>
      <c r="G1434" s="2" t="str">
        <f t="shared" si="1565"/>
        <v>Malé zmluvy</v>
      </c>
      <c r="H1434" s="5">
        <v>35778458</v>
      </c>
      <c r="I1434" s="2" t="s">
        <v>1039</v>
      </c>
      <c r="J1434" s="2" t="s">
        <v>1040</v>
      </c>
      <c r="K1434" s="5" t="s">
        <v>1831</v>
      </c>
      <c r="L1434" s="2" t="s">
        <v>1832</v>
      </c>
      <c r="M1434" s="2" t="s">
        <v>1833</v>
      </c>
      <c r="N1434" s="6">
        <v>45644</v>
      </c>
      <c r="O1434" s="4">
        <v>512112</v>
      </c>
      <c r="P1434" s="2">
        <v>114573</v>
      </c>
      <c r="Q1434" s="2" t="s">
        <v>1834</v>
      </c>
      <c r="R1434" s="2" t="s">
        <v>1835</v>
      </c>
      <c r="S1434" s="2" t="s">
        <v>98</v>
      </c>
      <c r="T1434" s="2" t="s">
        <v>130</v>
      </c>
      <c r="W1434" s="4">
        <f>8*80</f>
        <v>640</v>
      </c>
      <c r="X1434" s="4">
        <f>SrcDB[[#This Row],[Cena bez DPH]]*1.2</f>
        <v>768</v>
      </c>
      <c r="Y1434" s="4">
        <f t="shared" ref="Y1434" si="1614">INDEX(InternalRates,MATCH($S1434,InternalRates01,FALSE),2)</f>
        <v>278.98333333333335</v>
      </c>
      <c r="Z1434" s="3" t="str">
        <f t="shared" si="1597"/>
        <v>Nie</v>
      </c>
      <c r="AA1434" s="3" t="str">
        <f t="shared" si="1598"/>
        <v>SLA</v>
      </c>
      <c r="AD1434" s="3" t="s">
        <v>48</v>
      </c>
      <c r="AE1434" s="6">
        <v>45684</v>
      </c>
      <c r="AF1434" s="3" t="s">
        <v>59</v>
      </c>
      <c r="AG1434" s="3" t="s">
        <v>48</v>
      </c>
      <c r="AH1434" s="3">
        <f>YEAR(SrcDB[[#This Row],[Datum_zverejnenia]])</f>
        <v>2024</v>
      </c>
      <c r="AI1434" s="3" cm="1">
        <f t="array" ref="AI1434">COUNT(_xlfn.UNIQUE(_xlfn._xlws.FILTER(SrcDB[ID],SrcDB[Objednavatel_ICO]=$H1434)))</f>
        <v>3</v>
      </c>
      <c r="AJ1434" s="3" cm="1">
        <f t="array" ref="AJ1434">COUNT(_xlfn.UNIQUE(_xlfn._xlws.FILTER(SrcDB[ID],SrcDB[Dodavatel_ICO]=$K1434)))</f>
        <v>1</v>
      </c>
      <c r="AK1434" s="3">
        <f t="shared" si="1569"/>
        <v>0</v>
      </c>
      <c r="AL1434" s="3">
        <f t="shared" si="1570"/>
        <v>0</v>
      </c>
      <c r="AM1434" s="17" t="str">
        <f>IF(SrcDB[[#This Row],[Pocet zmluv objednavatela]]&gt;3,SrcDB[[#This Row],[Objednavatel]],"Ostatné")</f>
        <v>Ostatné</v>
      </c>
      <c r="AN1434" s="17" t="str">
        <f>IF(SrcDB[[#This Row],[Pocet zmluv dodavatela]]&gt;3,SrcDB[[#This Row],[Dodavatel]],"Ostatné")</f>
        <v>Ostatné</v>
      </c>
    </row>
    <row r="1435" spans="1:40" x14ac:dyDescent="0.3">
      <c r="A1435" s="2" t="s">
        <v>1830</v>
      </c>
      <c r="B1435" s="2">
        <v>10197904</v>
      </c>
      <c r="C1435" s="3" t="str">
        <f t="shared" si="1563"/>
        <v>Nie</v>
      </c>
      <c r="D1435" s="3" t="str">
        <f t="shared" si="1564"/>
        <v>Áno</v>
      </c>
      <c r="E1435" s="3" t="s">
        <v>48</v>
      </c>
      <c r="F1435" s="3" t="s">
        <v>49</v>
      </c>
      <c r="G1435" s="2" t="str">
        <f t="shared" si="1565"/>
        <v>Malé zmluvy</v>
      </c>
      <c r="H1435" s="5">
        <v>35778458</v>
      </c>
      <c r="I1435" s="2" t="s">
        <v>1039</v>
      </c>
      <c r="J1435" s="2" t="s">
        <v>1040</v>
      </c>
      <c r="K1435" s="5" t="s">
        <v>1831</v>
      </c>
      <c r="L1435" s="2" t="s">
        <v>1832</v>
      </c>
      <c r="M1435" s="2" t="s">
        <v>1833</v>
      </c>
      <c r="N1435" s="6">
        <v>45644</v>
      </c>
      <c r="O1435" s="4">
        <v>512112</v>
      </c>
      <c r="P1435" s="2">
        <v>114573</v>
      </c>
      <c r="Q1435" s="2" t="s">
        <v>1834</v>
      </c>
      <c r="R1435" s="2" t="s">
        <v>1835</v>
      </c>
      <c r="S1435" s="2" t="s">
        <v>73</v>
      </c>
      <c r="T1435" s="2" t="s">
        <v>469</v>
      </c>
      <c r="W1435" s="4">
        <f>75*8</f>
        <v>600</v>
      </c>
      <c r="X1435" s="4">
        <f>SrcDB[[#This Row],[Cena bez DPH]]*1.2</f>
        <v>720</v>
      </c>
      <c r="Y1435" s="4">
        <f t="shared" ref="Y1435" si="1615">INDEX(InternalRates,MATCH($S1435,InternalRates01,FALSE),2)</f>
        <v>278.98333333333335</v>
      </c>
      <c r="Z1435" s="3" t="str">
        <f t="shared" si="1597"/>
        <v>Nie</v>
      </c>
      <c r="AA1435" s="3" t="str">
        <f t="shared" si="1598"/>
        <v>SLA</v>
      </c>
      <c r="AD1435" s="3" t="s">
        <v>48</v>
      </c>
      <c r="AE1435" s="6">
        <v>45684</v>
      </c>
      <c r="AF1435" s="3" t="s">
        <v>59</v>
      </c>
      <c r="AG1435" s="3" t="s">
        <v>48</v>
      </c>
      <c r="AH1435" s="3">
        <f>YEAR(SrcDB[[#This Row],[Datum_zverejnenia]])</f>
        <v>2024</v>
      </c>
      <c r="AI1435" s="3" cm="1">
        <f t="array" ref="AI1435">COUNT(_xlfn.UNIQUE(_xlfn._xlws.FILTER(SrcDB[ID],SrcDB[Objednavatel_ICO]=$H1435)))</f>
        <v>3</v>
      </c>
      <c r="AJ1435" s="3" cm="1">
        <f t="array" ref="AJ1435">COUNT(_xlfn.UNIQUE(_xlfn._xlws.FILTER(SrcDB[ID],SrcDB[Dodavatel_ICO]=$K1435)))</f>
        <v>1</v>
      </c>
      <c r="AK1435" s="3">
        <f t="shared" si="1569"/>
        <v>0</v>
      </c>
      <c r="AL1435" s="3">
        <f t="shared" si="1570"/>
        <v>0</v>
      </c>
      <c r="AM1435" s="17" t="str">
        <f>IF(SrcDB[[#This Row],[Pocet zmluv objednavatela]]&gt;3,SrcDB[[#This Row],[Objednavatel]],"Ostatné")</f>
        <v>Ostatné</v>
      </c>
      <c r="AN1435" s="17" t="str">
        <f>IF(SrcDB[[#This Row],[Pocet zmluv dodavatela]]&gt;3,SrcDB[[#This Row],[Dodavatel]],"Ostatné")</f>
        <v>Ostatné</v>
      </c>
    </row>
    <row r="1436" spans="1:40" x14ac:dyDescent="0.3">
      <c r="A1436" s="2" t="s">
        <v>1830</v>
      </c>
      <c r="B1436" s="2">
        <v>10197904</v>
      </c>
      <c r="C1436" s="3" t="str">
        <f t="shared" si="1563"/>
        <v>Nie</v>
      </c>
      <c r="D1436" s="3" t="str">
        <f t="shared" si="1564"/>
        <v>Áno</v>
      </c>
      <c r="E1436" s="3" t="s">
        <v>48</v>
      </c>
      <c r="F1436" s="3" t="s">
        <v>49</v>
      </c>
      <c r="G1436" s="2" t="str">
        <f t="shared" si="1565"/>
        <v>Malé zmluvy</v>
      </c>
      <c r="H1436" s="5">
        <v>35778458</v>
      </c>
      <c r="I1436" s="2" t="s">
        <v>1039</v>
      </c>
      <c r="J1436" s="2" t="s">
        <v>1040</v>
      </c>
      <c r="K1436" s="5" t="s">
        <v>1831</v>
      </c>
      <c r="L1436" s="2" t="s">
        <v>1832</v>
      </c>
      <c r="M1436" s="2" t="s">
        <v>1833</v>
      </c>
      <c r="N1436" s="6">
        <v>45644</v>
      </c>
      <c r="O1436" s="4">
        <v>512112</v>
      </c>
      <c r="P1436" s="2">
        <v>114573</v>
      </c>
      <c r="Q1436" s="2" t="s">
        <v>1834</v>
      </c>
      <c r="R1436" s="2" t="s">
        <v>1835</v>
      </c>
      <c r="S1436" s="2" t="s">
        <v>77</v>
      </c>
      <c r="T1436" s="2" t="s">
        <v>1838</v>
      </c>
      <c r="W1436" s="4">
        <f>75*8</f>
        <v>600</v>
      </c>
      <c r="X1436" s="4">
        <f>SrcDB[[#This Row],[Cena bez DPH]]*1.2</f>
        <v>720</v>
      </c>
      <c r="Y1436" s="4">
        <f t="shared" ref="Y1436" si="1616">INDEX(InternalRates,MATCH($S1436,InternalRates01,FALSE),2)</f>
        <v>278.98333333333335</v>
      </c>
      <c r="Z1436" s="3" t="str">
        <f t="shared" si="1597"/>
        <v>Nie</v>
      </c>
      <c r="AA1436" s="3" t="str">
        <f t="shared" si="1598"/>
        <v>SLA</v>
      </c>
      <c r="AD1436" s="3" t="s">
        <v>48</v>
      </c>
      <c r="AE1436" s="6">
        <v>45684</v>
      </c>
      <c r="AF1436" s="3" t="s">
        <v>638</v>
      </c>
      <c r="AG1436" s="3" t="s">
        <v>48</v>
      </c>
      <c r="AH1436" s="3">
        <f>YEAR(SrcDB[[#This Row],[Datum_zverejnenia]])</f>
        <v>2024</v>
      </c>
      <c r="AI1436" s="3" cm="1">
        <f t="array" ref="AI1436">COUNT(_xlfn.UNIQUE(_xlfn._xlws.FILTER(SrcDB[ID],SrcDB[Objednavatel_ICO]=$H1436)))</f>
        <v>3</v>
      </c>
      <c r="AJ1436" s="3" cm="1">
        <f t="array" ref="AJ1436">COUNT(_xlfn.UNIQUE(_xlfn._xlws.FILTER(SrcDB[ID],SrcDB[Dodavatel_ICO]=$K1436)))</f>
        <v>1</v>
      </c>
      <c r="AK1436" s="3">
        <f t="shared" si="1569"/>
        <v>0</v>
      </c>
      <c r="AL1436" s="3">
        <f t="shared" si="1570"/>
        <v>0</v>
      </c>
      <c r="AM1436" s="17" t="str">
        <f>IF(SrcDB[[#This Row],[Pocet zmluv objednavatela]]&gt;3,SrcDB[[#This Row],[Objednavatel]],"Ostatné")</f>
        <v>Ostatné</v>
      </c>
      <c r="AN1436" s="17" t="str">
        <f>IF(SrcDB[[#This Row],[Pocet zmluv dodavatela]]&gt;3,SrcDB[[#This Row],[Dodavatel]],"Ostatné")</f>
        <v>Ostatné</v>
      </c>
    </row>
    <row r="1437" spans="1:40" x14ac:dyDescent="0.3">
      <c r="A1437" s="2" t="s">
        <v>1830</v>
      </c>
      <c r="B1437" s="2">
        <v>10197904</v>
      </c>
      <c r="C1437" s="3" t="str">
        <f t="shared" si="1563"/>
        <v>Nie</v>
      </c>
      <c r="D1437" s="3" t="str">
        <f t="shared" si="1564"/>
        <v>Áno</v>
      </c>
      <c r="E1437" s="3" t="s">
        <v>48</v>
      </c>
      <c r="F1437" s="3" t="s">
        <v>49</v>
      </c>
      <c r="G1437" s="2" t="str">
        <f t="shared" si="1565"/>
        <v>Malé zmluvy</v>
      </c>
      <c r="H1437" s="5">
        <v>35778458</v>
      </c>
      <c r="I1437" s="2" t="s">
        <v>1039</v>
      </c>
      <c r="J1437" s="2" t="s">
        <v>1040</v>
      </c>
      <c r="K1437" s="5" t="s">
        <v>1831</v>
      </c>
      <c r="L1437" s="2" t="s">
        <v>1832</v>
      </c>
      <c r="M1437" s="2" t="s">
        <v>1833</v>
      </c>
      <c r="N1437" s="6">
        <v>45644</v>
      </c>
      <c r="O1437" s="4">
        <v>512112</v>
      </c>
      <c r="P1437" s="2">
        <v>114573</v>
      </c>
      <c r="Q1437" s="2" t="s">
        <v>1834</v>
      </c>
      <c r="R1437" s="2" t="s">
        <v>1835</v>
      </c>
      <c r="S1437" s="2" t="s">
        <v>123</v>
      </c>
      <c r="T1437" s="2" t="s">
        <v>1839</v>
      </c>
      <c r="V1437" s="2" t="s">
        <v>175</v>
      </c>
      <c r="W1437" s="4">
        <f>60*8</f>
        <v>480</v>
      </c>
      <c r="X1437" s="4">
        <f>SrcDB[[#This Row],[Cena bez DPH]]*1.2</f>
        <v>576</v>
      </c>
      <c r="Y1437" s="4">
        <f t="shared" ref="Y1437" si="1617">INDEX(InternalRates,MATCH($S1437,InternalRates01,FALSE),2)</f>
        <v>231.85833333333335</v>
      </c>
      <c r="Z1437" s="3" t="str">
        <f t="shared" si="1597"/>
        <v>Nie</v>
      </c>
      <c r="AA1437" s="3" t="str">
        <f t="shared" si="1598"/>
        <v>SLA</v>
      </c>
      <c r="AD1437" s="3" t="s">
        <v>48</v>
      </c>
      <c r="AE1437" s="6">
        <v>45684</v>
      </c>
      <c r="AF1437" s="3" t="s">
        <v>59</v>
      </c>
      <c r="AG1437" s="3" t="s">
        <v>48</v>
      </c>
      <c r="AH1437" s="3">
        <f>YEAR(SrcDB[[#This Row],[Datum_zverejnenia]])</f>
        <v>2024</v>
      </c>
      <c r="AI1437" s="3" cm="1">
        <f t="array" ref="AI1437">COUNT(_xlfn.UNIQUE(_xlfn._xlws.FILTER(SrcDB[ID],SrcDB[Objednavatel_ICO]=$H1437)))</f>
        <v>3</v>
      </c>
      <c r="AJ1437" s="3" cm="1">
        <f t="array" ref="AJ1437">COUNT(_xlfn.UNIQUE(_xlfn._xlws.FILTER(SrcDB[ID],SrcDB[Dodavatel_ICO]=$K1437)))</f>
        <v>1</v>
      </c>
      <c r="AK1437" s="3">
        <f t="shared" si="1569"/>
        <v>0</v>
      </c>
      <c r="AL1437" s="3">
        <f t="shared" si="1570"/>
        <v>0</v>
      </c>
      <c r="AM1437" s="17" t="str">
        <f>IF(SrcDB[[#This Row],[Pocet zmluv objednavatela]]&gt;3,SrcDB[[#This Row],[Objednavatel]],"Ostatné")</f>
        <v>Ostatné</v>
      </c>
      <c r="AN1437" s="17" t="str">
        <f>IF(SrcDB[[#This Row],[Pocet zmluv dodavatela]]&gt;3,SrcDB[[#This Row],[Dodavatel]],"Ostatné")</f>
        <v>Ostatné</v>
      </c>
    </row>
    <row r="1438" spans="1:40" x14ac:dyDescent="0.3">
      <c r="A1438" s="2" t="s">
        <v>1830</v>
      </c>
      <c r="B1438" s="2">
        <v>10197904</v>
      </c>
      <c r="C1438" s="3" t="str">
        <f t="shared" si="1563"/>
        <v>Nie</v>
      </c>
      <c r="D1438" s="3" t="str">
        <f t="shared" si="1564"/>
        <v>Áno</v>
      </c>
      <c r="E1438" s="3" t="s">
        <v>48</v>
      </c>
      <c r="F1438" s="3" t="s">
        <v>49</v>
      </c>
      <c r="G1438" s="2" t="str">
        <f t="shared" si="1565"/>
        <v>Malé zmluvy</v>
      </c>
      <c r="H1438" s="5">
        <v>35778458</v>
      </c>
      <c r="I1438" s="2" t="s">
        <v>1039</v>
      </c>
      <c r="J1438" s="2" t="s">
        <v>1040</v>
      </c>
      <c r="K1438" s="5" t="s">
        <v>1831</v>
      </c>
      <c r="L1438" s="2" t="s">
        <v>1832</v>
      </c>
      <c r="M1438" s="2" t="s">
        <v>1833</v>
      </c>
      <c r="N1438" s="6">
        <v>45644</v>
      </c>
      <c r="O1438" s="4">
        <v>512112</v>
      </c>
      <c r="P1438" s="2">
        <v>114573</v>
      </c>
      <c r="Q1438" s="2" t="s">
        <v>1834</v>
      </c>
      <c r="R1438" s="2" t="s">
        <v>1835</v>
      </c>
      <c r="S1438" s="2" t="s">
        <v>77</v>
      </c>
      <c r="T1438" s="2" t="s">
        <v>471</v>
      </c>
      <c r="W1438" s="4">
        <f>60*8</f>
        <v>480</v>
      </c>
      <c r="X1438" s="4">
        <f>SrcDB[[#This Row],[Cena bez DPH]]*1.2</f>
        <v>576</v>
      </c>
      <c r="Y1438" s="4">
        <f t="shared" ref="Y1438" si="1618">INDEX(InternalRates,MATCH($S1438,InternalRates01,FALSE),2)</f>
        <v>278.98333333333335</v>
      </c>
      <c r="Z1438" s="3" t="str">
        <f t="shared" si="1597"/>
        <v>Nie</v>
      </c>
      <c r="AA1438" s="3" t="str">
        <f t="shared" si="1598"/>
        <v>SLA</v>
      </c>
      <c r="AD1438" s="3" t="s">
        <v>48</v>
      </c>
      <c r="AE1438" s="6">
        <v>45684</v>
      </c>
      <c r="AF1438" s="3" t="s">
        <v>59</v>
      </c>
      <c r="AG1438" s="3" t="s">
        <v>48</v>
      </c>
      <c r="AH1438" s="3">
        <f>YEAR(SrcDB[[#This Row],[Datum_zverejnenia]])</f>
        <v>2024</v>
      </c>
      <c r="AI1438" s="3" cm="1">
        <f t="array" ref="AI1438">COUNT(_xlfn.UNIQUE(_xlfn._xlws.FILTER(SrcDB[ID],SrcDB[Objednavatel_ICO]=$H1438)))</f>
        <v>3</v>
      </c>
      <c r="AJ1438" s="3" cm="1">
        <f t="array" ref="AJ1438">COUNT(_xlfn.UNIQUE(_xlfn._xlws.FILTER(SrcDB[ID],SrcDB[Dodavatel_ICO]=$K1438)))</f>
        <v>1</v>
      </c>
      <c r="AK1438" s="3">
        <f t="shared" si="1569"/>
        <v>0</v>
      </c>
      <c r="AL1438" s="3">
        <f t="shared" si="1570"/>
        <v>0</v>
      </c>
      <c r="AM1438" s="17" t="str">
        <f>IF(SrcDB[[#This Row],[Pocet zmluv objednavatela]]&gt;3,SrcDB[[#This Row],[Objednavatel]],"Ostatné")</f>
        <v>Ostatné</v>
      </c>
      <c r="AN1438" s="17" t="str">
        <f>IF(SrcDB[[#This Row],[Pocet zmluv dodavatela]]&gt;3,SrcDB[[#This Row],[Dodavatel]],"Ostatné")</f>
        <v>Ostatné</v>
      </c>
    </row>
    <row r="1439" spans="1:40" x14ac:dyDescent="0.3">
      <c r="A1439" s="2" t="s">
        <v>1830</v>
      </c>
      <c r="B1439" s="2">
        <v>10197904</v>
      </c>
      <c r="C1439" s="3" t="str">
        <f t="shared" si="1563"/>
        <v>Nie</v>
      </c>
      <c r="D1439" s="3" t="str">
        <f t="shared" si="1564"/>
        <v>Áno</v>
      </c>
      <c r="E1439" s="3" t="s">
        <v>48</v>
      </c>
      <c r="F1439" s="3" t="s">
        <v>49</v>
      </c>
      <c r="G1439" s="2" t="str">
        <f t="shared" si="1565"/>
        <v>Malé zmluvy</v>
      </c>
      <c r="H1439" s="5">
        <v>35778458</v>
      </c>
      <c r="I1439" s="2" t="s">
        <v>1039</v>
      </c>
      <c r="J1439" s="2" t="s">
        <v>1040</v>
      </c>
      <c r="K1439" s="5" t="s">
        <v>1831</v>
      </c>
      <c r="L1439" s="2" t="s">
        <v>1832</v>
      </c>
      <c r="M1439" s="2" t="s">
        <v>1833</v>
      </c>
      <c r="N1439" s="6">
        <v>45644</v>
      </c>
      <c r="O1439" s="4">
        <v>512112</v>
      </c>
      <c r="P1439" s="2">
        <v>114573</v>
      </c>
      <c r="Q1439" s="2" t="s">
        <v>1834</v>
      </c>
      <c r="R1439" s="2" t="s">
        <v>1835</v>
      </c>
      <c r="S1439" s="2" t="s">
        <v>79</v>
      </c>
      <c r="T1439" s="2" t="s">
        <v>131</v>
      </c>
      <c r="W1439" s="4">
        <f>60*8</f>
        <v>480</v>
      </c>
      <c r="X1439" s="4">
        <f>SrcDB[[#This Row],[Cena bez DPH]]*1.2</f>
        <v>576</v>
      </c>
      <c r="Y1439" s="4">
        <f t="shared" ref="Y1439" si="1619">INDEX(InternalRates,MATCH($S1439,InternalRates01,FALSE),2)</f>
        <v>278.98333333333335</v>
      </c>
      <c r="Z1439" s="3" t="str">
        <f t="shared" si="1597"/>
        <v>Nie</v>
      </c>
      <c r="AA1439" s="3" t="str">
        <f t="shared" si="1598"/>
        <v>SLA</v>
      </c>
      <c r="AD1439" s="3" t="s">
        <v>48</v>
      </c>
      <c r="AE1439" s="6">
        <v>45684</v>
      </c>
      <c r="AF1439" s="3" t="s">
        <v>59</v>
      </c>
      <c r="AG1439" s="3" t="s">
        <v>48</v>
      </c>
      <c r="AH1439" s="3">
        <f>YEAR(SrcDB[[#This Row],[Datum_zverejnenia]])</f>
        <v>2024</v>
      </c>
      <c r="AI1439" s="3" cm="1">
        <f t="array" ref="AI1439">COUNT(_xlfn.UNIQUE(_xlfn._xlws.FILTER(SrcDB[ID],SrcDB[Objednavatel_ICO]=$H1439)))</f>
        <v>3</v>
      </c>
      <c r="AJ1439" s="3" cm="1">
        <f t="array" ref="AJ1439">COUNT(_xlfn.UNIQUE(_xlfn._xlws.FILTER(SrcDB[ID],SrcDB[Dodavatel_ICO]=$K1439)))</f>
        <v>1</v>
      </c>
      <c r="AK1439" s="3">
        <f t="shared" si="1569"/>
        <v>0</v>
      </c>
      <c r="AL1439" s="3">
        <f t="shared" si="1570"/>
        <v>0</v>
      </c>
      <c r="AM1439" s="17" t="str">
        <f>IF(SrcDB[[#This Row],[Pocet zmluv objednavatela]]&gt;3,SrcDB[[#This Row],[Objednavatel]],"Ostatné")</f>
        <v>Ostatné</v>
      </c>
      <c r="AN1439" s="17" t="str">
        <f>IF(SrcDB[[#This Row],[Pocet zmluv dodavatela]]&gt;3,SrcDB[[#This Row],[Dodavatel]],"Ostatné")</f>
        <v>Ostatné</v>
      </c>
    </row>
    <row r="1440" spans="1:40" x14ac:dyDescent="0.3">
      <c r="A1440" s="2" t="s">
        <v>1830</v>
      </c>
      <c r="B1440" s="2">
        <v>10197904</v>
      </c>
      <c r="C1440" s="3" t="str">
        <f t="shared" si="1563"/>
        <v>Nie</v>
      </c>
      <c r="D1440" s="3" t="str">
        <f t="shared" si="1564"/>
        <v>Áno</v>
      </c>
      <c r="E1440" s="3" t="s">
        <v>48</v>
      </c>
      <c r="F1440" s="3" t="s">
        <v>49</v>
      </c>
      <c r="G1440" s="2" t="str">
        <f t="shared" si="1565"/>
        <v>Malé zmluvy</v>
      </c>
      <c r="H1440" s="5">
        <v>35778458</v>
      </c>
      <c r="I1440" s="2" t="s">
        <v>1039</v>
      </c>
      <c r="J1440" s="2" t="s">
        <v>1040</v>
      </c>
      <c r="K1440" s="5" t="s">
        <v>1831</v>
      </c>
      <c r="L1440" s="2" t="s">
        <v>1832</v>
      </c>
      <c r="M1440" s="2" t="s">
        <v>1833</v>
      </c>
      <c r="N1440" s="6">
        <v>45644</v>
      </c>
      <c r="O1440" s="4">
        <v>512112</v>
      </c>
      <c r="P1440" s="2">
        <v>114573</v>
      </c>
      <c r="Q1440" s="2" t="s">
        <v>1834</v>
      </c>
      <c r="R1440" s="2" t="s">
        <v>1835</v>
      </c>
      <c r="S1440" s="2" t="s">
        <v>102</v>
      </c>
      <c r="T1440" s="2" t="s">
        <v>1840</v>
      </c>
      <c r="W1440" s="4">
        <f>60*8</f>
        <v>480</v>
      </c>
      <c r="X1440" s="4">
        <f>SrcDB[[#This Row],[Cena bez DPH]]*1.2</f>
        <v>576</v>
      </c>
      <c r="Y1440" s="4">
        <f t="shared" ref="Y1440" si="1620">INDEX(InternalRates,MATCH($S1440,InternalRates01,FALSE),2)</f>
        <v>278.98333333333335</v>
      </c>
      <c r="Z1440" s="3" t="str">
        <f t="shared" si="1597"/>
        <v>Nie</v>
      </c>
      <c r="AA1440" s="3" t="str">
        <f t="shared" si="1598"/>
        <v>SLA</v>
      </c>
      <c r="AD1440" s="3" t="s">
        <v>48</v>
      </c>
      <c r="AE1440" s="6">
        <v>45684</v>
      </c>
      <c r="AF1440" s="3" t="s">
        <v>59</v>
      </c>
      <c r="AG1440" s="3" t="s">
        <v>48</v>
      </c>
      <c r="AH1440" s="3">
        <f>YEAR(SrcDB[[#This Row],[Datum_zverejnenia]])</f>
        <v>2024</v>
      </c>
      <c r="AI1440" s="3" cm="1">
        <f t="array" ref="AI1440">COUNT(_xlfn.UNIQUE(_xlfn._xlws.FILTER(SrcDB[ID],SrcDB[Objednavatel_ICO]=$H1440)))</f>
        <v>3</v>
      </c>
      <c r="AJ1440" s="3" cm="1">
        <f t="array" ref="AJ1440">COUNT(_xlfn.UNIQUE(_xlfn._xlws.FILTER(SrcDB[ID],SrcDB[Dodavatel_ICO]=$K1440)))</f>
        <v>1</v>
      </c>
      <c r="AK1440" s="3">
        <f t="shared" si="1569"/>
        <v>0</v>
      </c>
      <c r="AL1440" s="3">
        <f t="shared" si="1570"/>
        <v>0</v>
      </c>
      <c r="AM1440" s="17" t="str">
        <f>IF(SrcDB[[#This Row],[Pocet zmluv objednavatela]]&gt;3,SrcDB[[#This Row],[Objednavatel]],"Ostatné")</f>
        <v>Ostatné</v>
      </c>
      <c r="AN1440" s="17" t="str">
        <f>IF(SrcDB[[#This Row],[Pocet zmluv dodavatela]]&gt;3,SrcDB[[#This Row],[Dodavatel]],"Ostatné")</f>
        <v>Ostatné</v>
      </c>
    </row>
    <row r="1441" spans="1:40" x14ac:dyDescent="0.3">
      <c r="A1441" s="2" t="s">
        <v>1841</v>
      </c>
      <c r="B1441" s="2">
        <v>9003656</v>
      </c>
      <c r="C1441" s="3" t="str">
        <f t="shared" si="1563"/>
        <v>Nie</v>
      </c>
      <c r="D1441" s="3" t="str">
        <f t="shared" si="1564"/>
        <v>Áno</v>
      </c>
      <c r="E1441" s="3" t="s">
        <v>48</v>
      </c>
      <c r="F1441" s="3" t="s">
        <v>49</v>
      </c>
      <c r="G1441" s="2" t="str">
        <f t="shared" si="1565"/>
        <v>Stredné zmluvy</v>
      </c>
      <c r="H1441" s="5">
        <v>35919001</v>
      </c>
      <c r="I1441" s="2" t="s">
        <v>133</v>
      </c>
      <c r="J1441" s="2" t="s">
        <v>134</v>
      </c>
      <c r="K1441" s="5">
        <v>36033987</v>
      </c>
      <c r="L1441" s="2" t="s">
        <v>296</v>
      </c>
      <c r="N1441" s="6">
        <v>45355</v>
      </c>
      <c r="O1441" s="4">
        <v>2367360</v>
      </c>
      <c r="P1441" s="2">
        <v>114573</v>
      </c>
      <c r="Q1441" s="2" t="s">
        <v>1842</v>
      </c>
      <c r="R1441" s="2" t="s">
        <v>1843</v>
      </c>
      <c r="S1441" s="2" t="s">
        <v>183</v>
      </c>
      <c r="T1441" s="2" t="s">
        <v>1844</v>
      </c>
      <c r="W1441" s="4">
        <f>137*8</f>
        <v>1096</v>
      </c>
      <c r="X1441" s="4">
        <f>SrcDB[[#This Row],[Cena bez DPH]]*1.2</f>
        <v>1315.2</v>
      </c>
      <c r="Y1441" s="4">
        <f t="shared" ref="Y1441" si="1621">INDEX(InternalRates,MATCH($S1441,InternalRates01,FALSE),2)</f>
        <v>278.98333333333335</v>
      </c>
      <c r="Z1441" s="3" t="str">
        <f t="shared" si="1597"/>
        <v>Nie</v>
      </c>
      <c r="AA1441" s="3" t="str">
        <f t="shared" si="1598"/>
        <v>SLA</v>
      </c>
      <c r="AB1441" s="4">
        <v>1800</v>
      </c>
      <c r="AC1441" s="4">
        <f>SrcDB[[#This Row],[Množstvo práce]]/4</f>
        <v>450</v>
      </c>
      <c r="AD1441" s="3" t="s">
        <v>48</v>
      </c>
      <c r="AE1441" s="6">
        <v>45684</v>
      </c>
      <c r="AF1441" s="3" t="s">
        <v>59</v>
      </c>
      <c r="AG1441" s="3" t="s">
        <v>49</v>
      </c>
      <c r="AH1441" s="3">
        <f>YEAR(SrcDB[[#This Row],[Datum_zverejnenia]])</f>
        <v>2024</v>
      </c>
      <c r="AI1441" s="3" cm="1">
        <f t="array" ref="AI1441">COUNT(_xlfn.UNIQUE(_xlfn._xlws.FILTER(SrcDB[ID],SrcDB[Objednavatel_ICO]=$H1441)))</f>
        <v>2</v>
      </c>
      <c r="AJ1441" s="3" cm="1">
        <f t="array" ref="AJ1441">COUNT(_xlfn.UNIQUE(_xlfn._xlws.FILTER(SrcDB[ID],SrcDB[Dodavatel_ICO]=$K1441)))</f>
        <v>3</v>
      </c>
      <c r="AK1441" s="3">
        <f t="shared" si="1569"/>
        <v>1</v>
      </c>
      <c r="AL1441" s="3">
        <f t="shared" si="1570"/>
        <v>1</v>
      </c>
      <c r="AM1441" s="17" t="str">
        <f>IF(SrcDB[[#This Row],[Pocet zmluv objednavatela]]&gt;3,SrcDB[[#This Row],[Objednavatel]],"Ostatné")</f>
        <v>Ostatné</v>
      </c>
      <c r="AN1441" s="17" t="str">
        <f>IF(SrcDB[[#This Row],[Pocet zmluv dodavatela]]&gt;3,SrcDB[[#This Row],[Dodavatel]],"Ostatné")</f>
        <v>Ostatné</v>
      </c>
    </row>
    <row r="1442" spans="1:40" x14ac:dyDescent="0.3">
      <c r="A1442" s="2" t="s">
        <v>1845</v>
      </c>
      <c r="B1442" s="2">
        <v>9660339</v>
      </c>
      <c r="C1442" s="3" t="str">
        <f t="shared" si="1563"/>
        <v>Nejasné</v>
      </c>
      <c r="D1442" s="3" t="str">
        <f t="shared" si="1564"/>
        <v>Nejasné</v>
      </c>
      <c r="E1442" s="3" t="s">
        <v>48</v>
      </c>
      <c r="F1442" s="3" t="s">
        <v>49</v>
      </c>
      <c r="G1442" s="2" t="str">
        <f t="shared" si="1565"/>
        <v>Stredné zmluvy</v>
      </c>
      <c r="H1442" s="5" t="s">
        <v>342</v>
      </c>
      <c r="I1442" s="2" t="s">
        <v>343</v>
      </c>
      <c r="J1442" s="2" t="s">
        <v>344</v>
      </c>
      <c r="K1442" s="5">
        <v>35955678</v>
      </c>
      <c r="L1442" s="2" t="s">
        <v>179</v>
      </c>
      <c r="M1442" s="2" t="s">
        <v>180</v>
      </c>
      <c r="N1442" s="6">
        <v>45526</v>
      </c>
      <c r="O1442" s="4">
        <v>3651834.24</v>
      </c>
      <c r="P1442" s="2">
        <v>114723</v>
      </c>
      <c r="Q1442" s="2" t="s">
        <v>1846</v>
      </c>
      <c r="R1442" s="2" t="s">
        <v>1847</v>
      </c>
      <c r="S1442" s="2" t="s">
        <v>56</v>
      </c>
      <c r="U1442" s="2" t="s">
        <v>350</v>
      </c>
      <c r="W1442" s="4">
        <v>880</v>
      </c>
      <c r="X1442" s="4">
        <f>SrcDB[[#This Row],[Cena bez DPH]]*1.2</f>
        <v>1056</v>
      </c>
      <c r="Y1442" s="4">
        <f t="shared" ref="Y1442" si="1622">INDEX(InternalRates,MATCH($S1442,InternalRates01,FALSE),2)</f>
        <v>278.98333333333335</v>
      </c>
      <c r="Z1442" s="3" t="str">
        <f t="shared" si="1597"/>
        <v>Nie</v>
      </c>
      <c r="AA1442" s="3" t="str">
        <f t="shared" si="1598"/>
        <v>SLA</v>
      </c>
      <c r="AB1442" s="4">
        <v>53</v>
      </c>
      <c r="AC1442" s="4">
        <v>53</v>
      </c>
      <c r="AD1442" s="3" t="s">
        <v>48</v>
      </c>
      <c r="AE1442" s="6">
        <v>45684</v>
      </c>
      <c r="AF1442" s="3" t="s">
        <v>59</v>
      </c>
      <c r="AG1442" s="3" t="s">
        <v>60</v>
      </c>
      <c r="AH1442" s="3">
        <f>YEAR(SrcDB[[#This Row],[Datum_zverejnenia]])</f>
        <v>2024</v>
      </c>
      <c r="AI1442" s="3" cm="1">
        <f t="array" ref="AI1442">COUNT(_xlfn.UNIQUE(_xlfn._xlws.FILTER(SrcDB[ID],SrcDB[Objednavatel_ICO]=$H1442)))</f>
        <v>15</v>
      </c>
      <c r="AJ1442" s="3" cm="1">
        <f t="array" ref="AJ1442">COUNT(_xlfn.UNIQUE(_xlfn._xlws.FILTER(SrcDB[ID],SrcDB[Dodavatel_ICO]=$K1442)))</f>
        <v>14</v>
      </c>
      <c r="AK1442" s="3">
        <f t="shared" si="1569"/>
        <v>1</v>
      </c>
      <c r="AL1442" s="3">
        <f t="shared" si="1570"/>
        <v>1</v>
      </c>
      <c r="AM1442" s="17" t="str">
        <f>IF(SrcDB[[#This Row],[Pocet zmluv objednavatela]]&gt;3,SrcDB[[#This Row],[Objednavatel]],"Ostatné")</f>
        <v>Ministerstvo vnútra SR</v>
      </c>
      <c r="AN1442" s="17" t="str">
        <f>IF(SrcDB[[#This Row],[Pocet zmluv dodavatela]]&gt;3,SrcDB[[#This Row],[Dodavatel]],"Ostatné")</f>
        <v>SOITRON, s.r.o.</v>
      </c>
    </row>
    <row r="1443" spans="1:40" x14ac:dyDescent="0.3">
      <c r="A1443" s="2" t="s">
        <v>1816</v>
      </c>
      <c r="B1443" s="2">
        <v>9193677</v>
      </c>
      <c r="C1443" s="3" t="str">
        <f t="shared" si="1563"/>
        <v>Nejasné</v>
      </c>
      <c r="D1443" s="3" t="str">
        <f t="shared" si="1564"/>
        <v>Nejasné</v>
      </c>
      <c r="E1443" s="3" t="s">
        <v>48</v>
      </c>
      <c r="F1443" s="3" t="s">
        <v>49</v>
      </c>
      <c r="G1443" s="2" t="str">
        <f t="shared" si="1565"/>
        <v>Stredné zmluvy</v>
      </c>
      <c r="H1443" s="5" t="s">
        <v>867</v>
      </c>
      <c r="I1443" s="2" t="s">
        <v>868</v>
      </c>
      <c r="J1443" s="2" t="s">
        <v>869</v>
      </c>
      <c r="K1443" s="5">
        <v>31648410</v>
      </c>
      <c r="L1443" s="2" t="s">
        <v>870</v>
      </c>
      <c r="M1443" s="2" t="s">
        <v>871</v>
      </c>
      <c r="N1443" s="6">
        <v>45404</v>
      </c>
      <c r="O1443" s="4">
        <v>1392000</v>
      </c>
      <c r="P1443" s="2">
        <v>117199</v>
      </c>
      <c r="Q1443" s="2" t="s">
        <v>1848</v>
      </c>
      <c r="R1443" s="2" t="s">
        <v>1849</v>
      </c>
      <c r="S1443" s="2" t="s">
        <v>73</v>
      </c>
      <c r="T1443" s="2" t="s">
        <v>1850</v>
      </c>
      <c r="W1443" s="4">
        <v>800</v>
      </c>
      <c r="X1443" s="4">
        <f>SrcDB[[#This Row],[Cena bez DPH]]*1.2</f>
        <v>960</v>
      </c>
      <c r="Y1443" s="4">
        <f t="shared" ref="Y1443" si="1623">INDEX(InternalRates,MATCH($S1443,InternalRates01,FALSE),2)</f>
        <v>278.98333333333335</v>
      </c>
      <c r="Z1443" s="3" t="str">
        <f t="shared" si="1597"/>
        <v>Nie</v>
      </c>
      <c r="AA1443" s="3" t="str">
        <f t="shared" si="1598"/>
        <v>SLA</v>
      </c>
      <c r="AB1443" s="4">
        <v>450</v>
      </c>
      <c r="AC1443" s="4">
        <f>SrcDB[[#This Row],[Množstvo práce]]/4</f>
        <v>112.5</v>
      </c>
      <c r="AD1443" s="3" t="s">
        <v>48</v>
      </c>
      <c r="AE1443" s="6">
        <v>45684</v>
      </c>
      <c r="AF1443" s="3" t="s">
        <v>59</v>
      </c>
      <c r="AG1443" s="3" t="s">
        <v>48</v>
      </c>
      <c r="AH1443" s="3">
        <f>YEAR(SrcDB[[#This Row],[Datum_zverejnenia]])</f>
        <v>2024</v>
      </c>
      <c r="AI1443" s="3" cm="1">
        <f t="array" ref="AI1443">COUNT(_xlfn.UNIQUE(_xlfn._xlws.FILTER(SrcDB[ID],SrcDB[Objednavatel_ICO]=$H1443)))</f>
        <v>4</v>
      </c>
      <c r="AJ1443" s="3" cm="1">
        <f t="array" ref="AJ1443">COUNT(_xlfn.UNIQUE(_xlfn._xlws.FILTER(SrcDB[ID],SrcDB[Dodavatel_ICO]=$K1443)))</f>
        <v>4</v>
      </c>
      <c r="AK1443" s="3">
        <f t="shared" si="1569"/>
        <v>1</v>
      </c>
      <c r="AL1443" s="3">
        <f t="shared" si="1570"/>
        <v>1</v>
      </c>
      <c r="AM1443" s="17" t="str">
        <f>IF(SrcDB[[#This Row],[Pocet zmluv objednavatela]]&gt;3,SrcDB[[#This Row],[Objednavatel]],"Ostatné")</f>
        <v>Technická univerzita v Košiciach</v>
      </c>
      <c r="AN1443" s="17" t="str">
        <f>IF(SrcDB[[#This Row],[Pocet zmluv dodavatela]]&gt;3,SrcDB[[#This Row],[Dodavatel]],"Ostatné")</f>
        <v>elfa, s.r.o.</v>
      </c>
    </row>
    <row r="1444" spans="1:40" x14ac:dyDescent="0.3">
      <c r="A1444" s="2" t="s">
        <v>1816</v>
      </c>
      <c r="B1444" s="2">
        <v>9193677</v>
      </c>
      <c r="C1444" s="3" t="str">
        <f t="shared" si="1563"/>
        <v>Nejasné</v>
      </c>
      <c r="D1444" s="3" t="str">
        <f t="shared" si="1564"/>
        <v>Nejasné</v>
      </c>
      <c r="E1444" s="3" t="s">
        <v>48</v>
      </c>
      <c r="F1444" s="3" t="s">
        <v>49</v>
      </c>
      <c r="G1444" s="2" t="str">
        <f t="shared" si="1565"/>
        <v>Stredné zmluvy</v>
      </c>
      <c r="H1444" s="5" t="s">
        <v>867</v>
      </c>
      <c r="I1444" s="2" t="s">
        <v>868</v>
      </c>
      <c r="J1444" s="2" t="s">
        <v>869</v>
      </c>
      <c r="K1444" s="5">
        <v>31648410</v>
      </c>
      <c r="L1444" s="2" t="s">
        <v>870</v>
      </c>
      <c r="M1444" s="2" t="s">
        <v>871</v>
      </c>
      <c r="N1444" s="6">
        <v>45404</v>
      </c>
      <c r="O1444" s="4">
        <v>1392000</v>
      </c>
      <c r="P1444" s="2">
        <v>117199</v>
      </c>
      <c r="Q1444" s="2" t="s">
        <v>1848</v>
      </c>
      <c r="R1444" s="2" t="s">
        <v>1849</v>
      </c>
      <c r="S1444" s="2" t="s">
        <v>77</v>
      </c>
      <c r="T1444" s="2" t="s">
        <v>1851</v>
      </c>
      <c r="W1444" s="4">
        <v>800</v>
      </c>
      <c r="X1444" s="4">
        <f>SrcDB[[#This Row],[Cena bez DPH]]*1.2</f>
        <v>960</v>
      </c>
      <c r="Y1444" s="4">
        <f t="shared" ref="Y1444" si="1624">INDEX(InternalRates,MATCH($S1444,InternalRates01,FALSE),2)</f>
        <v>278.98333333333335</v>
      </c>
      <c r="Z1444" s="3" t="str">
        <f t="shared" si="1597"/>
        <v>Nie</v>
      </c>
      <c r="AA1444" s="3" t="str">
        <f t="shared" si="1598"/>
        <v>SLA</v>
      </c>
      <c r="AB1444" s="4">
        <f>512.5+487.5</f>
        <v>1000</v>
      </c>
      <c r="AC1444" s="4">
        <f>SrcDB[[#This Row],[Množstvo práce]]/4</f>
        <v>250</v>
      </c>
      <c r="AD1444" s="3" t="s">
        <v>48</v>
      </c>
      <c r="AE1444" s="6">
        <v>45684</v>
      </c>
      <c r="AF1444" s="3" t="s">
        <v>59</v>
      </c>
      <c r="AG1444" s="3" t="s">
        <v>48</v>
      </c>
      <c r="AH1444" s="3">
        <f>YEAR(SrcDB[[#This Row],[Datum_zverejnenia]])</f>
        <v>2024</v>
      </c>
      <c r="AI1444" s="3" cm="1">
        <f t="array" ref="AI1444">COUNT(_xlfn.UNIQUE(_xlfn._xlws.FILTER(SrcDB[ID],SrcDB[Objednavatel_ICO]=$H1444)))</f>
        <v>4</v>
      </c>
      <c r="AJ1444" s="3" cm="1">
        <f t="array" ref="AJ1444">COUNT(_xlfn.UNIQUE(_xlfn._xlws.FILTER(SrcDB[ID],SrcDB[Dodavatel_ICO]=$K1444)))</f>
        <v>4</v>
      </c>
      <c r="AK1444" s="3">
        <f t="shared" si="1569"/>
        <v>0</v>
      </c>
      <c r="AL1444" s="3">
        <f t="shared" si="1570"/>
        <v>0</v>
      </c>
      <c r="AM1444" s="17" t="str">
        <f>IF(SrcDB[[#This Row],[Pocet zmluv objednavatela]]&gt;3,SrcDB[[#This Row],[Objednavatel]],"Ostatné")</f>
        <v>Technická univerzita v Košiciach</v>
      </c>
      <c r="AN1444" s="17" t="str">
        <f>IF(SrcDB[[#This Row],[Pocet zmluv dodavatela]]&gt;3,SrcDB[[#This Row],[Dodavatel]],"Ostatné")</f>
        <v>elfa, s.r.o.</v>
      </c>
    </row>
    <row r="1445" spans="1:40" x14ac:dyDescent="0.3">
      <c r="A1445" s="2" t="s">
        <v>1852</v>
      </c>
      <c r="B1445" s="2">
        <v>9661913</v>
      </c>
      <c r="C1445" s="3" t="str">
        <f t="shared" si="1563"/>
        <v>Nie</v>
      </c>
      <c r="D1445" s="3" t="str">
        <f t="shared" si="1564"/>
        <v>Áno</v>
      </c>
      <c r="E1445" s="3" t="s">
        <v>48</v>
      </c>
      <c r="F1445" s="3" t="s">
        <v>49</v>
      </c>
      <c r="G1445" s="2" t="str">
        <f t="shared" si="1565"/>
        <v>Malé zmluvy</v>
      </c>
      <c r="H1445" s="5">
        <v>31364501</v>
      </c>
      <c r="I1445" s="2" t="s">
        <v>220</v>
      </c>
      <c r="J1445" s="2" t="s">
        <v>726</v>
      </c>
      <c r="K1445" s="5">
        <v>35955678</v>
      </c>
      <c r="L1445" s="2" t="s">
        <v>179</v>
      </c>
      <c r="M1445" s="2" t="s">
        <v>180</v>
      </c>
      <c r="N1445" s="6">
        <v>45527</v>
      </c>
      <c r="O1445" s="4">
        <v>706410.12</v>
      </c>
      <c r="P1445" s="2">
        <v>114573</v>
      </c>
      <c r="Q1445" s="2" t="s">
        <v>1853</v>
      </c>
      <c r="R1445" s="2" t="s">
        <v>1854</v>
      </c>
      <c r="S1445" s="2" t="s">
        <v>183</v>
      </c>
      <c r="T1445" s="2" t="s">
        <v>1855</v>
      </c>
      <c r="W1445" s="4">
        <v>480</v>
      </c>
      <c r="X1445" s="4">
        <f>SrcDB[[#This Row],[Cena bez DPH]]*1.2</f>
        <v>576</v>
      </c>
      <c r="Y1445" s="4">
        <f t="shared" ref="Y1445" si="1625">INDEX(InternalRates,MATCH($S1445,InternalRates01,FALSE),2)</f>
        <v>278.98333333333335</v>
      </c>
      <c r="Z1445" s="3" t="str">
        <f t="shared" si="1597"/>
        <v>Nie</v>
      </c>
      <c r="AA1445" s="3" t="str">
        <f t="shared" si="1598"/>
        <v>SLA</v>
      </c>
      <c r="AB1445" s="4">
        <v>52</v>
      </c>
      <c r="AC1445" s="4">
        <v>52</v>
      </c>
      <c r="AD1445" s="3" t="s">
        <v>48</v>
      </c>
      <c r="AE1445" s="6">
        <v>45684</v>
      </c>
      <c r="AF1445" s="3" t="s">
        <v>59</v>
      </c>
      <c r="AG1445" s="3" t="s">
        <v>48</v>
      </c>
      <c r="AH1445" s="3">
        <f>YEAR(SrcDB[[#This Row],[Datum_zverejnenia]])</f>
        <v>2024</v>
      </c>
      <c r="AI1445" s="3" cm="1">
        <f t="array" ref="AI1445">COUNT(_xlfn.UNIQUE(_xlfn._xlws.FILTER(SrcDB[ID],SrcDB[Objednavatel_ICO]=$H1445)))</f>
        <v>24</v>
      </c>
      <c r="AJ1445" s="3" cm="1">
        <f t="array" ref="AJ1445">COUNT(_xlfn.UNIQUE(_xlfn._xlws.FILTER(SrcDB[ID],SrcDB[Dodavatel_ICO]=$K1445)))</f>
        <v>14</v>
      </c>
      <c r="AK1445" s="3">
        <f t="shared" si="1569"/>
        <v>1</v>
      </c>
      <c r="AL1445" s="3">
        <f t="shared" si="1570"/>
        <v>1</v>
      </c>
      <c r="AM1445" s="17" t="str">
        <f>IF(SrcDB[[#This Row],[Pocet zmluv objednavatela]]&gt;3,SrcDB[[#This Row],[Objednavatel]],"Ostatné")</f>
        <v>Železnice Slovenskej republiky</v>
      </c>
      <c r="AN1445" s="17" t="str">
        <f>IF(SrcDB[[#This Row],[Pocet zmluv dodavatela]]&gt;3,SrcDB[[#This Row],[Dodavatel]],"Ostatné")</f>
        <v>SOITRON, s.r.o.</v>
      </c>
    </row>
    <row r="1446" spans="1:40" x14ac:dyDescent="0.3">
      <c r="A1446" s="2" t="s">
        <v>1856</v>
      </c>
      <c r="B1446" s="2">
        <v>10082046</v>
      </c>
      <c r="C1446" s="3" t="str">
        <f t="shared" si="1563"/>
        <v>Nejasné</v>
      </c>
      <c r="D1446" s="3" t="str">
        <f t="shared" si="1564"/>
        <v>Nejasné</v>
      </c>
      <c r="E1446" s="3" t="s">
        <v>49</v>
      </c>
      <c r="F1446" s="3" t="s">
        <v>48</v>
      </c>
      <c r="G1446" s="2" t="str">
        <f t="shared" si="1565"/>
        <v>Stredné zmluvy</v>
      </c>
      <c r="H1446" s="5">
        <v>42499500</v>
      </c>
      <c r="I1446" s="2" t="s">
        <v>464</v>
      </c>
      <c r="J1446" s="2" t="s">
        <v>465</v>
      </c>
      <c r="K1446" s="5">
        <v>35810734</v>
      </c>
      <c r="L1446" s="2" t="s">
        <v>257</v>
      </c>
      <c r="M1446" s="2" t="s">
        <v>53</v>
      </c>
      <c r="N1446" s="6">
        <v>45622</v>
      </c>
      <c r="O1446" s="4">
        <v>5009757.53</v>
      </c>
      <c r="P1446" s="2">
        <v>114725</v>
      </c>
      <c r="Q1446" s="2" t="s">
        <v>1857</v>
      </c>
      <c r="R1446" s="2" t="s">
        <v>1858</v>
      </c>
      <c r="S1446" s="2" t="s">
        <v>56</v>
      </c>
      <c r="T1446" s="2" t="s">
        <v>1859</v>
      </c>
      <c r="U1446" s="2" t="s">
        <v>97</v>
      </c>
      <c r="W1446" s="4">
        <f>98.5*8</f>
        <v>788</v>
      </c>
      <c r="X1446" s="4">
        <f>SrcDB[[#This Row],[Cena bez DPH]]*1.2</f>
        <v>945.59999999999991</v>
      </c>
      <c r="Y1446" s="4">
        <f t="shared" ref="Y1446" si="1626">INDEX(InternalRates,MATCH($S1446,InternalRates01,FALSE),2)</f>
        <v>278.98333333333335</v>
      </c>
      <c r="Z1446" s="3" t="str">
        <f t="shared" si="1597"/>
        <v>Nie</v>
      </c>
      <c r="AA1446" s="3" t="str">
        <f t="shared" si="1598"/>
        <v>ZoD</v>
      </c>
      <c r="AB1446" s="4">
        <f>150/8</f>
        <v>18.75</v>
      </c>
      <c r="AC1446" s="4">
        <f>SrcDB[[#This Row],[Množstvo práce]]/1.5</f>
        <v>12.5</v>
      </c>
      <c r="AD1446" s="3" t="s">
        <v>48</v>
      </c>
      <c r="AE1446" s="6">
        <v>45684</v>
      </c>
      <c r="AF1446" s="3" t="s">
        <v>59</v>
      </c>
      <c r="AG1446" s="3" t="s">
        <v>49</v>
      </c>
      <c r="AH1446" s="3">
        <f>YEAR(SrcDB[[#This Row],[Datum_zverejnenia]])</f>
        <v>2024</v>
      </c>
      <c r="AI1446" s="3" cm="1">
        <f t="array" ref="AI1446">COUNT(_xlfn.UNIQUE(_xlfn._xlws.FILTER(SrcDB[ID],SrcDB[Objednavatel_ICO]=$H1446)))</f>
        <v>25</v>
      </c>
      <c r="AJ1446" s="3" cm="1">
        <f t="array" ref="AJ1446">COUNT(_xlfn.UNIQUE(_xlfn._xlws.FILTER(SrcDB[ID],SrcDB[Dodavatel_ICO]=$K1446)))</f>
        <v>10</v>
      </c>
      <c r="AK1446" s="3">
        <f t="shared" si="1569"/>
        <v>1</v>
      </c>
      <c r="AL1446" s="3">
        <f t="shared" si="1570"/>
        <v>1</v>
      </c>
      <c r="AM1446" s="17" t="str">
        <f>IF(SrcDB[[#This Row],[Pocet zmluv objednavatela]]&gt;3,SrcDB[[#This Row],[Objednavatel]],"Ostatné")</f>
        <v>Finančné riaditeľstvo SR</v>
      </c>
      <c r="AN1446" s="17" t="str">
        <f>IF(SrcDB[[#This Row],[Pocet zmluv dodavatela]]&gt;3,SrcDB[[#This Row],[Dodavatel]],"Ostatné")</f>
        <v>DATALAN, a.s.</v>
      </c>
    </row>
    <row r="1447" spans="1:40" x14ac:dyDescent="0.3">
      <c r="A1447" s="2" t="s">
        <v>1856</v>
      </c>
      <c r="B1447" s="2">
        <v>10082046</v>
      </c>
      <c r="C1447" s="3" t="str">
        <f t="shared" si="1563"/>
        <v>Nejasné</v>
      </c>
      <c r="D1447" s="3" t="str">
        <f t="shared" si="1564"/>
        <v>Nejasné</v>
      </c>
      <c r="E1447" s="3" t="s">
        <v>49</v>
      </c>
      <c r="F1447" s="3" t="s">
        <v>48</v>
      </c>
      <c r="G1447" s="2" t="str">
        <f t="shared" si="1565"/>
        <v>Stredné zmluvy</v>
      </c>
      <c r="H1447" s="5">
        <v>42499500</v>
      </c>
      <c r="I1447" s="2" t="s">
        <v>464</v>
      </c>
      <c r="J1447" s="2" t="s">
        <v>465</v>
      </c>
      <c r="K1447" s="5">
        <v>35810734</v>
      </c>
      <c r="L1447" s="2" t="s">
        <v>257</v>
      </c>
      <c r="M1447" s="2" t="s">
        <v>53</v>
      </c>
      <c r="N1447" s="6">
        <v>45622</v>
      </c>
      <c r="O1447" s="4">
        <v>5009757.53</v>
      </c>
      <c r="P1447" s="2">
        <v>114725</v>
      </c>
      <c r="Q1447" s="2" t="s">
        <v>1857</v>
      </c>
      <c r="R1447" s="2" t="s">
        <v>1858</v>
      </c>
      <c r="S1447" s="2" t="s">
        <v>56</v>
      </c>
      <c r="T1447" s="2" t="s">
        <v>1860</v>
      </c>
      <c r="U1447" s="2" t="s">
        <v>113</v>
      </c>
      <c r="W1447" s="4">
        <f>98.5*8</f>
        <v>788</v>
      </c>
      <c r="X1447" s="4">
        <f>SrcDB[[#This Row],[Cena bez DPH]]*1.2</f>
        <v>945.59999999999991</v>
      </c>
      <c r="Y1447" s="4">
        <f t="shared" ref="Y1447" si="1627">INDEX(InternalRates,MATCH($S1447,InternalRates01,FALSE),2)</f>
        <v>278.98333333333335</v>
      </c>
      <c r="Z1447" s="3" t="str">
        <f t="shared" si="1597"/>
        <v>Nie</v>
      </c>
      <c r="AA1447" s="3" t="str">
        <f t="shared" si="1598"/>
        <v>ZoD</v>
      </c>
      <c r="AB1447" s="4">
        <f>150/8</f>
        <v>18.75</v>
      </c>
      <c r="AC1447" s="4">
        <f>SrcDB[[#This Row],[Množstvo práce]]/1.5</f>
        <v>12.5</v>
      </c>
      <c r="AD1447" s="3" t="s">
        <v>48</v>
      </c>
      <c r="AE1447" s="6">
        <v>45684</v>
      </c>
      <c r="AF1447" s="3" t="s">
        <v>59</v>
      </c>
      <c r="AG1447" s="3" t="s">
        <v>49</v>
      </c>
      <c r="AH1447" s="3">
        <f>YEAR(SrcDB[[#This Row],[Datum_zverejnenia]])</f>
        <v>2024</v>
      </c>
      <c r="AI1447" s="3" cm="1">
        <f t="array" ref="AI1447">COUNT(_xlfn.UNIQUE(_xlfn._xlws.FILTER(SrcDB[ID],SrcDB[Objednavatel_ICO]=$H1447)))</f>
        <v>25</v>
      </c>
      <c r="AJ1447" s="3" cm="1">
        <f t="array" ref="AJ1447">COUNT(_xlfn.UNIQUE(_xlfn._xlws.FILTER(SrcDB[ID],SrcDB[Dodavatel_ICO]=$K1447)))</f>
        <v>10</v>
      </c>
      <c r="AK1447" s="3">
        <f t="shared" si="1569"/>
        <v>0</v>
      </c>
      <c r="AL1447" s="3">
        <f t="shared" si="1570"/>
        <v>0</v>
      </c>
      <c r="AM1447" s="17" t="str">
        <f>IF(SrcDB[[#This Row],[Pocet zmluv objednavatela]]&gt;3,SrcDB[[#This Row],[Objednavatel]],"Ostatné")</f>
        <v>Finančné riaditeľstvo SR</v>
      </c>
      <c r="AN1447" s="17" t="str">
        <f>IF(SrcDB[[#This Row],[Pocet zmluv dodavatela]]&gt;3,SrcDB[[#This Row],[Dodavatel]],"Ostatné")</f>
        <v>DATALAN, a.s.</v>
      </c>
    </row>
    <row r="1448" spans="1:40" x14ac:dyDescent="0.3">
      <c r="A1448" s="2" t="s">
        <v>1856</v>
      </c>
      <c r="B1448" s="2">
        <v>10082046</v>
      </c>
      <c r="C1448" s="3" t="str">
        <f t="shared" si="1563"/>
        <v>Nejasné</v>
      </c>
      <c r="D1448" s="3" t="str">
        <f t="shared" si="1564"/>
        <v>Nejasné</v>
      </c>
      <c r="E1448" s="3" t="s">
        <v>49</v>
      </c>
      <c r="F1448" s="3" t="s">
        <v>48</v>
      </c>
      <c r="G1448" s="2" t="str">
        <f t="shared" si="1565"/>
        <v>Stredné zmluvy</v>
      </c>
      <c r="H1448" s="5">
        <v>42499500</v>
      </c>
      <c r="I1448" s="2" t="s">
        <v>464</v>
      </c>
      <c r="J1448" s="2" t="s">
        <v>465</v>
      </c>
      <c r="K1448" s="5">
        <v>35810734</v>
      </c>
      <c r="L1448" s="2" t="s">
        <v>257</v>
      </c>
      <c r="M1448" s="2" t="s">
        <v>53</v>
      </c>
      <c r="N1448" s="6">
        <v>45622</v>
      </c>
      <c r="O1448" s="4">
        <v>5009757.53</v>
      </c>
      <c r="P1448" s="2">
        <v>114725</v>
      </c>
      <c r="Q1448" s="2" t="s">
        <v>1857</v>
      </c>
      <c r="R1448" s="2" t="s">
        <v>1858</v>
      </c>
      <c r="S1448" s="2" t="s">
        <v>71</v>
      </c>
      <c r="T1448" s="2" t="s">
        <v>1861</v>
      </c>
      <c r="W1448" s="4">
        <f>98.5*8</f>
        <v>788</v>
      </c>
      <c r="X1448" s="4">
        <f>SrcDB[[#This Row],[Cena bez DPH]]*1.2</f>
        <v>945.59999999999991</v>
      </c>
      <c r="Y1448" s="4">
        <f t="shared" ref="Y1448" si="1628">INDEX(InternalRates,MATCH($S1448,InternalRates01,FALSE),2)</f>
        <v>354.0333333333333</v>
      </c>
      <c r="Z1448" s="3" t="str">
        <f t="shared" si="1597"/>
        <v>Nie</v>
      </c>
      <c r="AA1448" s="3" t="str">
        <f t="shared" si="1598"/>
        <v>ZoD</v>
      </c>
      <c r="AB1448" s="4">
        <f>150/8</f>
        <v>18.75</v>
      </c>
      <c r="AC1448" s="4">
        <f>SrcDB[[#This Row],[Množstvo práce]]/1.5</f>
        <v>12.5</v>
      </c>
      <c r="AD1448" s="3" t="s">
        <v>48</v>
      </c>
      <c r="AE1448" s="6">
        <v>45684</v>
      </c>
      <c r="AF1448" s="3" t="s">
        <v>59</v>
      </c>
      <c r="AG1448" s="3" t="s">
        <v>49</v>
      </c>
      <c r="AH1448" s="3">
        <f>YEAR(SrcDB[[#This Row],[Datum_zverejnenia]])</f>
        <v>2024</v>
      </c>
      <c r="AI1448" s="3" cm="1">
        <f t="array" ref="AI1448">COUNT(_xlfn.UNIQUE(_xlfn._xlws.FILTER(SrcDB[ID],SrcDB[Objednavatel_ICO]=$H1448)))</f>
        <v>25</v>
      </c>
      <c r="AJ1448" s="3" cm="1">
        <f t="array" ref="AJ1448">COUNT(_xlfn.UNIQUE(_xlfn._xlws.FILTER(SrcDB[ID],SrcDB[Dodavatel_ICO]=$K1448)))</f>
        <v>10</v>
      </c>
      <c r="AK1448" s="3">
        <f t="shared" si="1569"/>
        <v>0</v>
      </c>
      <c r="AL1448" s="3">
        <f t="shared" si="1570"/>
        <v>0</v>
      </c>
      <c r="AM1448" s="17" t="str">
        <f>IF(SrcDB[[#This Row],[Pocet zmluv objednavatela]]&gt;3,SrcDB[[#This Row],[Objednavatel]],"Ostatné")</f>
        <v>Finančné riaditeľstvo SR</v>
      </c>
      <c r="AN1448" s="17" t="str">
        <f>IF(SrcDB[[#This Row],[Pocet zmluv dodavatela]]&gt;3,SrcDB[[#This Row],[Dodavatel]],"Ostatné")</f>
        <v>DATALAN, a.s.</v>
      </c>
    </row>
    <row r="1449" spans="1:40" x14ac:dyDescent="0.3">
      <c r="A1449" s="2" t="s">
        <v>1862</v>
      </c>
      <c r="B1449" s="2">
        <v>9927755</v>
      </c>
      <c r="C1449" s="3" t="str">
        <f t="shared" si="1563"/>
        <v>Nie</v>
      </c>
      <c r="D1449" s="3" t="str">
        <f t="shared" si="1564"/>
        <v>Áno</v>
      </c>
      <c r="E1449" s="3" t="s">
        <v>48</v>
      </c>
      <c r="F1449" s="3" t="s">
        <v>49</v>
      </c>
      <c r="G1449" s="2" t="str">
        <f t="shared" si="1565"/>
        <v>Malé zmluvy</v>
      </c>
      <c r="H1449" s="5">
        <v>35829141</v>
      </c>
      <c r="I1449" s="2" t="s">
        <v>177</v>
      </c>
      <c r="J1449" s="2" t="s">
        <v>178</v>
      </c>
      <c r="K1449" s="5" t="s">
        <v>420</v>
      </c>
      <c r="L1449" s="2" t="s">
        <v>421</v>
      </c>
      <c r="M1449" s="2" t="s">
        <v>422</v>
      </c>
      <c r="N1449" s="6">
        <v>45645</v>
      </c>
      <c r="O1449" s="4">
        <v>292075.2</v>
      </c>
      <c r="P1449" s="2">
        <v>358672</v>
      </c>
      <c r="Q1449" s="2" t="s">
        <v>1863</v>
      </c>
      <c r="R1449" s="2" t="s">
        <v>1864</v>
      </c>
      <c r="S1449" s="2" t="s">
        <v>160</v>
      </c>
      <c r="T1449" s="2" t="s">
        <v>1865</v>
      </c>
      <c r="W1449" s="4">
        <f>88*8</f>
        <v>704</v>
      </c>
      <c r="X1449" s="4">
        <f>SrcDB[[#This Row],[Cena bez DPH]]*1.2</f>
        <v>844.8</v>
      </c>
      <c r="Y1449" s="4">
        <f t="shared" ref="Y1449" si="1629">INDEX(InternalRates,MATCH($S1449,InternalRates01,FALSE),2)</f>
        <v>231.85833333333335</v>
      </c>
      <c r="Z1449" s="3" t="str">
        <f t="shared" si="1597"/>
        <v>Nie</v>
      </c>
      <c r="AA1449" s="3" t="str">
        <f t="shared" si="1598"/>
        <v>SLA</v>
      </c>
      <c r="AD1449" s="3" t="s">
        <v>48</v>
      </c>
      <c r="AE1449" s="6">
        <v>45684</v>
      </c>
      <c r="AF1449" s="3" t="s">
        <v>59</v>
      </c>
      <c r="AG1449" s="3" t="s">
        <v>48</v>
      </c>
      <c r="AH1449" s="3">
        <f>YEAR(SrcDB[[#This Row],[Datum_zverejnenia]])</f>
        <v>2024</v>
      </c>
      <c r="AI1449" s="3" cm="1">
        <f t="array" ref="AI1449">COUNT(_xlfn.UNIQUE(_xlfn._xlws.FILTER(SrcDB[ID],SrcDB[Objednavatel_ICO]=$H1449)))</f>
        <v>8</v>
      </c>
      <c r="AJ1449" s="3" cm="1">
        <f t="array" ref="AJ1449">COUNT(_xlfn.UNIQUE(_xlfn._xlws.FILTER(SrcDB[ID],SrcDB[Dodavatel_ICO]=$K1449)))</f>
        <v>6</v>
      </c>
      <c r="AK1449" s="3">
        <f t="shared" si="1569"/>
        <v>1</v>
      </c>
      <c r="AL1449" s="3">
        <f t="shared" si="1570"/>
        <v>1</v>
      </c>
      <c r="AM1449" s="17" t="str">
        <f>IF(SrcDB[[#This Row],[Pocet zmluv objednavatela]]&gt;3,SrcDB[[#This Row],[Objednavatel]],"Ostatné")</f>
        <v>Slovenská elektrizačná prenosová sústava, a.s.</v>
      </c>
      <c r="AN1449" s="17" t="str">
        <f>IF(SrcDB[[#This Row],[Pocet zmluv dodavatela]]&gt;3,SrcDB[[#This Row],[Dodavatel]],"Ostatné")</f>
        <v>NESS Slovensko, a.s.</v>
      </c>
    </row>
    <row r="1450" spans="1:40" x14ac:dyDescent="0.3">
      <c r="A1450" s="2" t="s">
        <v>1866</v>
      </c>
      <c r="B1450" s="2">
        <v>10188643</v>
      </c>
      <c r="C1450" s="3" t="str">
        <f t="shared" si="1563"/>
        <v>Nie</v>
      </c>
      <c r="D1450" s="3" t="str">
        <f t="shared" si="1564"/>
        <v>Áno</v>
      </c>
      <c r="E1450" s="3" t="s">
        <v>48</v>
      </c>
      <c r="F1450" s="3" t="s">
        <v>49</v>
      </c>
      <c r="G1450" s="2" t="str">
        <f t="shared" si="1565"/>
        <v>Malé zmluvy</v>
      </c>
      <c r="H1450" s="5" t="s">
        <v>1867</v>
      </c>
      <c r="I1450" s="2" t="s">
        <v>1868</v>
      </c>
      <c r="J1450" s="2" t="s">
        <v>1869</v>
      </c>
      <c r="K1450" s="5" t="s">
        <v>1870</v>
      </c>
      <c r="L1450" s="2" t="s">
        <v>1871</v>
      </c>
      <c r="M1450" s="2" t="s">
        <v>1872</v>
      </c>
      <c r="N1450" s="6">
        <v>45643</v>
      </c>
      <c r="O1450" s="4">
        <v>453000</v>
      </c>
      <c r="P1450" s="2">
        <v>114725</v>
      </c>
      <c r="Q1450" s="2" t="s">
        <v>1873</v>
      </c>
      <c r="R1450" s="2" t="s">
        <v>1874</v>
      </c>
      <c r="S1450" s="2" t="s">
        <v>160</v>
      </c>
      <c r="T1450" s="2" t="s">
        <v>1875</v>
      </c>
      <c r="W1450" s="4">
        <v>550</v>
      </c>
      <c r="X1450" s="4">
        <f>SrcDB[[#This Row],[Cena bez DPH]]*1.2</f>
        <v>660</v>
      </c>
      <c r="Y1450" s="4">
        <f t="shared" ref="Y1450" si="1630">INDEX(InternalRates,MATCH($S1450,InternalRates01,FALSE),2)</f>
        <v>231.85833333333335</v>
      </c>
      <c r="Z1450" s="3" t="str">
        <f t="shared" si="1597"/>
        <v>Nie</v>
      </c>
      <c r="AA1450" s="3" t="str">
        <f t="shared" si="1598"/>
        <v>SLA</v>
      </c>
      <c r="AB1450" s="4">
        <v>300</v>
      </c>
      <c r="AC1450" s="4">
        <f>SrcDB[[#This Row],[Množstvo práce]]/3</f>
        <v>100</v>
      </c>
      <c r="AD1450" s="3" t="s">
        <v>48</v>
      </c>
      <c r="AE1450" s="6">
        <v>45684</v>
      </c>
      <c r="AF1450" s="3" t="s">
        <v>59</v>
      </c>
      <c r="AG1450" s="3" t="s">
        <v>60</v>
      </c>
      <c r="AH1450" s="3">
        <f>YEAR(SrcDB[[#This Row],[Datum_zverejnenia]])</f>
        <v>2024</v>
      </c>
      <c r="AI1450" s="3" cm="1">
        <f t="array" ref="AI1450">COUNT(_xlfn.UNIQUE(_xlfn._xlws.FILTER(SrcDB[ID],SrcDB[Objednavatel_ICO]=$H1450)))</f>
        <v>1</v>
      </c>
      <c r="AJ1450" s="3" cm="1">
        <f t="array" ref="AJ1450">COUNT(_xlfn.UNIQUE(_xlfn._xlws.FILTER(SrcDB[ID],SrcDB[Dodavatel_ICO]=$K1450)))</f>
        <v>1</v>
      </c>
      <c r="AK1450" s="3">
        <f t="shared" si="1569"/>
        <v>1</v>
      </c>
      <c r="AL1450" s="3">
        <f t="shared" si="1570"/>
        <v>1</v>
      </c>
      <c r="AM1450" s="17" t="str">
        <f>IF(SrcDB[[#This Row],[Pocet zmluv objednavatela]]&gt;3,SrcDB[[#This Row],[Objednavatel]],"Ostatné")</f>
        <v>Ostatné</v>
      </c>
      <c r="AN1450" s="17" t="str">
        <f>IF(SrcDB[[#This Row],[Pocet zmluv dodavatela]]&gt;3,SrcDB[[#This Row],[Dodavatel]],"Ostatné")</f>
        <v>Ostatné</v>
      </c>
    </row>
    <row r="1451" spans="1:40" x14ac:dyDescent="0.3">
      <c r="A1451" s="2" t="s">
        <v>1876</v>
      </c>
      <c r="B1451" s="2">
        <v>9050239</v>
      </c>
      <c r="C1451" s="3" t="str">
        <f t="shared" si="1563"/>
        <v>Nie</v>
      </c>
      <c r="D1451" s="3" t="str">
        <f t="shared" si="1564"/>
        <v>Áno</v>
      </c>
      <c r="E1451" s="3" t="s">
        <v>48</v>
      </c>
      <c r="F1451" s="3" t="s">
        <v>49</v>
      </c>
      <c r="G1451" s="2" t="str">
        <f t="shared" si="1565"/>
        <v>Stredné zmluvy</v>
      </c>
      <c r="H1451" s="5" t="s">
        <v>524</v>
      </c>
      <c r="I1451" s="2" t="s">
        <v>525</v>
      </c>
      <c r="J1451" s="2" t="s">
        <v>526</v>
      </c>
      <c r="K1451" s="5" t="s">
        <v>1680</v>
      </c>
      <c r="L1451" s="2" t="s">
        <v>1681</v>
      </c>
      <c r="M1451" s="2" t="s">
        <v>1877</v>
      </c>
      <c r="N1451" s="6">
        <v>45369</v>
      </c>
      <c r="O1451" s="4">
        <v>1622400</v>
      </c>
      <c r="P1451" s="2">
        <v>114499</v>
      </c>
      <c r="Q1451" s="2" t="s">
        <v>1878</v>
      </c>
      <c r="R1451" s="2" t="s">
        <v>1879</v>
      </c>
      <c r="S1451" s="2" t="s">
        <v>160</v>
      </c>
      <c r="T1451" s="2" t="s">
        <v>1880</v>
      </c>
      <c r="W1451" s="4">
        <v>400</v>
      </c>
      <c r="X1451" s="4">
        <f>SrcDB[[#This Row],[Cena bez DPH]]*1.2</f>
        <v>480</v>
      </c>
      <c r="Y1451" s="4">
        <f t="shared" ref="Y1451" si="1631">INDEX(InternalRates,MATCH($S1451,InternalRates01,FALSE),2)</f>
        <v>231.85833333333335</v>
      </c>
      <c r="Z1451" s="3" t="str">
        <f t="shared" si="1597"/>
        <v>Nie</v>
      </c>
      <c r="AA1451" s="3" t="str">
        <f t="shared" si="1598"/>
        <v>SLA</v>
      </c>
      <c r="AB1451" s="4">
        <v>200</v>
      </c>
      <c r="AC1451" s="4">
        <v>50</v>
      </c>
      <c r="AD1451" s="3" t="s">
        <v>48</v>
      </c>
      <c r="AE1451" s="6">
        <v>45684</v>
      </c>
      <c r="AF1451" s="3" t="s">
        <v>59</v>
      </c>
      <c r="AG1451" s="3" t="s">
        <v>49</v>
      </c>
      <c r="AH1451" s="3">
        <f>YEAR(SrcDB[[#This Row],[Datum_zverejnenia]])</f>
        <v>2024</v>
      </c>
      <c r="AI1451" s="3" cm="1">
        <f t="array" ref="AI1451">COUNT(_xlfn.UNIQUE(_xlfn._xlws.FILTER(SrcDB[ID],SrcDB[Objednavatel_ICO]=$H1451)))</f>
        <v>4</v>
      </c>
      <c r="AJ1451" s="3" cm="1">
        <f t="array" ref="AJ1451">COUNT(_xlfn.UNIQUE(_xlfn._xlws.FILTER(SrcDB[ID],SrcDB[Dodavatel_ICO]=$K1451)))</f>
        <v>2</v>
      </c>
      <c r="AK1451" s="3">
        <f t="shared" si="1569"/>
        <v>1</v>
      </c>
      <c r="AL1451" s="3">
        <f t="shared" si="1570"/>
        <v>1</v>
      </c>
      <c r="AM1451" s="17" t="str">
        <f>IF(SrcDB[[#This Row],[Pocet zmluv objednavatela]]&gt;3,SrcDB[[#This Row],[Objednavatel]],"Ostatné")</f>
        <v>Ministerstvo hospodárstva Slovenskej republiky</v>
      </c>
      <c r="AN1451" s="17" t="str">
        <f>IF(SrcDB[[#This Row],[Pocet zmluv dodavatela]]&gt;3,SrcDB[[#This Row],[Dodavatel]],"Ostatné")</f>
        <v>Ostatné</v>
      </c>
    </row>
    <row r="1452" spans="1:40" x14ac:dyDescent="0.3">
      <c r="A1452" s="2" t="s">
        <v>1881</v>
      </c>
      <c r="B1452" s="2">
        <v>9454140</v>
      </c>
      <c r="C1452" s="3" t="str">
        <f t="shared" si="1563"/>
        <v>Nie</v>
      </c>
      <c r="D1452" s="3" t="str">
        <f t="shared" si="1564"/>
        <v>Áno</v>
      </c>
      <c r="E1452" s="3" t="s">
        <v>48</v>
      </c>
      <c r="F1452" s="3" t="s">
        <v>49</v>
      </c>
      <c r="G1452" s="2" t="str">
        <f t="shared" si="1565"/>
        <v>Stredné zmluvy</v>
      </c>
      <c r="H1452" s="5">
        <v>42499500</v>
      </c>
      <c r="I1452" s="2" t="s">
        <v>464</v>
      </c>
      <c r="J1452" s="2" t="s">
        <v>465</v>
      </c>
      <c r="K1452" s="5">
        <v>35760419</v>
      </c>
      <c r="L1452" s="2" t="s">
        <v>85</v>
      </c>
      <c r="N1452" s="6">
        <v>45471</v>
      </c>
      <c r="O1452" s="4">
        <v>1986154.8</v>
      </c>
      <c r="P1452" s="2">
        <v>114725</v>
      </c>
      <c r="Q1452" s="2" t="s">
        <v>1882</v>
      </c>
      <c r="R1452" s="2" t="s">
        <v>1883</v>
      </c>
      <c r="S1452" s="2" t="s">
        <v>160</v>
      </c>
      <c r="T1452" s="2" t="s">
        <v>1884</v>
      </c>
      <c r="W1452" s="4">
        <f>(80.3*1665+133.85*35)/(1665+35)*8</f>
        <v>651.22</v>
      </c>
      <c r="X1452" s="4">
        <f>SrcDB[[#This Row],[Cena bez DPH]]*1.2</f>
        <v>781.46400000000006</v>
      </c>
      <c r="Y1452" s="4">
        <f t="shared" ref="Y1452" si="1632">INDEX(InternalRates,MATCH($S1452,InternalRates01,FALSE),2)</f>
        <v>231.85833333333335</v>
      </c>
      <c r="Z1452" s="3" t="str">
        <f t="shared" si="1597"/>
        <v>Nie</v>
      </c>
      <c r="AA1452" s="3" t="str">
        <f t="shared" si="1598"/>
        <v>SLA</v>
      </c>
      <c r="AB1452" s="4">
        <f>1700/8</f>
        <v>212.5</v>
      </c>
      <c r="AC1452" s="4">
        <f>365/367*SrcDB[[#This Row],[Množstvo práce]]</f>
        <v>211.34196185286103</v>
      </c>
      <c r="AD1452" s="3" t="s">
        <v>48</v>
      </c>
      <c r="AE1452" s="6">
        <v>45684</v>
      </c>
      <c r="AF1452" s="3" t="s">
        <v>59</v>
      </c>
      <c r="AG1452" s="3" t="s">
        <v>60</v>
      </c>
      <c r="AH1452" s="3">
        <f>YEAR(SrcDB[[#This Row],[Datum_zverejnenia]])</f>
        <v>2024</v>
      </c>
      <c r="AI1452" s="3" cm="1">
        <f t="array" ref="AI1452">COUNT(_xlfn.UNIQUE(_xlfn._xlws.FILTER(SrcDB[ID],SrcDB[Objednavatel_ICO]=$H1452)))</f>
        <v>25</v>
      </c>
      <c r="AJ1452" s="3" cm="1">
        <f t="array" ref="AJ1452">COUNT(_xlfn.UNIQUE(_xlfn._xlws.FILTER(SrcDB[ID],SrcDB[Dodavatel_ICO]=$K1452)))</f>
        <v>34</v>
      </c>
      <c r="AK1452" s="3">
        <f t="shared" si="1569"/>
        <v>1</v>
      </c>
      <c r="AL1452" s="3">
        <f t="shared" si="1570"/>
        <v>1</v>
      </c>
      <c r="AM1452" s="17" t="str">
        <f>IF(SrcDB[[#This Row],[Pocet zmluv objednavatela]]&gt;3,SrcDB[[#This Row],[Objednavatel]],"Ostatné")</f>
        <v>Finančné riaditeľstvo SR</v>
      </c>
      <c r="AN1452" s="17" t="str">
        <f>IF(SrcDB[[#This Row],[Pocet zmluv dodavatela]]&gt;3,SrcDB[[#This Row],[Dodavatel]],"Ostatné")</f>
        <v>Asseco Central Europe, a.s.</v>
      </c>
    </row>
    <row r="1453" spans="1:40" x14ac:dyDescent="0.3">
      <c r="A1453" s="2" t="s">
        <v>268</v>
      </c>
      <c r="B1453" s="2">
        <v>9362547</v>
      </c>
      <c r="C1453" s="3" t="str">
        <f t="shared" si="1563"/>
        <v>Nejasné</v>
      </c>
      <c r="D1453" s="3" t="str">
        <f t="shared" si="1564"/>
        <v>Nejasné</v>
      </c>
      <c r="E1453" s="3" t="s">
        <v>48</v>
      </c>
      <c r="F1453" s="3" t="s">
        <v>49</v>
      </c>
      <c r="G1453" s="2" t="str">
        <f t="shared" si="1565"/>
        <v>Malé zmluvy</v>
      </c>
      <c r="H1453" s="5" t="s">
        <v>1465</v>
      </c>
      <c r="I1453" s="2" t="s">
        <v>1466</v>
      </c>
      <c r="J1453" s="2" t="s">
        <v>1467</v>
      </c>
      <c r="K1453" s="5">
        <v>31589898</v>
      </c>
      <c r="L1453" s="2" t="s">
        <v>576</v>
      </c>
      <c r="M1453" s="2" t="s">
        <v>1546</v>
      </c>
      <c r="N1453" s="6">
        <v>45449</v>
      </c>
      <c r="O1453" s="4">
        <v>489090</v>
      </c>
      <c r="P1453" s="2">
        <v>114535</v>
      </c>
      <c r="Q1453" s="2" t="s">
        <v>1885</v>
      </c>
      <c r="R1453" s="2" t="s">
        <v>1886</v>
      </c>
      <c r="S1453" s="2" t="s">
        <v>160</v>
      </c>
      <c r="T1453" s="2" t="s">
        <v>1887</v>
      </c>
      <c r="W1453" s="4">
        <f>84*8</f>
        <v>672</v>
      </c>
      <c r="X1453" s="4">
        <f>SrcDB[[#This Row],[Cena bez DPH]]*1.2</f>
        <v>806.4</v>
      </c>
      <c r="Y1453" s="4">
        <f t="shared" ref="Y1453" si="1633">INDEX(InternalRates,MATCH($S1453,InternalRates01,FALSE),2)</f>
        <v>231.85833333333335</v>
      </c>
      <c r="Z1453" s="3" t="str">
        <f t="shared" si="1597"/>
        <v>Nie</v>
      </c>
      <c r="AA1453" s="3" t="str">
        <f t="shared" si="1598"/>
        <v>SLA</v>
      </c>
      <c r="AB1453" s="4">
        <f>480/8</f>
        <v>60</v>
      </c>
      <c r="AC1453" s="4">
        <f>SrcDB[[#This Row],[Množstvo práce]]</f>
        <v>60</v>
      </c>
      <c r="AD1453" s="3" t="s">
        <v>48</v>
      </c>
      <c r="AE1453" s="6">
        <v>45684</v>
      </c>
      <c r="AF1453" s="3" t="s">
        <v>59</v>
      </c>
      <c r="AG1453" s="3" t="s">
        <v>60</v>
      </c>
      <c r="AH1453" s="3">
        <f>YEAR(SrcDB[[#This Row],[Datum_zverejnenia]])</f>
        <v>2024</v>
      </c>
      <c r="AI1453" s="3" cm="1">
        <f t="array" ref="AI1453">COUNT(_xlfn.UNIQUE(_xlfn._xlws.FILTER(SrcDB[ID],SrcDB[Objednavatel_ICO]=$H1453)))</f>
        <v>2</v>
      </c>
      <c r="AJ1453" s="3" cm="1">
        <f t="array" ref="AJ1453">COUNT(_xlfn.UNIQUE(_xlfn._xlws.FILTER(SrcDB[ID],SrcDB[Dodavatel_ICO]=$K1453)))</f>
        <v>3</v>
      </c>
      <c r="AK1453" s="3">
        <f>IF($H1452&lt;&gt;$H1453,1,IF($B1452&lt;&gt;$B1453,1,0))</f>
        <v>1</v>
      </c>
      <c r="AL1453" s="3">
        <f>IF($K1452&lt;&gt;$K1453,1,IF($B1452&lt;&gt;$B1453,1,0))</f>
        <v>1</v>
      </c>
      <c r="AM1453" s="17" t="str">
        <f>IF(SrcDB[[#This Row],[Pocet zmluv objednavatela]]&gt;3,SrcDB[[#This Row],[Objednavatel]],"Ostatné")</f>
        <v>Ostatné</v>
      </c>
      <c r="AN1453" s="17" t="str">
        <f>IF(SrcDB[[#This Row],[Pocet zmluv dodavatela]]&gt;3,SrcDB[[#This Row],[Dodavatel]],"Ostatné")</f>
        <v>Ostatné</v>
      </c>
    </row>
  </sheetData>
  <dataValidations count="4">
    <dataValidation type="list" allowBlank="1" showInputMessage="1" showErrorMessage="1" sqref="S5:S1048576" xr:uid="{3B71152A-200B-4B75-8FED-E5CEBED7DAF8}">
      <formula1>"-,Administrátor,Analytik,Architekt,Blended rate,Iné,Podpora,Programátor,Rutinné práce,Školiteľ,Špecialista,Technik,Tester,Vedúci projektu,Výskumný pracovník"</formula1>
    </dataValidation>
    <dataValidation type="list" allowBlank="1" showInputMessage="1" showErrorMessage="1" sqref="AG5:AG1048576" xr:uid="{14A003B0-02FF-4EB3-8C8B-822CC087F6ED}">
      <formula1>"Neurčené,Áno,Nie"</formula1>
    </dataValidation>
    <dataValidation type="list" allowBlank="1" showInputMessage="1" showErrorMessage="1" sqref="AF5:AF1048576" xr:uid="{8DC0DCAE-A078-4AC5-9ABA-E91457640707}">
      <formula1>"Neurčená,Junior,Medior,Senior"</formula1>
    </dataValidation>
    <dataValidation type="list" allowBlank="1" showInputMessage="1" showErrorMessage="1" sqref="AD5:AD1048576 E5:F1453" xr:uid="{A035A96F-5046-46DD-891F-A1F724BD9633}">
      <formula1>"Áno,Nie"</formula1>
    </dataValidation>
  </dataValidation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DB</vt:lpstr>
    </vt:vector>
  </TitlesOfParts>
  <Company>MIRRI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Tihanyi, Marián</dc:creator>
  <cp:lastModifiedBy>Tihanyi, Marián</cp:lastModifiedBy>
  <dcterms:created xsi:type="dcterms:W3CDTF">2025-04-08T07:20:40Z</dcterms:created>
  <dcterms:modified xsi:type="dcterms:W3CDTF">2025-05-21T12:03:24Z</dcterms:modified>
</cp:coreProperties>
</file>